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filterPrivacy="1" defaultThemeVersion="124226"/>
  <xr:revisionPtr revIDLastSave="0" documentId="13_ncr:1_{EB746E4E-756D-4F93-87B9-388A8EBFA0BF}" xr6:coauthVersionLast="33" xr6:coauthVersionMax="33" xr10:uidLastSave="{00000000-0000-0000-0000-000000000000}"/>
  <bookViews>
    <workbookView xWindow="1680" yWindow="300" windowWidth="14880" windowHeight="7815" activeTab="1" xr2:uid="{00000000-000D-0000-FFFF-FFFF00000000}"/>
  </bookViews>
  <sheets>
    <sheet name="Hall_of_Fame" sheetId="49" r:id="rId1"/>
    <sheet name="Plantilla" sheetId="32" r:id="rId2"/>
    <sheet name="Juveniles" sheetId="116" r:id="rId3"/>
    <sheet name="Economia" sheetId="117" r:id="rId4"/>
    <sheet name="Evaluacion" sheetId="94" r:id="rId5"/>
    <sheet name="Calculadora_Tactica" sheetId="83" r:id="rId6"/>
    <sheet name="Capitan" sheetId="76" r:id="rId7"/>
    <sheet name="Entrenador" sheetId="85" r:id="rId8"/>
    <sheet name="Planning" sheetId="115" r:id="rId9"/>
    <sheet name="Entrenamiento" sheetId="86" r:id="rId10"/>
    <sheet name="Resumen_Rend" sheetId="96" r:id="rId11"/>
    <sheet name="352" sheetId="105" r:id="rId12"/>
    <sheet name="541" sheetId="106" r:id="rId13"/>
    <sheet name="DEF" sheetId="108" r:id="rId14"/>
    <sheet name="JUG" sheetId="107" r:id="rId15"/>
    <sheet name="PAS" sheetId="110" r:id="rId16"/>
    <sheet name="LAT" sheetId="111" r:id="rId17"/>
    <sheet name="El Desierto de Tattoine" sheetId="3" r:id="rId18"/>
  </sheets>
  <definedNames>
    <definedName name="_xlnm._FilterDatabase" localSheetId="1" hidden="1">Plantilla!$A$3:$AN$29</definedName>
  </definedNames>
  <calcPr calcId="179017"/>
</workbook>
</file>

<file path=xl/calcChain.xml><?xml version="1.0" encoding="utf-8"?>
<calcChain xmlns="http://schemas.openxmlformats.org/spreadsheetml/2006/main">
  <c r="P11" i="117" l="1"/>
  <c r="AM13" i="86" l="1"/>
  <c r="AM28" i="86" s="1"/>
  <c r="AM12" i="86"/>
  <c r="AM27" i="86" s="1"/>
  <c r="AM25" i="86"/>
  <c r="AM26" i="86"/>
  <c r="AM24" i="86"/>
  <c r="AM11" i="86"/>
  <c r="AM9" i="86"/>
  <c r="AL13" i="86"/>
  <c r="AL12" i="86"/>
  <c r="AK13" i="86"/>
  <c r="AJ12" i="86"/>
  <c r="AL11" i="86"/>
  <c r="AK11" i="86"/>
  <c r="AL10" i="86"/>
  <c r="AJ10" i="86"/>
  <c r="AL9" i="86"/>
  <c r="AJ9" i="86"/>
  <c r="AM10" i="86" l="1"/>
  <c r="AJ25" i="86"/>
  <c r="AL25" i="86"/>
  <c r="AJ26" i="86"/>
  <c r="AK26" i="86"/>
  <c r="AL26" i="86"/>
  <c r="AJ27" i="86"/>
  <c r="AK27" i="86"/>
  <c r="AL27" i="86"/>
  <c r="AJ28" i="86"/>
  <c r="AK28" i="86"/>
  <c r="AL28" i="86"/>
  <c r="AK24" i="86"/>
  <c r="AL24" i="86"/>
  <c r="AJ24" i="86"/>
  <c r="AI25" i="86"/>
  <c r="AI26" i="86"/>
  <c r="AI27" i="86"/>
  <c r="AI28" i="86"/>
  <c r="AI24" i="86"/>
  <c r="AI13" i="86"/>
  <c r="AI12" i="86"/>
  <c r="AI11" i="86"/>
  <c r="AI10" i="86"/>
  <c r="AI9" i="86"/>
  <c r="B5" i="86"/>
  <c r="B6" i="86"/>
  <c r="B7" i="86"/>
  <c r="B8" i="86"/>
  <c r="B9" i="86"/>
  <c r="B10" i="86"/>
  <c r="B11" i="86"/>
  <c r="B12" i="86"/>
  <c r="B13" i="86"/>
  <c r="B14" i="86"/>
  <c r="B15" i="86"/>
  <c r="B16" i="86"/>
  <c r="B17" i="86"/>
  <c r="B18" i="86"/>
  <c r="B19" i="86"/>
  <c r="B20" i="86"/>
  <c r="B21" i="86"/>
  <c r="B22" i="86"/>
  <c r="B23" i="86"/>
  <c r="B24" i="86"/>
  <c r="B25" i="86"/>
  <c r="B26" i="86"/>
  <c r="B27" i="86"/>
  <c r="B4" i="86"/>
  <c r="F9" i="86"/>
  <c r="F10" i="86"/>
  <c r="F13" i="86"/>
  <c r="F14" i="86"/>
  <c r="F15" i="86"/>
  <c r="F16" i="86"/>
  <c r="F17" i="86"/>
  <c r="F18" i="86"/>
  <c r="F19" i="86"/>
  <c r="F21" i="86"/>
  <c r="F22" i="86"/>
  <c r="F23" i="86"/>
  <c r="F24" i="86"/>
  <c r="F26" i="86"/>
  <c r="R7" i="117" l="1"/>
  <c r="S7" i="117" s="1"/>
  <c r="T7" i="117" s="1"/>
  <c r="U7" i="117" s="1"/>
  <c r="V7" i="117" s="1"/>
  <c r="W7" i="117" s="1"/>
  <c r="X7" i="117" s="1"/>
  <c r="Y7" i="117" s="1"/>
  <c r="Z7" i="117" s="1"/>
  <c r="AA7" i="117" s="1"/>
  <c r="AB7" i="117" s="1"/>
  <c r="AC7" i="117" s="1"/>
  <c r="AD7" i="117" s="1"/>
  <c r="Q7" i="117"/>
  <c r="W19" i="116" l="1"/>
  <c r="W20" i="116"/>
  <c r="W21" i="116"/>
  <c r="W22" i="116"/>
  <c r="W23" i="116"/>
  <c r="W24" i="116"/>
  <c r="W25" i="116"/>
  <c r="W26" i="116"/>
  <c r="W27" i="116"/>
  <c r="W18" i="116"/>
  <c r="W28" i="116"/>
  <c r="W11" i="116"/>
  <c r="W12" i="116"/>
  <c r="W13" i="116"/>
  <c r="W10" i="116"/>
  <c r="W6" i="116"/>
  <c r="E19" i="117" l="1"/>
  <c r="E18" i="117"/>
  <c r="O20" i="117"/>
  <c r="Z13" i="32"/>
  <c r="AS17" i="32"/>
  <c r="Z17" i="32"/>
  <c r="Z15" i="32"/>
  <c r="Z14" i="32"/>
  <c r="Z16" i="32"/>
  <c r="P19" i="32"/>
  <c r="AS21" i="32"/>
  <c r="Z21" i="32"/>
  <c r="AS20" i="32"/>
  <c r="Z20" i="32"/>
  <c r="U22" i="32" l="1"/>
  <c r="U19" i="32" l="1"/>
  <c r="O6" i="117" l="1"/>
  <c r="Q15" i="117" l="1"/>
  <c r="R15" i="117" s="1"/>
  <c r="S15" i="117" s="1"/>
  <c r="T15" i="117" s="1"/>
  <c r="U15" i="117" s="1"/>
  <c r="V15" i="117" s="1"/>
  <c r="W15" i="117" s="1"/>
  <c r="X15" i="117" s="1"/>
  <c r="Y15" i="117" s="1"/>
  <c r="Z15" i="117" s="1"/>
  <c r="AA15" i="117" s="1"/>
  <c r="AB15" i="117" s="1"/>
  <c r="AC15" i="117" s="1"/>
  <c r="AD15" i="117" s="1"/>
  <c r="O10" i="117"/>
  <c r="N3" i="117"/>
  <c r="N4" i="117"/>
  <c r="N5" i="117"/>
  <c r="N8" i="117"/>
  <c r="N9" i="117"/>
  <c r="N14" i="117"/>
  <c r="N20" i="117"/>
  <c r="N25" i="117"/>
  <c r="N27" i="117"/>
  <c r="N26" i="117" l="1"/>
  <c r="G12" i="3"/>
  <c r="G11" i="3"/>
  <c r="G10" i="3"/>
  <c r="G9" i="3"/>
  <c r="AB38" i="117" l="1"/>
  <c r="AC38" i="117"/>
  <c r="AD38" i="117"/>
  <c r="H7" i="117"/>
  <c r="H5" i="117" s="1"/>
  <c r="H13" i="117"/>
  <c r="H14" i="117"/>
  <c r="D13" i="117"/>
  <c r="D27" i="117" s="1"/>
  <c r="D12" i="117"/>
  <c r="D26" i="117" s="1"/>
  <c r="E17" i="117"/>
  <c r="E7" i="117"/>
  <c r="G13" i="3"/>
  <c r="A7" i="117"/>
  <c r="A8" i="117"/>
  <c r="A9" i="117"/>
  <c r="A10" i="117"/>
  <c r="A11" i="117"/>
  <c r="A12" i="117"/>
  <c r="A13" i="117"/>
  <c r="A6" i="117"/>
  <c r="M5" i="117"/>
  <c r="E25" i="117" s="1"/>
  <c r="M8" i="117"/>
  <c r="Q20" i="117"/>
  <c r="R20" i="117" s="1"/>
  <c r="S20" i="117" s="1"/>
  <c r="T20" i="117" s="1"/>
  <c r="U20" i="117" s="1"/>
  <c r="V20" i="117" s="1"/>
  <c r="W20" i="117" s="1"/>
  <c r="X20" i="117" s="1"/>
  <c r="Y20" i="117" s="1"/>
  <c r="Z20" i="117" s="1"/>
  <c r="AA20" i="117" s="1"/>
  <c r="AB20" i="117" s="1"/>
  <c r="AC20" i="117" s="1"/>
  <c r="AD20" i="117" s="1"/>
  <c r="P3" i="117"/>
  <c r="O13" i="117"/>
  <c r="P13" i="117" s="1"/>
  <c r="Q13" i="117" s="1"/>
  <c r="R13" i="117" s="1"/>
  <c r="S13" i="117" s="1"/>
  <c r="T13" i="117" s="1"/>
  <c r="U13" i="117" s="1"/>
  <c r="V13" i="117" s="1"/>
  <c r="W13" i="117" s="1"/>
  <c r="X13" i="117" s="1"/>
  <c r="Y13" i="117" s="1"/>
  <c r="Z13" i="117" s="1"/>
  <c r="AA13" i="117" s="1"/>
  <c r="AB13" i="117" s="1"/>
  <c r="AC13" i="117" s="1"/>
  <c r="AD13" i="117" s="1"/>
  <c r="R10" i="117"/>
  <c r="S10" i="117" s="1"/>
  <c r="T10" i="117" s="1"/>
  <c r="U10" i="117" s="1"/>
  <c r="V10" i="117" s="1"/>
  <c r="W10" i="117" s="1"/>
  <c r="X10" i="117" s="1"/>
  <c r="Y10" i="117" s="1"/>
  <c r="Z10" i="117" s="1"/>
  <c r="AA10" i="117" s="1"/>
  <c r="AB10" i="117" s="1"/>
  <c r="AC10" i="117" s="1"/>
  <c r="AD10" i="117" s="1"/>
  <c r="M6" i="117"/>
  <c r="E32" i="117" s="1"/>
  <c r="O23" i="117"/>
  <c r="P23" i="117" s="1"/>
  <c r="Q23" i="117" s="1"/>
  <c r="R23" i="117" s="1"/>
  <c r="S23" i="117" s="1"/>
  <c r="T23" i="117" s="1"/>
  <c r="U23" i="117" s="1"/>
  <c r="V23" i="117" s="1"/>
  <c r="W23" i="117" s="1"/>
  <c r="X23" i="117" s="1"/>
  <c r="Y23" i="117" s="1"/>
  <c r="Z23" i="117" s="1"/>
  <c r="AA23" i="117" s="1"/>
  <c r="AB23" i="117" s="1"/>
  <c r="AC23" i="117" s="1"/>
  <c r="AD23" i="117" s="1"/>
  <c r="R22" i="117"/>
  <c r="S22" i="117" s="1"/>
  <c r="T22" i="117" s="1"/>
  <c r="U22" i="117" s="1"/>
  <c r="V22" i="117" s="1"/>
  <c r="W22" i="117" s="1"/>
  <c r="X22" i="117" s="1"/>
  <c r="Y22" i="117" s="1"/>
  <c r="Z22" i="117" s="1"/>
  <c r="AA22" i="117" s="1"/>
  <c r="AB22" i="117" s="1"/>
  <c r="AC22" i="117" s="1"/>
  <c r="AD22" i="117" s="1"/>
  <c r="O21" i="117"/>
  <c r="P21" i="117" s="1"/>
  <c r="Q21" i="117" s="1"/>
  <c r="R21" i="117" s="1"/>
  <c r="S21" i="117" s="1"/>
  <c r="T21" i="117" s="1"/>
  <c r="U21" i="117" s="1"/>
  <c r="V21" i="117" s="1"/>
  <c r="W21" i="117" s="1"/>
  <c r="X21" i="117" s="1"/>
  <c r="Y21" i="117" s="1"/>
  <c r="Z21" i="117" s="1"/>
  <c r="AA21" i="117" s="1"/>
  <c r="AB21" i="117" s="1"/>
  <c r="AC21" i="117" s="1"/>
  <c r="AD21" i="117" s="1"/>
  <c r="O18" i="117"/>
  <c r="P18" i="117" s="1"/>
  <c r="Q18" i="117" s="1"/>
  <c r="O16" i="117"/>
  <c r="P16" i="117" s="1"/>
  <c r="Q16" i="117" s="1"/>
  <c r="R16" i="117" s="1"/>
  <c r="S16" i="117" s="1"/>
  <c r="T16" i="117" s="1"/>
  <c r="U16" i="117" s="1"/>
  <c r="V16" i="117" s="1"/>
  <c r="W16" i="117" s="1"/>
  <c r="X16" i="117" s="1"/>
  <c r="Y16" i="117" s="1"/>
  <c r="Z16" i="117" s="1"/>
  <c r="AA16" i="117" s="1"/>
  <c r="AB16" i="117" s="1"/>
  <c r="AC16" i="117" s="1"/>
  <c r="AD16" i="117" s="1"/>
  <c r="M4" i="117"/>
  <c r="O27" i="117"/>
  <c r="P27" i="117" s="1"/>
  <c r="Q27" i="117" s="1"/>
  <c r="R27" i="117" s="1"/>
  <c r="S27" i="117" s="1"/>
  <c r="T27" i="117" s="1"/>
  <c r="U27" i="117" s="1"/>
  <c r="V27" i="117" s="1"/>
  <c r="W27" i="117" s="1"/>
  <c r="X27" i="117" s="1"/>
  <c r="Y27" i="117" s="1"/>
  <c r="Z27" i="117" s="1"/>
  <c r="AA27" i="117" s="1"/>
  <c r="AB27" i="117" s="1"/>
  <c r="AC27" i="117" s="1"/>
  <c r="AD27" i="117" s="1"/>
  <c r="AA38" i="117"/>
  <c r="Z38" i="117"/>
  <c r="Y38" i="117"/>
  <c r="X38" i="117"/>
  <c r="W38" i="117"/>
  <c r="V38" i="117"/>
  <c r="U38" i="117"/>
  <c r="T38" i="117"/>
  <c r="S38" i="117"/>
  <c r="R38" i="117"/>
  <c r="Q38" i="117"/>
  <c r="P38" i="117"/>
  <c r="O38" i="117"/>
  <c r="A31" i="117"/>
  <c r="A30" i="117"/>
  <c r="A29" i="117"/>
  <c r="A26" i="117"/>
  <c r="L24" i="117"/>
  <c r="A32" i="117" s="1"/>
  <c r="L19" i="117"/>
  <c r="A28" i="117" s="1"/>
  <c r="L18" i="117"/>
  <c r="A27" i="117" s="1"/>
  <c r="M17" i="117"/>
  <c r="H23" i="117" s="1"/>
  <c r="L16" i="117"/>
  <c r="A25" i="117" s="1"/>
  <c r="L15" i="117"/>
  <c r="A24" i="117" s="1"/>
  <c r="M12" i="117"/>
  <c r="M9" i="117"/>
  <c r="O1" i="117"/>
  <c r="P1" i="117" s="1"/>
  <c r="Q1" i="117" s="1"/>
  <c r="R1" i="117" s="1"/>
  <c r="S1" i="117" s="1"/>
  <c r="T1" i="117" s="1"/>
  <c r="U1" i="117" s="1"/>
  <c r="V1" i="117" s="1"/>
  <c r="W1" i="117" s="1"/>
  <c r="X1" i="117" s="1"/>
  <c r="Y1" i="117" s="1"/>
  <c r="Z1" i="117" s="1"/>
  <c r="AA1" i="117" s="1"/>
  <c r="AB1" i="117" s="1"/>
  <c r="AC1" i="117" s="1"/>
  <c r="AD1" i="117" s="1"/>
  <c r="A32" i="116"/>
  <c r="E38" i="94"/>
  <c r="E39" i="94"/>
  <c r="E40" i="94"/>
  <c r="E41" i="94"/>
  <c r="E42" i="94"/>
  <c r="E43" i="94"/>
  <c r="E44" i="94"/>
  <c r="E45" i="94"/>
  <c r="E56" i="94"/>
  <c r="E57" i="94"/>
  <c r="E58" i="94"/>
  <c r="E59" i="94"/>
  <c r="E60" i="94"/>
  <c r="M1" i="83"/>
  <c r="O1" i="83"/>
  <c r="P1" i="83"/>
  <c r="Q1" i="83"/>
  <c r="R1" i="83"/>
  <c r="S1" i="83"/>
  <c r="T1" i="83"/>
  <c r="M2" i="83"/>
  <c r="N2" i="83"/>
  <c r="O2" i="83"/>
  <c r="P2" i="83"/>
  <c r="X2" i="83"/>
  <c r="Y2" i="83"/>
  <c r="Z2" i="83"/>
  <c r="M3" i="83"/>
  <c r="N3" i="83"/>
  <c r="O3" i="83"/>
  <c r="P3" i="83"/>
  <c r="Q3" i="83"/>
  <c r="R3" i="83"/>
  <c r="S3" i="83"/>
  <c r="X3" i="83"/>
  <c r="Y3" i="83"/>
  <c r="Z3" i="83"/>
  <c r="M4" i="83"/>
  <c r="W2" i="83" s="1"/>
  <c r="N4" i="83"/>
  <c r="O4" i="83"/>
  <c r="P4" i="83"/>
  <c r="T4" i="83"/>
  <c r="X4" i="83"/>
  <c r="Y4" i="83"/>
  <c r="Z4" i="83"/>
  <c r="M5" i="83"/>
  <c r="W3" i="83" s="1"/>
  <c r="N5" i="83"/>
  <c r="O5" i="83"/>
  <c r="Y5" i="83" s="1"/>
  <c r="P5" i="83"/>
  <c r="T5" i="83"/>
  <c r="X5" i="83"/>
  <c r="Z5" i="83"/>
  <c r="M6" i="83"/>
  <c r="W4" i="83" s="1"/>
  <c r="N6" i="83"/>
  <c r="O6" i="83"/>
  <c r="P6" i="83"/>
  <c r="Q6" i="83"/>
  <c r="R6" i="83"/>
  <c r="S6" i="83"/>
  <c r="T6" i="83"/>
  <c r="X6" i="83"/>
  <c r="Y6" i="83"/>
  <c r="Z6" i="83"/>
  <c r="M7" i="83"/>
  <c r="N7" i="83"/>
  <c r="O7" i="83"/>
  <c r="P7" i="83"/>
  <c r="Z7" i="83" s="1"/>
  <c r="Q7" i="83"/>
  <c r="R7" i="83"/>
  <c r="S7" i="83"/>
  <c r="T7" i="83"/>
  <c r="X7" i="83"/>
  <c r="Y7" i="83"/>
  <c r="M8" i="83"/>
  <c r="N8" i="83"/>
  <c r="O8" i="83"/>
  <c r="P8" i="83"/>
  <c r="S8" i="83"/>
  <c r="T8" i="83"/>
  <c r="W8" i="83"/>
  <c r="X8" i="83"/>
  <c r="Y8" i="83"/>
  <c r="Z8" i="83"/>
  <c r="M9" i="83"/>
  <c r="N9" i="83"/>
  <c r="O9" i="83"/>
  <c r="P9" i="83"/>
  <c r="Z10" i="83" s="1"/>
  <c r="Q9" i="83"/>
  <c r="R9" i="83"/>
  <c r="S9" i="83"/>
  <c r="T9" i="83"/>
  <c r="X9" i="83"/>
  <c r="Y9" i="83"/>
  <c r="M10" i="83"/>
  <c r="W10" i="83" s="1"/>
  <c r="N10" i="83"/>
  <c r="X11" i="83" s="1"/>
  <c r="O10" i="83"/>
  <c r="P10" i="83"/>
  <c r="S10" i="83"/>
  <c r="T10" i="83"/>
  <c r="X10" i="83"/>
  <c r="Y10" i="83"/>
  <c r="M11" i="83"/>
  <c r="N11" i="83"/>
  <c r="O11" i="83"/>
  <c r="P11" i="83"/>
  <c r="W11" i="83"/>
  <c r="Y11" i="83"/>
  <c r="Z11" i="83"/>
  <c r="M12" i="83"/>
  <c r="W7" i="83" s="1"/>
  <c r="N12" i="83"/>
  <c r="O12" i="83"/>
  <c r="P12" i="83"/>
  <c r="M13" i="83"/>
  <c r="W5" i="83" s="1"/>
  <c r="N13" i="83"/>
  <c r="O13" i="83"/>
  <c r="P13" i="83"/>
  <c r="M14" i="83"/>
  <c r="W9" i="83" s="1"/>
  <c r="N14" i="83"/>
  <c r="O14" i="83"/>
  <c r="P14" i="83"/>
  <c r="M15" i="83"/>
  <c r="N15" i="83"/>
  <c r="O15" i="83"/>
  <c r="P15" i="83"/>
  <c r="M16" i="83"/>
  <c r="N16" i="83"/>
  <c r="O16" i="83"/>
  <c r="P16" i="83"/>
  <c r="M17" i="83"/>
  <c r="W6" i="83" s="1"/>
  <c r="O17" i="83"/>
  <c r="P17" i="83"/>
  <c r="M18" i="83"/>
  <c r="N18" i="83"/>
  <c r="O18" i="83"/>
  <c r="P18" i="83"/>
  <c r="M19" i="83"/>
  <c r="N19" i="83"/>
  <c r="O19" i="83"/>
  <c r="P19" i="83"/>
  <c r="M20" i="83"/>
  <c r="O20" i="83"/>
  <c r="P20" i="83"/>
  <c r="M21" i="83"/>
  <c r="N21" i="83"/>
  <c r="O21" i="83"/>
  <c r="P21" i="83"/>
  <c r="Q21" i="83"/>
  <c r="R21" i="83"/>
  <c r="S21" i="83"/>
  <c r="T21" i="83"/>
  <c r="M22" i="83"/>
  <c r="N22" i="83"/>
  <c r="O22" i="83"/>
  <c r="P22" i="83"/>
  <c r="Q22" i="83"/>
  <c r="R22" i="83"/>
  <c r="S22" i="83"/>
  <c r="T22" i="83"/>
  <c r="M23" i="83"/>
  <c r="N23" i="83"/>
  <c r="O23" i="83"/>
  <c r="P23" i="83"/>
  <c r="Q23" i="83"/>
  <c r="R23" i="83"/>
  <c r="S23" i="83"/>
  <c r="T23" i="83"/>
  <c r="M24" i="83"/>
  <c r="N24" i="83"/>
  <c r="O24" i="83"/>
  <c r="P24" i="83"/>
  <c r="S24" i="83"/>
  <c r="T24" i="83"/>
  <c r="M25" i="83"/>
  <c r="N25" i="83"/>
  <c r="O25" i="83"/>
  <c r="P25" i="83"/>
  <c r="S25" i="83"/>
  <c r="T25" i="83"/>
  <c r="Y12" i="83" l="1"/>
  <c r="C19" i="116"/>
  <c r="C28" i="116"/>
  <c r="C6" i="116"/>
  <c r="O4" i="117"/>
  <c r="P4" i="117" s="1"/>
  <c r="Q4" i="117" s="1"/>
  <c r="R4" i="117" s="1"/>
  <c r="S4" i="117" s="1"/>
  <c r="T4" i="117" s="1"/>
  <c r="U4" i="117" s="1"/>
  <c r="V4" i="117" s="1"/>
  <c r="W4" i="117" s="1"/>
  <c r="X4" i="117" s="1"/>
  <c r="Y4" i="117" s="1"/>
  <c r="Z4" i="117" s="1"/>
  <c r="AA4" i="117" s="1"/>
  <c r="AB4" i="117" s="1"/>
  <c r="AC4" i="117" s="1"/>
  <c r="AD4" i="117" s="1"/>
  <c r="E11" i="117"/>
  <c r="R18" i="117"/>
  <c r="O14" i="117"/>
  <c r="E15" i="117"/>
  <c r="M13" i="117"/>
  <c r="M10" i="117"/>
  <c r="E34" i="117" s="1"/>
  <c r="R11" i="117"/>
  <c r="S11" i="117" s="1"/>
  <c r="T11" i="117" s="1"/>
  <c r="U11" i="117" s="1"/>
  <c r="V11" i="117" s="1"/>
  <c r="W11" i="117" s="1"/>
  <c r="X11" i="117" s="1"/>
  <c r="Y11" i="117" s="1"/>
  <c r="Z11" i="117" s="1"/>
  <c r="AA11" i="117" s="1"/>
  <c r="AB11" i="117" s="1"/>
  <c r="AC11" i="117" s="1"/>
  <c r="AD11" i="117" s="1"/>
  <c r="M23" i="117"/>
  <c r="M22" i="117"/>
  <c r="H31" i="117" s="1"/>
  <c r="O19" i="117"/>
  <c r="P19" i="117" s="1"/>
  <c r="Q19" i="117" s="1"/>
  <c r="R19" i="117" s="1"/>
  <c r="S19" i="117" s="1"/>
  <c r="T19" i="117" s="1"/>
  <c r="U19" i="117" s="1"/>
  <c r="V19" i="117" s="1"/>
  <c r="W19" i="117" s="1"/>
  <c r="X19" i="117" s="1"/>
  <c r="Y19" i="117" s="1"/>
  <c r="Z19" i="117" s="1"/>
  <c r="AA19" i="117" s="1"/>
  <c r="AB19" i="117" s="1"/>
  <c r="AC19" i="117" s="1"/>
  <c r="AD19" i="117" s="1"/>
  <c r="E22" i="117"/>
  <c r="E21" i="117" s="1"/>
  <c r="O24" i="117"/>
  <c r="P24" i="117" s="1"/>
  <c r="Q24" i="117" s="1"/>
  <c r="R24" i="117" s="1"/>
  <c r="S24" i="117" s="1"/>
  <c r="T24" i="117" s="1"/>
  <c r="U24" i="117" s="1"/>
  <c r="V24" i="117" s="1"/>
  <c r="W24" i="117" s="1"/>
  <c r="X24" i="117" s="1"/>
  <c r="Y24" i="117" s="1"/>
  <c r="Z24" i="117" s="1"/>
  <c r="AA24" i="117" s="1"/>
  <c r="AB24" i="117" s="1"/>
  <c r="AC24" i="117" s="1"/>
  <c r="AD24" i="117" s="1"/>
  <c r="M20" i="117"/>
  <c r="E31" i="117"/>
  <c r="E27" i="116"/>
  <c r="E26" i="116"/>
  <c r="E25" i="116"/>
  <c r="E24" i="116"/>
  <c r="E20" i="116"/>
  <c r="E23" i="116"/>
  <c r="E22" i="116"/>
  <c r="E19" i="116"/>
  <c r="E21" i="116"/>
  <c r="E18" i="116"/>
  <c r="E11" i="116"/>
  <c r="E28" i="116"/>
  <c r="E12" i="116"/>
  <c r="E13" i="116"/>
  <c r="E10" i="116"/>
  <c r="E6" i="116"/>
  <c r="C27" i="116"/>
  <c r="C26" i="116"/>
  <c r="C25" i="116"/>
  <c r="C24" i="116"/>
  <c r="C23" i="116"/>
  <c r="C22" i="116"/>
  <c r="C21" i="116"/>
  <c r="C20" i="116"/>
  <c r="C18" i="116"/>
  <c r="C13" i="116"/>
  <c r="C12" i="116"/>
  <c r="C11" i="116"/>
  <c r="C10" i="116"/>
  <c r="Z9" i="83"/>
  <c r="Z12" i="83" s="1"/>
  <c r="AA12" i="83" s="1"/>
  <c r="P25" i="117" l="1"/>
  <c r="Q25" i="117"/>
  <c r="E13" i="117"/>
  <c r="E27" i="117"/>
  <c r="E12" i="117"/>
  <c r="E26" i="117"/>
  <c r="O25" i="117"/>
  <c r="Q14" i="117"/>
  <c r="S18" i="117"/>
  <c r="R25" i="117"/>
  <c r="P14" i="117"/>
  <c r="Q3" i="117"/>
  <c r="R3" i="117" s="1"/>
  <c r="S3" i="117" s="1"/>
  <c r="T3" i="117" s="1"/>
  <c r="U3" i="117" s="1"/>
  <c r="V3" i="117" s="1"/>
  <c r="W3" i="117" s="1"/>
  <c r="X3" i="117" s="1"/>
  <c r="Y3" i="117" s="1"/>
  <c r="Z3" i="117" s="1"/>
  <c r="AA3" i="117" s="1"/>
  <c r="AB3" i="117" s="1"/>
  <c r="AC3" i="117" s="1"/>
  <c r="AD3" i="117" s="1"/>
  <c r="M11" i="117"/>
  <c r="E30" i="117" s="1"/>
  <c r="M16" i="117"/>
  <c r="H28" i="117" s="1"/>
  <c r="M19" i="117"/>
  <c r="H19" i="117"/>
  <c r="H18" i="117" s="1"/>
  <c r="M24" i="117"/>
  <c r="M21" i="117"/>
  <c r="O5" i="117"/>
  <c r="E10" i="117" l="1"/>
  <c r="E24" i="117"/>
  <c r="T18" i="117"/>
  <c r="S25" i="117"/>
  <c r="R14" i="117"/>
  <c r="O26" i="117"/>
  <c r="P5" i="117" s="1"/>
  <c r="P26" i="117" s="1"/>
  <c r="Q5" i="117" s="1"/>
  <c r="H24" i="117"/>
  <c r="H30" i="117"/>
  <c r="H32" i="117"/>
  <c r="S14" i="117" l="1"/>
  <c r="U18" i="117"/>
  <c r="T25" i="117"/>
  <c r="Q26" i="117"/>
  <c r="R5" i="117" s="1"/>
  <c r="H22" i="117"/>
  <c r="E5" i="117"/>
  <c r="V18" i="117" l="1"/>
  <c r="U25" i="117"/>
  <c r="T14" i="117"/>
  <c r="R26" i="117"/>
  <c r="S5" i="117" s="1"/>
  <c r="U14" i="117" l="1"/>
  <c r="W18" i="117"/>
  <c r="V25" i="117"/>
  <c r="S26" i="117"/>
  <c r="T5" i="117" s="1"/>
  <c r="V14" i="117" l="1"/>
  <c r="X18" i="117"/>
  <c r="W25" i="117"/>
  <c r="T26" i="117"/>
  <c r="U5" i="117" s="1"/>
  <c r="W14" i="117" l="1"/>
  <c r="Y18" i="117"/>
  <c r="X25" i="117"/>
  <c r="U26" i="117"/>
  <c r="V5" i="117" s="1"/>
  <c r="Z18" i="117" l="1"/>
  <c r="Y25" i="117"/>
  <c r="X14" i="117"/>
  <c r="V26" i="117"/>
  <c r="W5" i="117" s="1"/>
  <c r="AA18" i="117" l="1"/>
  <c r="Z25" i="117"/>
  <c r="Y14" i="117"/>
  <c r="W26" i="117"/>
  <c r="X5" i="117" s="1"/>
  <c r="Z14" i="117" l="1"/>
  <c r="AB18" i="117"/>
  <c r="AA25" i="117"/>
  <c r="X26" i="117"/>
  <c r="Y5" i="117" s="1"/>
  <c r="AC18" i="117" l="1"/>
  <c r="AB25" i="117"/>
  <c r="AA14" i="117"/>
  <c r="Y26" i="117"/>
  <c r="Z5" i="117" s="1"/>
  <c r="AB14" i="117" l="1"/>
  <c r="AD18" i="117"/>
  <c r="AC25" i="117"/>
  <c r="Z26" i="117"/>
  <c r="AA5" i="117" s="1"/>
  <c r="AD25" i="117" l="1"/>
  <c r="M18" i="117"/>
  <c r="H29" i="117" s="1"/>
  <c r="AD14" i="117"/>
  <c r="AC14" i="117"/>
  <c r="AA26" i="117"/>
  <c r="AB5" i="117" s="1"/>
  <c r="AB26" i="117" l="1"/>
  <c r="AC5" i="117" s="1"/>
  <c r="M14" i="117"/>
  <c r="M7" i="117"/>
  <c r="B7" i="117" l="1"/>
  <c r="B10" i="117"/>
  <c r="B11" i="117"/>
  <c r="B8" i="117"/>
  <c r="B12" i="117"/>
  <c r="B13" i="117"/>
  <c r="B9" i="117"/>
  <c r="AC26" i="117"/>
  <c r="AD5" i="117" s="1"/>
  <c r="E33" i="117"/>
  <c r="A15" i="117"/>
  <c r="B6" i="117"/>
  <c r="M25" i="117"/>
  <c r="M15" i="117"/>
  <c r="A35" i="117" l="1"/>
  <c r="B25" i="117"/>
  <c r="B31" i="117"/>
  <c r="B26" i="117"/>
  <c r="B29" i="117"/>
  <c r="B27" i="117"/>
  <c r="B30" i="117"/>
  <c r="B32" i="117"/>
  <c r="B28" i="117"/>
  <c r="M26" i="117"/>
  <c r="B14" i="117"/>
  <c r="B24" i="117"/>
  <c r="H27" i="117"/>
  <c r="AD26" i="117"/>
  <c r="E29" i="117"/>
  <c r="E35" i="117" s="1"/>
  <c r="F25" i="117" l="1"/>
  <c r="F27" i="117"/>
  <c r="F26" i="117"/>
  <c r="F12" i="117"/>
  <c r="F11" i="117"/>
  <c r="F13" i="117"/>
  <c r="F10" i="117"/>
  <c r="F24" i="117"/>
  <c r="H26" i="117"/>
  <c r="H16" i="117" s="1"/>
  <c r="F29" i="117"/>
  <c r="B33" i="117"/>
  <c r="F16" i="117" l="1"/>
  <c r="F19" i="117"/>
  <c r="F17" i="117"/>
  <c r="F8" i="117"/>
  <c r="F18" i="117"/>
  <c r="F32" i="117"/>
  <c r="F6" i="117"/>
  <c r="F34" i="117"/>
  <c r="F15" i="117"/>
  <c r="F22" i="117"/>
  <c r="F31" i="117"/>
  <c r="F30" i="117"/>
  <c r="F21" i="117"/>
  <c r="F7" i="117"/>
  <c r="F5" i="117"/>
  <c r="F33" i="117"/>
  <c r="H10" i="117"/>
  <c r="H35" i="117" s="1"/>
  <c r="H36" i="117" s="1"/>
  <c r="I26" i="117" l="1"/>
  <c r="F35" i="117"/>
  <c r="I35" i="117"/>
  <c r="I5" i="117"/>
  <c r="I14" i="117"/>
  <c r="I12" i="117"/>
  <c r="I13" i="117"/>
  <c r="I6" i="117"/>
  <c r="I15" i="117"/>
  <c r="I11" i="117"/>
  <c r="I7" i="117"/>
  <c r="I31" i="117"/>
  <c r="I23" i="117"/>
  <c r="I28" i="117"/>
  <c r="I19" i="117"/>
  <c r="I29" i="117"/>
  <c r="I18" i="117"/>
  <c r="I24" i="117"/>
  <c r="I30" i="117"/>
  <c r="I32" i="117"/>
  <c r="I22" i="117"/>
  <c r="I27" i="117"/>
  <c r="I10" i="117"/>
  <c r="I16" i="117"/>
  <c r="X15" i="115" l="1"/>
  <c r="X14" i="115"/>
  <c r="X13" i="115"/>
  <c r="X12" i="115"/>
  <c r="X10" i="115"/>
  <c r="T28" i="32"/>
  <c r="O7" i="76" l="1"/>
  <c r="P7" i="76"/>
  <c r="Q7" i="76"/>
  <c r="R7" i="76"/>
  <c r="S7" i="76"/>
  <c r="U28" i="115" l="1"/>
  <c r="U29" i="115"/>
  <c r="U30" i="115"/>
  <c r="U31" i="115"/>
  <c r="U32" i="115"/>
  <c r="U27" i="115"/>
  <c r="T28" i="115"/>
  <c r="T29" i="115"/>
  <c r="T30" i="115"/>
  <c r="T31" i="115"/>
  <c r="T32" i="115"/>
  <c r="T27" i="115"/>
  <c r="F27" i="115"/>
  <c r="F28" i="115"/>
  <c r="F29" i="115"/>
  <c r="F30" i="115"/>
  <c r="F31" i="115"/>
  <c r="F32" i="115"/>
  <c r="E28" i="115"/>
  <c r="E29" i="115"/>
  <c r="E30" i="115"/>
  <c r="E31" i="115"/>
  <c r="E32" i="115"/>
  <c r="E27" i="115"/>
  <c r="U15" i="115"/>
  <c r="U14" i="115"/>
  <c r="T15" i="115"/>
  <c r="T14" i="115"/>
  <c r="U11" i="115"/>
  <c r="T11" i="115"/>
  <c r="T12" i="115"/>
  <c r="U12" i="115"/>
  <c r="T13" i="115"/>
  <c r="U13" i="115"/>
  <c r="U10" i="115"/>
  <c r="T10" i="115"/>
  <c r="AC34" i="115"/>
  <c r="AC33" i="115"/>
  <c r="AC32" i="115"/>
  <c r="AC31" i="115"/>
  <c r="AC30" i="115"/>
  <c r="AC29" i="115"/>
  <c r="AC28" i="115"/>
  <c r="AC27" i="115"/>
  <c r="AC23" i="115"/>
  <c r="AC24" i="115"/>
  <c r="AC25" i="115"/>
  <c r="AC26" i="115"/>
  <c r="AC22" i="115"/>
  <c r="AC21" i="115"/>
  <c r="V22" i="115"/>
  <c r="W22" i="115"/>
  <c r="X22" i="115"/>
  <c r="Y22" i="115"/>
  <c r="Z22" i="115"/>
  <c r="AA22" i="115"/>
  <c r="V23" i="115"/>
  <c r="W23" i="115"/>
  <c r="X23" i="115"/>
  <c r="Y23" i="115"/>
  <c r="Z23" i="115"/>
  <c r="AA23" i="115"/>
  <c r="V24" i="115"/>
  <c r="W24" i="115"/>
  <c r="X24" i="115"/>
  <c r="Y24" i="115"/>
  <c r="Z24" i="115"/>
  <c r="AA24" i="115"/>
  <c r="V25" i="115"/>
  <c r="W25" i="115"/>
  <c r="X25" i="115"/>
  <c r="Y25" i="115"/>
  <c r="Z25" i="115"/>
  <c r="AA25" i="115"/>
  <c r="V26" i="115"/>
  <c r="W26" i="115"/>
  <c r="X26" i="115"/>
  <c r="Y26" i="115"/>
  <c r="Z26" i="115"/>
  <c r="AA26" i="115"/>
  <c r="AA27" i="115"/>
  <c r="X28" i="115"/>
  <c r="AA28" i="115"/>
  <c r="AA29" i="115"/>
  <c r="AA30" i="115"/>
  <c r="AA31" i="115"/>
  <c r="AA32" i="115"/>
  <c r="V33" i="115"/>
  <c r="W33" i="115"/>
  <c r="X33" i="115"/>
  <c r="Y33" i="115"/>
  <c r="Z33" i="115"/>
  <c r="AA33" i="115"/>
  <c r="V34" i="115"/>
  <c r="W34" i="115"/>
  <c r="X34" i="115"/>
  <c r="Y34" i="115"/>
  <c r="Z34" i="115"/>
  <c r="AA34" i="115"/>
  <c r="W21" i="115"/>
  <c r="V21" i="115"/>
  <c r="O34" i="115"/>
  <c r="O33" i="115"/>
  <c r="N34" i="115"/>
  <c r="N33" i="115"/>
  <c r="N26" i="115"/>
  <c r="O26" i="115" s="1"/>
  <c r="N25" i="115"/>
  <c r="O25" i="115" s="1"/>
  <c r="N24" i="115"/>
  <c r="O24" i="115" s="1"/>
  <c r="N23" i="115"/>
  <c r="O23" i="115" s="1"/>
  <c r="O22" i="115"/>
  <c r="N22" i="115"/>
  <c r="O21" i="115"/>
  <c r="N21" i="115"/>
  <c r="AC14" i="115"/>
  <c r="AC15" i="115"/>
  <c r="AD15" i="115" s="1"/>
  <c r="AC13" i="115"/>
  <c r="AC12" i="115"/>
  <c r="AC11" i="115"/>
  <c r="AD11" i="115" s="1"/>
  <c r="AC10" i="115"/>
  <c r="AA13" i="115" l="1"/>
  <c r="AA12" i="115"/>
  <c r="AA14" i="115"/>
  <c r="AA10" i="115"/>
  <c r="AA11" i="115"/>
  <c r="AA15" i="115"/>
  <c r="K34" i="115" l="1"/>
  <c r="J34" i="115"/>
  <c r="H34" i="115"/>
  <c r="G34" i="115"/>
  <c r="K26" i="115"/>
  <c r="J26" i="115"/>
  <c r="G26" i="115"/>
  <c r="K25" i="115"/>
  <c r="J25" i="115"/>
  <c r="G25" i="115"/>
  <c r="K24" i="115"/>
  <c r="J24" i="115"/>
  <c r="G24" i="115"/>
  <c r="K23" i="115"/>
  <c r="J23" i="115"/>
  <c r="G23" i="115"/>
  <c r="N27" i="115"/>
  <c r="N28" i="115"/>
  <c r="O28" i="115"/>
  <c r="N29" i="115"/>
  <c r="N30" i="115"/>
  <c r="AD30" i="115" s="1"/>
  <c r="N31" i="115"/>
  <c r="AD31" i="115" s="1"/>
  <c r="N32" i="115"/>
  <c r="O32" i="115"/>
  <c r="G22" i="115"/>
  <c r="J22" i="115"/>
  <c r="K22" i="115"/>
  <c r="I27" i="115"/>
  <c r="X27" i="115" s="1"/>
  <c r="L27" i="115"/>
  <c r="I28" i="115"/>
  <c r="J28" i="115"/>
  <c r="Y28" i="115" s="1"/>
  <c r="L28" i="115"/>
  <c r="I29" i="115"/>
  <c r="X29" i="115" s="1"/>
  <c r="L29" i="115"/>
  <c r="I30" i="115"/>
  <c r="X30" i="115" s="1"/>
  <c r="L30" i="115"/>
  <c r="I31" i="115"/>
  <c r="X31" i="115" s="1"/>
  <c r="L31" i="115"/>
  <c r="M31" i="115"/>
  <c r="I32" i="115"/>
  <c r="X32" i="115" s="1"/>
  <c r="L32" i="115"/>
  <c r="G33" i="115"/>
  <c r="H33" i="115"/>
  <c r="J33" i="115"/>
  <c r="K33" i="115"/>
  <c r="K21" i="115"/>
  <c r="Z21" i="115" s="1"/>
  <c r="A22" i="115"/>
  <c r="B22" i="115"/>
  <c r="R22" i="115" s="1"/>
  <c r="A23" i="115"/>
  <c r="B23" i="115"/>
  <c r="R23" i="115" s="1"/>
  <c r="A24" i="115"/>
  <c r="B24" i="115"/>
  <c r="R24" i="115" s="1"/>
  <c r="A25" i="115"/>
  <c r="B25" i="115"/>
  <c r="R25" i="115" s="1"/>
  <c r="A26" i="115"/>
  <c r="B26" i="115"/>
  <c r="R26" i="115" s="1"/>
  <c r="A27" i="115"/>
  <c r="B27" i="115"/>
  <c r="A28" i="115"/>
  <c r="B28" i="115"/>
  <c r="R28" i="115" s="1"/>
  <c r="A29" i="115"/>
  <c r="B29" i="115"/>
  <c r="R29" i="115" s="1"/>
  <c r="A30" i="115"/>
  <c r="B30" i="115"/>
  <c r="A31" i="115"/>
  <c r="B31" i="115"/>
  <c r="A32" i="115"/>
  <c r="B32" i="115"/>
  <c r="A33" i="115"/>
  <c r="B33" i="115"/>
  <c r="D33" i="115"/>
  <c r="S33" i="115" s="1"/>
  <c r="A34" i="115"/>
  <c r="B34" i="115"/>
  <c r="R34" i="115" s="1"/>
  <c r="D34" i="115"/>
  <c r="S34" i="115" s="1"/>
  <c r="D21" i="115"/>
  <c r="B21" i="115"/>
  <c r="R21" i="115" s="1"/>
  <c r="A21" i="115"/>
  <c r="R33" i="115"/>
  <c r="AD32" i="115"/>
  <c r="R32" i="115"/>
  <c r="R31" i="115"/>
  <c r="R30" i="115"/>
  <c r="AD29" i="115"/>
  <c r="AD28" i="115"/>
  <c r="R27" i="115"/>
  <c r="AD27" i="115"/>
  <c r="S26" i="115"/>
  <c r="S25" i="115"/>
  <c r="AG24" i="115"/>
  <c r="AG25" i="115" s="1"/>
  <c r="S24" i="115"/>
  <c r="S23" i="115"/>
  <c r="S22" i="115"/>
  <c r="N15" i="115"/>
  <c r="N11" i="115"/>
  <c r="O11" i="115" s="1"/>
  <c r="N12" i="115"/>
  <c r="AD12" i="115" s="1"/>
  <c r="O29" i="115" s="1"/>
  <c r="N13" i="115"/>
  <c r="AD13" i="115" s="1"/>
  <c r="O30" i="115" s="1"/>
  <c r="N14" i="115"/>
  <c r="AD14" i="115" s="1"/>
  <c r="O31" i="115" s="1"/>
  <c r="N10" i="115"/>
  <c r="AD10" i="115" s="1"/>
  <c r="O27" i="115" s="1"/>
  <c r="AC5" i="115"/>
  <c r="AD5" i="115" s="1"/>
  <c r="AC6" i="115"/>
  <c r="AD6" i="115" s="1"/>
  <c r="AC7" i="115"/>
  <c r="AD24" i="115" s="1"/>
  <c r="AC8" i="115"/>
  <c r="AD8" i="115" s="1"/>
  <c r="AC9" i="115"/>
  <c r="AD26" i="115" s="1"/>
  <c r="AC16" i="115"/>
  <c r="AD16" i="115" s="1"/>
  <c r="AC17" i="115"/>
  <c r="AD17" i="115" s="1"/>
  <c r="AC4" i="115"/>
  <c r="AD4" i="115" s="1"/>
  <c r="V5" i="115"/>
  <c r="W5" i="115"/>
  <c r="X5" i="115"/>
  <c r="Y5" i="115"/>
  <c r="Z5" i="115"/>
  <c r="AA5" i="115"/>
  <c r="AB5" i="115"/>
  <c r="V6" i="115"/>
  <c r="W6" i="115"/>
  <c r="X6" i="115"/>
  <c r="Y6" i="115"/>
  <c r="Z6" i="115"/>
  <c r="AA6" i="115"/>
  <c r="AB6" i="115"/>
  <c r="V7" i="115"/>
  <c r="W7" i="115"/>
  <c r="X7" i="115"/>
  <c r="Y7" i="115"/>
  <c r="Z7" i="115"/>
  <c r="AA7" i="115"/>
  <c r="AB7" i="115"/>
  <c r="V8" i="115"/>
  <c r="W8" i="115"/>
  <c r="X8" i="115"/>
  <c r="Y8" i="115"/>
  <c r="Z8" i="115"/>
  <c r="AA8" i="115"/>
  <c r="AB8" i="115"/>
  <c r="V9" i="115"/>
  <c r="W9" i="115"/>
  <c r="X9" i="115"/>
  <c r="Y9" i="115"/>
  <c r="Z9" i="115"/>
  <c r="AA9" i="115"/>
  <c r="AB9" i="115"/>
  <c r="AB13" i="115"/>
  <c r="M30" i="115" s="1"/>
  <c r="V16" i="115"/>
  <c r="W16" i="115"/>
  <c r="X16" i="115"/>
  <c r="Y16" i="115"/>
  <c r="Z16" i="115"/>
  <c r="AA16" i="115"/>
  <c r="AB16" i="115"/>
  <c r="V17" i="115"/>
  <c r="W17" i="115"/>
  <c r="X17" i="115"/>
  <c r="Y17" i="115"/>
  <c r="Z17" i="115"/>
  <c r="AA17" i="115"/>
  <c r="AB17" i="115"/>
  <c r="W4" i="115"/>
  <c r="X4" i="115"/>
  <c r="I21" i="115" s="1"/>
  <c r="X21" i="115" s="1"/>
  <c r="Y4" i="115"/>
  <c r="J21" i="115" s="1"/>
  <c r="Y21" i="115" s="1"/>
  <c r="Z4" i="115"/>
  <c r="AA4" i="115"/>
  <c r="L21" i="115" s="1"/>
  <c r="AA21" i="115" s="1"/>
  <c r="AB4" i="115"/>
  <c r="V4" i="115"/>
  <c r="AG7" i="115"/>
  <c r="AG8" i="115" s="1"/>
  <c r="G11" i="115"/>
  <c r="V11" i="115" s="1"/>
  <c r="G28" i="115" s="1"/>
  <c r="V28" i="115" s="1"/>
  <c r="H11" i="115"/>
  <c r="W11" i="115" s="1"/>
  <c r="H28" i="115" s="1"/>
  <c r="W28" i="115" s="1"/>
  <c r="I11" i="115"/>
  <c r="J11" i="115"/>
  <c r="Y11" i="115" s="1"/>
  <c r="K11" i="115"/>
  <c r="Z11" i="115" s="1"/>
  <c r="K28" i="115" s="1"/>
  <c r="Z28" i="115" s="1"/>
  <c r="L11" i="115"/>
  <c r="M11" i="115"/>
  <c r="AB11" i="115" s="1"/>
  <c r="M28" i="115" s="1"/>
  <c r="G12" i="115"/>
  <c r="V12" i="115" s="1"/>
  <c r="G29" i="115" s="1"/>
  <c r="V29" i="115" s="1"/>
  <c r="H12" i="115"/>
  <c r="W12" i="115" s="1"/>
  <c r="H29" i="115" s="1"/>
  <c r="W29" i="115" s="1"/>
  <c r="I12" i="115"/>
  <c r="J12" i="115"/>
  <c r="Y12" i="115" s="1"/>
  <c r="J29" i="115" s="1"/>
  <c r="Y29" i="115" s="1"/>
  <c r="K12" i="115"/>
  <c r="Z12" i="115" s="1"/>
  <c r="K29" i="115" s="1"/>
  <c r="Z29" i="115" s="1"/>
  <c r="L12" i="115"/>
  <c r="M12" i="115"/>
  <c r="AB12" i="115" s="1"/>
  <c r="M29" i="115" s="1"/>
  <c r="G13" i="115"/>
  <c r="V13" i="115" s="1"/>
  <c r="G30" i="115" s="1"/>
  <c r="V30" i="115" s="1"/>
  <c r="H13" i="115"/>
  <c r="W13" i="115" s="1"/>
  <c r="H30" i="115" s="1"/>
  <c r="W30" i="115" s="1"/>
  <c r="J13" i="115"/>
  <c r="Y13" i="115" s="1"/>
  <c r="J30" i="115" s="1"/>
  <c r="Y30" i="115" s="1"/>
  <c r="K13" i="115"/>
  <c r="Z13" i="115" s="1"/>
  <c r="K30" i="115" s="1"/>
  <c r="Z30" i="115" s="1"/>
  <c r="L13" i="115"/>
  <c r="M13" i="115"/>
  <c r="G14" i="115"/>
  <c r="V14" i="115" s="1"/>
  <c r="G31" i="115" s="1"/>
  <c r="V31" i="115" s="1"/>
  <c r="H14" i="115"/>
  <c r="W14" i="115" s="1"/>
  <c r="H31" i="115" s="1"/>
  <c r="W31" i="115" s="1"/>
  <c r="J14" i="115"/>
  <c r="Y14" i="115" s="1"/>
  <c r="J31" i="115" s="1"/>
  <c r="Y31" i="115" s="1"/>
  <c r="K14" i="115"/>
  <c r="Z14" i="115" s="1"/>
  <c r="K31" i="115" s="1"/>
  <c r="Z31" i="115" s="1"/>
  <c r="L14" i="115"/>
  <c r="M14" i="115"/>
  <c r="AB14" i="115" s="1"/>
  <c r="G15" i="115"/>
  <c r="V15" i="115" s="1"/>
  <c r="G32" i="115" s="1"/>
  <c r="V32" i="115" s="1"/>
  <c r="H15" i="115"/>
  <c r="W15" i="115" s="1"/>
  <c r="H32" i="115" s="1"/>
  <c r="W32" i="115" s="1"/>
  <c r="J15" i="115"/>
  <c r="Y15" i="115" s="1"/>
  <c r="J32" i="115" s="1"/>
  <c r="Y32" i="115" s="1"/>
  <c r="K15" i="115"/>
  <c r="Z15" i="115" s="1"/>
  <c r="K32" i="115" s="1"/>
  <c r="Z32" i="115" s="1"/>
  <c r="L15" i="115"/>
  <c r="M15" i="115"/>
  <c r="AB15" i="115" s="1"/>
  <c r="M32" i="115" s="1"/>
  <c r="H10" i="115"/>
  <c r="W10" i="115" s="1"/>
  <c r="H27" i="115" s="1"/>
  <c r="W27" i="115" s="1"/>
  <c r="J10" i="115"/>
  <c r="Y10" i="115" s="1"/>
  <c r="J27" i="115" s="1"/>
  <c r="Y27" i="115" s="1"/>
  <c r="K10" i="115"/>
  <c r="Z10" i="115" s="1"/>
  <c r="K27" i="115" s="1"/>
  <c r="Z27" i="115" s="1"/>
  <c r="L10" i="115"/>
  <c r="M10" i="115"/>
  <c r="AB10" i="115" s="1"/>
  <c r="M27" i="115" s="1"/>
  <c r="G10" i="115"/>
  <c r="V10" i="115" s="1"/>
  <c r="G27" i="115" s="1"/>
  <c r="V27" i="115" s="1"/>
  <c r="C11" i="115"/>
  <c r="C28" i="115" s="1"/>
  <c r="D11" i="115"/>
  <c r="D28" i="115" s="1"/>
  <c r="S28" i="115" s="1"/>
  <c r="C12" i="115"/>
  <c r="C29" i="115" s="1"/>
  <c r="D12" i="115"/>
  <c r="S12" i="115" s="1"/>
  <c r="C13" i="115"/>
  <c r="C30" i="115" s="1"/>
  <c r="D13" i="115"/>
  <c r="S13" i="115" s="1"/>
  <c r="C14" i="115"/>
  <c r="C31" i="115" s="1"/>
  <c r="D14" i="115"/>
  <c r="S14" i="115" s="1"/>
  <c r="C15" i="115"/>
  <c r="C32" i="115" s="1"/>
  <c r="D15" i="115"/>
  <c r="S15" i="115" s="1"/>
  <c r="D10" i="115"/>
  <c r="S10" i="115" s="1"/>
  <c r="C10" i="115"/>
  <c r="C27" i="115" s="1"/>
  <c r="R5" i="115"/>
  <c r="S5" i="115"/>
  <c r="R6" i="115"/>
  <c r="S6" i="115"/>
  <c r="R7" i="115"/>
  <c r="S7" i="115"/>
  <c r="R8" i="115"/>
  <c r="S8" i="115"/>
  <c r="R9" i="115"/>
  <c r="S9" i="115"/>
  <c r="R10" i="115"/>
  <c r="R11" i="115"/>
  <c r="S11" i="115"/>
  <c r="R12" i="115"/>
  <c r="R13" i="115"/>
  <c r="R14" i="115"/>
  <c r="R15" i="115"/>
  <c r="R16" i="115"/>
  <c r="S16" i="115"/>
  <c r="R17" i="115"/>
  <c r="S17" i="115"/>
  <c r="R4" i="115"/>
  <c r="O14" i="115"/>
  <c r="O12" i="115" l="1"/>
  <c r="D31" i="115"/>
  <c r="S31" i="115" s="1"/>
  <c r="D29" i="115"/>
  <c r="S29" i="115" s="1"/>
  <c r="D27" i="115"/>
  <c r="S27" i="115" s="1"/>
  <c r="D32" i="115"/>
  <c r="S32" i="115" s="1"/>
  <c r="D30" i="115"/>
  <c r="S30" i="115" s="1"/>
  <c r="AD34" i="115"/>
  <c r="AD33" i="115"/>
  <c r="AD25" i="115"/>
  <c r="AD7" i="115"/>
  <c r="AD21" i="115"/>
  <c r="AD23" i="115"/>
  <c r="AD9" i="115"/>
  <c r="O19" i="115" s="1"/>
  <c r="AD22" i="115"/>
  <c r="O13" i="115"/>
  <c r="O15" i="115"/>
  <c r="O2" i="115" s="1"/>
  <c r="AC2" i="115"/>
  <c r="N2" i="115"/>
  <c r="AD2" i="115" l="1"/>
  <c r="AD19" i="115"/>
  <c r="AC19" i="115"/>
  <c r="N19" i="115"/>
  <c r="A6" i="86"/>
  <c r="C6" i="86"/>
  <c r="D6" i="86"/>
  <c r="P6" i="86" s="1"/>
  <c r="G6" i="86"/>
  <c r="H6" i="86"/>
  <c r="R6" i="86" s="1"/>
  <c r="I6" i="86"/>
  <c r="S6" i="86" s="1"/>
  <c r="J6" i="86"/>
  <c r="T6" i="86" s="1"/>
  <c r="K6" i="86"/>
  <c r="U6" i="86" s="1"/>
  <c r="L6" i="86"/>
  <c r="V6" i="86" s="1"/>
  <c r="M6" i="86"/>
  <c r="W6" i="86" s="1"/>
  <c r="N6" i="86"/>
  <c r="X6" i="86" s="1"/>
  <c r="A7" i="86"/>
  <c r="C7" i="86"/>
  <c r="D7" i="86"/>
  <c r="P7" i="86" s="1"/>
  <c r="G7" i="86"/>
  <c r="H7" i="86"/>
  <c r="I7" i="86"/>
  <c r="S7" i="86" s="1"/>
  <c r="J7" i="86"/>
  <c r="T7" i="86" s="1"/>
  <c r="K7" i="86"/>
  <c r="U7" i="86" s="1"/>
  <c r="L7" i="86"/>
  <c r="V7" i="86" s="1"/>
  <c r="M7" i="86"/>
  <c r="N7" i="86"/>
  <c r="X7" i="86" s="1"/>
  <c r="O7" i="86"/>
  <c r="Y7" i="86" s="1"/>
  <c r="R7" i="86"/>
  <c r="A8" i="86"/>
  <c r="C8" i="86"/>
  <c r="D8" i="86"/>
  <c r="P8" i="86" s="1"/>
  <c r="G8" i="86"/>
  <c r="H8" i="86"/>
  <c r="R8" i="86" s="1"/>
  <c r="I8" i="86"/>
  <c r="S8" i="86" s="1"/>
  <c r="N8" i="86"/>
  <c r="A9" i="86"/>
  <c r="C9" i="86"/>
  <c r="D9" i="86"/>
  <c r="P9" i="86" s="1"/>
  <c r="G9" i="86"/>
  <c r="H9" i="86"/>
  <c r="I9" i="86"/>
  <c r="J9" i="86"/>
  <c r="T9" i="86" s="1"/>
  <c r="L9" i="86"/>
  <c r="V9" i="86" s="1"/>
  <c r="M9" i="86"/>
  <c r="W9" i="86" s="1"/>
  <c r="N9" i="86"/>
  <c r="X9" i="86" s="1"/>
  <c r="R9" i="86"/>
  <c r="A10" i="86"/>
  <c r="C10" i="86"/>
  <c r="D10" i="86"/>
  <c r="P10" i="86" s="1"/>
  <c r="G10" i="86"/>
  <c r="H10" i="86"/>
  <c r="R10" i="86" s="1"/>
  <c r="I10" i="86"/>
  <c r="S10" i="86" s="1"/>
  <c r="K10" i="86"/>
  <c r="U10" i="86" s="1"/>
  <c r="M10" i="86"/>
  <c r="W10" i="86" s="1"/>
  <c r="N10" i="86"/>
  <c r="X10" i="86" s="1"/>
  <c r="O10" i="86"/>
  <c r="A11" i="86"/>
  <c r="C11" i="86"/>
  <c r="D11" i="86"/>
  <c r="P11" i="86" s="1"/>
  <c r="G11" i="86"/>
  <c r="H11" i="86"/>
  <c r="R11" i="86" s="1"/>
  <c r="I11" i="86"/>
  <c r="S11" i="86" s="1"/>
  <c r="K11" i="86"/>
  <c r="U11" i="86" s="1"/>
  <c r="L11" i="86"/>
  <c r="V11" i="86" s="1"/>
  <c r="M11" i="86"/>
  <c r="W11" i="86" s="1"/>
  <c r="N11" i="86"/>
  <c r="X11" i="86" s="1"/>
  <c r="O11" i="86"/>
  <c r="Y11" i="86" s="1"/>
  <c r="A12" i="86"/>
  <c r="C12" i="86"/>
  <c r="D12" i="86"/>
  <c r="P12" i="86" s="1"/>
  <c r="G12" i="86"/>
  <c r="H12" i="86"/>
  <c r="R12" i="86" s="1"/>
  <c r="I12" i="86"/>
  <c r="S12" i="86" s="1"/>
  <c r="K12" i="86"/>
  <c r="U12" i="86" s="1"/>
  <c r="L12" i="86"/>
  <c r="V12" i="86" s="1"/>
  <c r="N12" i="86"/>
  <c r="X12" i="86" s="1"/>
  <c r="A13" i="86"/>
  <c r="C13" i="86"/>
  <c r="D13" i="86"/>
  <c r="P13" i="86" s="1"/>
  <c r="G13" i="86"/>
  <c r="H13" i="86"/>
  <c r="R13" i="86" s="1"/>
  <c r="I13" i="86"/>
  <c r="S13" i="86" s="1"/>
  <c r="Z13" i="86" s="1"/>
  <c r="J13" i="86"/>
  <c r="T13" i="86" s="1"/>
  <c r="L13" i="86"/>
  <c r="M13" i="86"/>
  <c r="W13" i="86" s="1"/>
  <c r="N13" i="86"/>
  <c r="X13" i="86" s="1"/>
  <c r="O13" i="86"/>
  <c r="Y13" i="86" s="1"/>
  <c r="A14" i="86"/>
  <c r="C14" i="86"/>
  <c r="D14" i="86"/>
  <c r="P14" i="86" s="1"/>
  <c r="G14" i="86"/>
  <c r="H14" i="86"/>
  <c r="I14" i="86"/>
  <c r="S14" i="86" s="1"/>
  <c r="Z14" i="86" s="1"/>
  <c r="J14" i="86"/>
  <c r="T14" i="86" s="1"/>
  <c r="K14" i="86"/>
  <c r="U14" i="86" s="1"/>
  <c r="L14" i="86"/>
  <c r="M14" i="86"/>
  <c r="W14" i="86" s="1"/>
  <c r="N14" i="86"/>
  <c r="X14" i="86" s="1"/>
  <c r="O14" i="86"/>
  <c r="Y14" i="86" s="1"/>
  <c r="R14" i="86"/>
  <c r="A15" i="86"/>
  <c r="C15" i="86"/>
  <c r="D15" i="86"/>
  <c r="G15" i="86"/>
  <c r="H15" i="86"/>
  <c r="R15" i="86" s="1"/>
  <c r="I15" i="86"/>
  <c r="S15" i="86" s="1"/>
  <c r="Z15" i="86" s="1"/>
  <c r="J15" i="86"/>
  <c r="T15" i="86" s="1"/>
  <c r="AA15" i="86" s="1"/>
  <c r="K15" i="86"/>
  <c r="U15" i="86" s="1"/>
  <c r="L15" i="86"/>
  <c r="M15" i="86"/>
  <c r="N15" i="86"/>
  <c r="X15" i="86" s="1"/>
  <c r="O15" i="86"/>
  <c r="Y15" i="86" s="1"/>
  <c r="P15" i="86"/>
  <c r="A16" i="86"/>
  <c r="C16" i="86"/>
  <c r="D16" i="86"/>
  <c r="P16" i="86" s="1"/>
  <c r="G16" i="86"/>
  <c r="H16" i="86"/>
  <c r="R16" i="86" s="1"/>
  <c r="I16" i="86"/>
  <c r="S16" i="86" s="1"/>
  <c r="J16" i="86"/>
  <c r="T16" i="86" s="1"/>
  <c r="AA16" i="86" s="1"/>
  <c r="L16" i="86"/>
  <c r="V16" i="86" s="1"/>
  <c r="AC16" i="86" s="1"/>
  <c r="M16" i="86"/>
  <c r="W16" i="86" s="1"/>
  <c r="N16" i="86"/>
  <c r="X16" i="86" s="1"/>
  <c r="O16" i="86"/>
  <c r="A17" i="86"/>
  <c r="C17" i="86"/>
  <c r="D17" i="86"/>
  <c r="P17" i="86" s="1"/>
  <c r="G17" i="86"/>
  <c r="H17" i="86"/>
  <c r="R17" i="86" s="1"/>
  <c r="I17" i="86"/>
  <c r="J17" i="86"/>
  <c r="T17" i="86" s="1"/>
  <c r="AA17" i="86" s="1"/>
  <c r="L17" i="86"/>
  <c r="M17" i="86"/>
  <c r="W17" i="86" s="1"/>
  <c r="N17" i="86"/>
  <c r="X17" i="86" s="1"/>
  <c r="O17" i="86"/>
  <c r="Y17" i="86" s="1"/>
  <c r="A18" i="86"/>
  <c r="C18" i="86"/>
  <c r="D18" i="86"/>
  <c r="P18" i="86" s="1"/>
  <c r="G18" i="86"/>
  <c r="H18" i="86"/>
  <c r="R18" i="86" s="1"/>
  <c r="I18" i="86"/>
  <c r="S18" i="86" s="1"/>
  <c r="J18" i="86"/>
  <c r="T18" i="86" s="1"/>
  <c r="L18" i="86"/>
  <c r="M18" i="86"/>
  <c r="W18" i="86" s="1"/>
  <c r="AD18" i="86" s="1"/>
  <c r="N18" i="86"/>
  <c r="O18" i="86"/>
  <c r="A19" i="86"/>
  <c r="C19" i="86"/>
  <c r="D19" i="86"/>
  <c r="P19" i="86" s="1"/>
  <c r="G19" i="86"/>
  <c r="H19" i="86"/>
  <c r="R19" i="86" s="1"/>
  <c r="I19" i="86"/>
  <c r="J19" i="86"/>
  <c r="T19" i="86" s="1"/>
  <c r="L19" i="86"/>
  <c r="V19" i="86" s="1"/>
  <c r="M19" i="86"/>
  <c r="N19" i="86"/>
  <c r="X19" i="86" s="1"/>
  <c r="AE19" i="86" s="1"/>
  <c r="O19" i="86"/>
  <c r="Y19" i="86" s="1"/>
  <c r="AF19" i="86" s="1"/>
  <c r="A20" i="86"/>
  <c r="C20" i="86"/>
  <c r="D20" i="86"/>
  <c r="P20" i="86" s="1"/>
  <c r="G20" i="86"/>
  <c r="H20" i="86"/>
  <c r="R20" i="86" s="1"/>
  <c r="I20" i="86"/>
  <c r="J20" i="86"/>
  <c r="T20" i="86" s="1"/>
  <c r="L20" i="86"/>
  <c r="V20" i="86" s="1"/>
  <c r="AC20" i="86" s="1"/>
  <c r="M20" i="86"/>
  <c r="W20" i="86" s="1"/>
  <c r="N20" i="86"/>
  <c r="X20" i="86" s="1"/>
  <c r="O20" i="86"/>
  <c r="Y20" i="86" s="1"/>
  <c r="A21" i="86"/>
  <c r="C21" i="86"/>
  <c r="D21" i="86"/>
  <c r="P21" i="86" s="1"/>
  <c r="G21" i="86"/>
  <c r="H21" i="86"/>
  <c r="R21" i="86" s="1"/>
  <c r="I21" i="86"/>
  <c r="S21" i="86" s="1"/>
  <c r="J21" i="86"/>
  <c r="T21" i="86" s="1"/>
  <c r="L21" i="86"/>
  <c r="M21" i="86"/>
  <c r="W21" i="86" s="1"/>
  <c r="N21" i="86"/>
  <c r="X21" i="86" s="1"/>
  <c r="O21" i="86"/>
  <c r="Y21" i="86" s="1"/>
  <c r="A22" i="86"/>
  <c r="C22" i="86"/>
  <c r="D22" i="86"/>
  <c r="P22" i="86" s="1"/>
  <c r="G22" i="86"/>
  <c r="H22" i="86"/>
  <c r="R22" i="86" s="1"/>
  <c r="I22" i="86"/>
  <c r="S22" i="86" s="1"/>
  <c r="J22" i="86"/>
  <c r="L22" i="86"/>
  <c r="M22" i="86"/>
  <c r="N22" i="86"/>
  <c r="X22" i="86" s="1"/>
  <c r="O22" i="86"/>
  <c r="Y22" i="86" s="1"/>
  <c r="A23" i="86"/>
  <c r="C23" i="86"/>
  <c r="D23" i="86"/>
  <c r="P23" i="86" s="1"/>
  <c r="G23" i="86"/>
  <c r="H23" i="86"/>
  <c r="R23" i="86" s="1"/>
  <c r="I23" i="86"/>
  <c r="L23" i="86"/>
  <c r="V23" i="86" s="1"/>
  <c r="M23" i="86"/>
  <c r="W23" i="86" s="1"/>
  <c r="AD23" i="86" s="1"/>
  <c r="N23" i="86"/>
  <c r="X23" i="86" s="1"/>
  <c r="O23" i="86"/>
  <c r="A24" i="86"/>
  <c r="C24" i="86"/>
  <c r="D24" i="86"/>
  <c r="P24" i="86" s="1"/>
  <c r="G24" i="86"/>
  <c r="H24" i="86"/>
  <c r="I24" i="86"/>
  <c r="S24" i="86" s="1"/>
  <c r="L24" i="86"/>
  <c r="V24" i="86" s="1"/>
  <c r="N24" i="86"/>
  <c r="O24" i="86"/>
  <c r="Y24" i="86" s="1"/>
  <c r="R24" i="86"/>
  <c r="A25" i="86"/>
  <c r="C25" i="86"/>
  <c r="D25" i="86"/>
  <c r="P25" i="86" s="1"/>
  <c r="G25" i="86"/>
  <c r="H25" i="86"/>
  <c r="R25" i="86" s="1"/>
  <c r="I25" i="86"/>
  <c r="S25" i="86" s="1"/>
  <c r="J25" i="86"/>
  <c r="T25" i="86" s="1"/>
  <c r="K25" i="86"/>
  <c r="U25" i="86" s="1"/>
  <c r="L25" i="86"/>
  <c r="V25" i="86" s="1"/>
  <c r="M25" i="86"/>
  <c r="W25" i="86" s="1"/>
  <c r="N25" i="86"/>
  <c r="O25" i="86"/>
  <c r="Y25" i="86" s="1"/>
  <c r="A26" i="86"/>
  <c r="C26" i="86"/>
  <c r="D26" i="86"/>
  <c r="P26" i="86" s="1"/>
  <c r="G26" i="86"/>
  <c r="H26" i="86"/>
  <c r="R26" i="86" s="1"/>
  <c r="I26" i="86"/>
  <c r="K26" i="86"/>
  <c r="U26" i="86" s="1"/>
  <c r="M26" i="86"/>
  <c r="W26" i="86" s="1"/>
  <c r="N26" i="86"/>
  <c r="X26" i="86" s="1"/>
  <c r="A27" i="86"/>
  <c r="C27" i="86"/>
  <c r="D27" i="86"/>
  <c r="P27" i="86" s="1"/>
  <c r="G27" i="86"/>
  <c r="H27" i="86"/>
  <c r="I27" i="86"/>
  <c r="S27" i="86" s="1"/>
  <c r="K27" i="86"/>
  <c r="U27" i="86" s="1"/>
  <c r="M27" i="86"/>
  <c r="W27" i="86" s="1"/>
  <c r="N27" i="86"/>
  <c r="X27" i="86" s="1"/>
  <c r="O27" i="86"/>
  <c r="Y27" i="86" s="1"/>
  <c r="R27" i="86"/>
  <c r="A4" i="94"/>
  <c r="A38" i="94" s="1"/>
  <c r="B4" i="94"/>
  <c r="B38" i="94" s="1"/>
  <c r="D4" i="94"/>
  <c r="D38" i="94" s="1"/>
  <c r="F4" i="94"/>
  <c r="H4" i="94" s="1"/>
  <c r="I4" i="94"/>
  <c r="F38" i="94" s="1"/>
  <c r="J4" i="94"/>
  <c r="G38" i="94" s="1"/>
  <c r="K4" i="94"/>
  <c r="H38" i="94" s="1"/>
  <c r="L4" i="94"/>
  <c r="I38" i="94" s="1"/>
  <c r="M4" i="94"/>
  <c r="J38" i="94" s="1"/>
  <c r="N4" i="94"/>
  <c r="K38" i="94" s="1"/>
  <c r="O4" i="94"/>
  <c r="L38" i="94" s="1"/>
  <c r="P4" i="94"/>
  <c r="M38" i="94" s="1"/>
  <c r="Q4" i="94"/>
  <c r="N38" i="94" s="1"/>
  <c r="A5" i="94"/>
  <c r="A39" i="94" s="1"/>
  <c r="B5" i="94"/>
  <c r="B39" i="94" s="1"/>
  <c r="D5" i="94"/>
  <c r="D39" i="94" s="1"/>
  <c r="F5" i="94"/>
  <c r="I5" i="94"/>
  <c r="J5" i="94"/>
  <c r="G39" i="94" s="1"/>
  <c r="K5" i="94"/>
  <c r="H39" i="94" s="1"/>
  <c r="L5" i="94"/>
  <c r="I39" i="94" s="1"/>
  <c r="M5" i="94"/>
  <c r="J39" i="94" s="1"/>
  <c r="N5" i="94"/>
  <c r="K39" i="94" s="1"/>
  <c r="O5" i="94"/>
  <c r="L39" i="94" s="1"/>
  <c r="P5" i="94"/>
  <c r="M39" i="94" s="1"/>
  <c r="A6" i="94"/>
  <c r="A40" i="94" s="1"/>
  <c r="B6" i="94"/>
  <c r="B40" i="94" s="1"/>
  <c r="D6" i="94"/>
  <c r="D40" i="94" s="1"/>
  <c r="F6" i="94"/>
  <c r="H6" i="94" s="1"/>
  <c r="I6" i="94"/>
  <c r="F40" i="94" s="1"/>
  <c r="J6" i="94"/>
  <c r="G40" i="94" s="1"/>
  <c r="K6" i="94"/>
  <c r="H40" i="94" s="1"/>
  <c r="L6" i="94"/>
  <c r="I40" i="94" s="1"/>
  <c r="M6" i="94"/>
  <c r="J40" i="94" s="1"/>
  <c r="N6" i="94"/>
  <c r="O6" i="94"/>
  <c r="L40" i="94" s="1"/>
  <c r="P6" i="94"/>
  <c r="M40" i="94" s="1"/>
  <c r="Q6" i="94"/>
  <c r="N40" i="94" s="1"/>
  <c r="A7" i="94"/>
  <c r="A41" i="94" s="1"/>
  <c r="B7" i="94"/>
  <c r="B41" i="94" s="1"/>
  <c r="D7" i="94"/>
  <c r="D41" i="94" s="1"/>
  <c r="F7" i="94"/>
  <c r="G7" i="94" s="1"/>
  <c r="I7" i="94"/>
  <c r="F41" i="94" s="1"/>
  <c r="J7" i="94"/>
  <c r="G41" i="94" s="1"/>
  <c r="K7" i="94"/>
  <c r="H41" i="94" s="1"/>
  <c r="P7" i="94"/>
  <c r="M41" i="94" s="1"/>
  <c r="A8" i="94"/>
  <c r="A42" i="94" s="1"/>
  <c r="B8" i="94"/>
  <c r="B42" i="94" s="1"/>
  <c r="D8" i="94"/>
  <c r="D42" i="94" s="1"/>
  <c r="F8" i="94"/>
  <c r="G8" i="94" s="1"/>
  <c r="I8" i="94"/>
  <c r="F42" i="94" s="1"/>
  <c r="J8" i="94"/>
  <c r="G42" i="94" s="1"/>
  <c r="K8" i="94"/>
  <c r="H42" i="94" s="1"/>
  <c r="L8" i="94"/>
  <c r="I42" i="94" s="1"/>
  <c r="N8" i="94"/>
  <c r="O8" i="94"/>
  <c r="P8" i="94"/>
  <c r="M42" i="94" s="1"/>
  <c r="A9" i="94"/>
  <c r="A43" i="94" s="1"/>
  <c r="B9" i="94"/>
  <c r="B43" i="94" s="1"/>
  <c r="D9" i="94"/>
  <c r="D43" i="94" s="1"/>
  <c r="F9" i="94"/>
  <c r="I9" i="94"/>
  <c r="F43" i="94" s="1"/>
  <c r="J9" i="94"/>
  <c r="G43" i="94" s="1"/>
  <c r="K9" i="94"/>
  <c r="H43" i="94" s="1"/>
  <c r="M9" i="94"/>
  <c r="O9" i="94"/>
  <c r="L43" i="94" s="1"/>
  <c r="P9" i="94"/>
  <c r="M43" i="94" s="1"/>
  <c r="Q9" i="94"/>
  <c r="N43" i="94" s="1"/>
  <c r="A10" i="94"/>
  <c r="A44" i="94" s="1"/>
  <c r="B10" i="94"/>
  <c r="B44" i="94" s="1"/>
  <c r="D10" i="94"/>
  <c r="D44" i="94" s="1"/>
  <c r="F10" i="94"/>
  <c r="G10" i="94" s="1"/>
  <c r="I10" i="94"/>
  <c r="F44" i="94" s="1"/>
  <c r="J10" i="94"/>
  <c r="G44" i="94" s="1"/>
  <c r="K10" i="94"/>
  <c r="H44" i="94" s="1"/>
  <c r="M10" i="94"/>
  <c r="J44" i="94" s="1"/>
  <c r="N10" i="94"/>
  <c r="K44" i="94" s="1"/>
  <c r="O10" i="94"/>
  <c r="L44" i="94" s="1"/>
  <c r="P10" i="94"/>
  <c r="M44" i="94" s="1"/>
  <c r="Q10" i="94"/>
  <c r="N44" i="94" s="1"/>
  <c r="A11" i="94"/>
  <c r="A45" i="94" s="1"/>
  <c r="B11" i="94"/>
  <c r="B45" i="94" s="1"/>
  <c r="D11" i="94"/>
  <c r="D45" i="94" s="1"/>
  <c r="F11" i="94"/>
  <c r="G11" i="94" s="1"/>
  <c r="I11" i="94"/>
  <c r="F45" i="94" s="1"/>
  <c r="J11" i="94"/>
  <c r="G45" i="94" s="1"/>
  <c r="K11" i="94"/>
  <c r="H45" i="94" s="1"/>
  <c r="M11" i="94"/>
  <c r="J45" i="94" s="1"/>
  <c r="N11" i="94"/>
  <c r="K45" i="94" s="1"/>
  <c r="P11" i="94"/>
  <c r="M45" i="94" s="1"/>
  <c r="A12" i="94"/>
  <c r="A46" i="94" s="1"/>
  <c r="B12" i="94"/>
  <c r="B46" i="94" s="1"/>
  <c r="D12" i="94"/>
  <c r="D46" i="94" s="1"/>
  <c r="E12" i="94"/>
  <c r="E46" i="94" s="1"/>
  <c r="F12" i="94"/>
  <c r="H12" i="94" s="1"/>
  <c r="J12" i="94"/>
  <c r="G46" i="94" s="1"/>
  <c r="K12" i="94"/>
  <c r="H46" i="94" s="1"/>
  <c r="L12" i="94"/>
  <c r="I46" i="94" s="1"/>
  <c r="N12" i="94"/>
  <c r="K46" i="94" s="1"/>
  <c r="O12" i="94"/>
  <c r="L46" i="94" s="1"/>
  <c r="O46" i="94" s="1"/>
  <c r="P12" i="94"/>
  <c r="M46" i="94" s="1"/>
  <c r="Q12" i="94"/>
  <c r="N46" i="94" s="1"/>
  <c r="S46" i="94" s="1"/>
  <c r="A13" i="94"/>
  <c r="A47" i="94" s="1"/>
  <c r="B13" i="94"/>
  <c r="B47" i="94" s="1"/>
  <c r="D13" i="94"/>
  <c r="D47" i="94" s="1"/>
  <c r="E13" i="94"/>
  <c r="E47" i="94" s="1"/>
  <c r="F13" i="94"/>
  <c r="G13" i="94" s="1"/>
  <c r="J13" i="94"/>
  <c r="G47" i="94" s="1"/>
  <c r="K13" i="94"/>
  <c r="H47" i="94" s="1"/>
  <c r="L13" i="94"/>
  <c r="I47" i="94" s="1"/>
  <c r="R47" i="94" s="1"/>
  <c r="M13" i="94"/>
  <c r="J47" i="94" s="1"/>
  <c r="N13" i="94"/>
  <c r="K47" i="94" s="1"/>
  <c r="O13" i="94"/>
  <c r="L47" i="94" s="1"/>
  <c r="P13" i="94"/>
  <c r="M47" i="94" s="1"/>
  <c r="Q13" i="94"/>
  <c r="N47" i="94" s="1"/>
  <c r="S47" i="94" s="1"/>
  <c r="A14" i="94"/>
  <c r="A48" i="94" s="1"/>
  <c r="B14" i="94"/>
  <c r="B48" i="94" s="1"/>
  <c r="D14" i="94"/>
  <c r="D48" i="94" s="1"/>
  <c r="E14" i="94"/>
  <c r="E48" i="94" s="1"/>
  <c r="F14" i="94"/>
  <c r="G14" i="94" s="1"/>
  <c r="J14" i="94"/>
  <c r="G48" i="94" s="1"/>
  <c r="K14" i="94"/>
  <c r="H48" i="94" s="1"/>
  <c r="L14" i="94"/>
  <c r="M14" i="94"/>
  <c r="J48" i="94" s="1"/>
  <c r="N14" i="94"/>
  <c r="K48" i="94" s="1"/>
  <c r="O14" i="94"/>
  <c r="L48" i="94" s="1"/>
  <c r="P14" i="94"/>
  <c r="Q14" i="94"/>
  <c r="N48" i="94" s="1"/>
  <c r="A15" i="94"/>
  <c r="A49" i="94" s="1"/>
  <c r="B15" i="94"/>
  <c r="B49" i="94" s="1"/>
  <c r="D15" i="94"/>
  <c r="D49" i="94" s="1"/>
  <c r="E15" i="94"/>
  <c r="E49" i="94" s="1"/>
  <c r="F15" i="94"/>
  <c r="G15" i="94" s="1"/>
  <c r="J15" i="94"/>
  <c r="G49" i="94" s="1"/>
  <c r="K15" i="94"/>
  <c r="H49" i="94" s="1"/>
  <c r="L15" i="94"/>
  <c r="I49" i="94" s="1"/>
  <c r="N15" i="94"/>
  <c r="K49" i="94" s="1"/>
  <c r="O15" i="94"/>
  <c r="L49" i="94" s="1"/>
  <c r="O49" i="94" s="1"/>
  <c r="P15" i="94"/>
  <c r="M49" i="94" s="1"/>
  <c r="Q49" i="94" s="1"/>
  <c r="Q15" i="94"/>
  <c r="N49" i="94" s="1"/>
  <c r="U15" i="94"/>
  <c r="A16" i="94"/>
  <c r="A50" i="94" s="1"/>
  <c r="B16" i="94"/>
  <c r="B50" i="94" s="1"/>
  <c r="D16" i="94"/>
  <c r="D50" i="94" s="1"/>
  <c r="E16" i="94"/>
  <c r="E50" i="94" s="1"/>
  <c r="F16" i="94"/>
  <c r="J16" i="94"/>
  <c r="G50" i="94" s="1"/>
  <c r="K16" i="94"/>
  <c r="H50" i="94" s="1"/>
  <c r="L16" i="94"/>
  <c r="I50" i="94" s="1"/>
  <c r="N16" i="94"/>
  <c r="K50" i="94" s="1"/>
  <c r="O16" i="94"/>
  <c r="L50" i="94" s="1"/>
  <c r="P16" i="94"/>
  <c r="Q16" i="94"/>
  <c r="N50" i="94" s="1"/>
  <c r="A17" i="94"/>
  <c r="A51" i="94" s="1"/>
  <c r="B17" i="94"/>
  <c r="B51" i="94" s="1"/>
  <c r="D17" i="94"/>
  <c r="D51" i="94" s="1"/>
  <c r="E17" i="94"/>
  <c r="E51" i="94" s="1"/>
  <c r="F17" i="94"/>
  <c r="J17" i="94"/>
  <c r="G51" i="94" s="1"/>
  <c r="K17" i="94"/>
  <c r="H51" i="94" s="1"/>
  <c r="L17" i="94"/>
  <c r="I51" i="94" s="1"/>
  <c r="R51" i="94" s="1"/>
  <c r="N17" i="94"/>
  <c r="K51" i="94" s="1"/>
  <c r="O17" i="94"/>
  <c r="L51" i="94" s="1"/>
  <c r="P17" i="94"/>
  <c r="M51" i="94" s="1"/>
  <c r="Q17" i="94"/>
  <c r="N51" i="94" s="1"/>
  <c r="S51" i="94" s="1"/>
  <c r="A18" i="94"/>
  <c r="A52" i="94" s="1"/>
  <c r="B18" i="94"/>
  <c r="B52" i="94" s="1"/>
  <c r="D18" i="94"/>
  <c r="D52" i="94" s="1"/>
  <c r="E18" i="94"/>
  <c r="E52" i="94" s="1"/>
  <c r="F18" i="94"/>
  <c r="G18" i="94" s="1"/>
  <c r="J18" i="94"/>
  <c r="G52" i="94" s="1"/>
  <c r="K18" i="94"/>
  <c r="H52" i="94" s="1"/>
  <c r="L18" i="94"/>
  <c r="I52" i="94" s="1"/>
  <c r="N18" i="94"/>
  <c r="K52" i="94" s="1"/>
  <c r="O18" i="94"/>
  <c r="L52" i="94" s="1"/>
  <c r="P18" i="94"/>
  <c r="M52" i="94" s="1"/>
  <c r="Q18" i="94"/>
  <c r="N52" i="94" s="1"/>
  <c r="A19" i="94"/>
  <c r="A53" i="94" s="1"/>
  <c r="B19" i="94"/>
  <c r="B53" i="94" s="1"/>
  <c r="D19" i="94"/>
  <c r="D53" i="94" s="1"/>
  <c r="E19" i="94"/>
  <c r="E53" i="94" s="1"/>
  <c r="F19" i="94"/>
  <c r="G19" i="94" s="1"/>
  <c r="J19" i="94"/>
  <c r="G53" i="94" s="1"/>
  <c r="K19" i="94"/>
  <c r="H53" i="94" s="1"/>
  <c r="L19" i="94"/>
  <c r="I53" i="94" s="1"/>
  <c r="N19" i="94"/>
  <c r="K53" i="94" s="1"/>
  <c r="O19" i="94"/>
  <c r="L53" i="94" s="1"/>
  <c r="P19" i="94"/>
  <c r="M53" i="94" s="1"/>
  <c r="Q19" i="94"/>
  <c r="N53" i="94" s="1"/>
  <c r="Q53" i="94" s="1"/>
  <c r="A20" i="94"/>
  <c r="A54" i="94" s="1"/>
  <c r="B20" i="94"/>
  <c r="B54" i="94" s="1"/>
  <c r="D20" i="94"/>
  <c r="D54" i="94" s="1"/>
  <c r="E20" i="94"/>
  <c r="E54" i="94" s="1"/>
  <c r="S54" i="94" s="1"/>
  <c r="F20" i="94"/>
  <c r="J20" i="94"/>
  <c r="G54" i="94" s="1"/>
  <c r="K20" i="94"/>
  <c r="H54" i="94" s="1"/>
  <c r="L20" i="94"/>
  <c r="I54" i="94" s="1"/>
  <c r="R54" i="94" s="1"/>
  <c r="N20" i="94"/>
  <c r="K54" i="94" s="1"/>
  <c r="O20" i="94"/>
  <c r="L54" i="94" s="1"/>
  <c r="P20" i="94"/>
  <c r="M54" i="94" s="1"/>
  <c r="Q20" i="94"/>
  <c r="N54" i="94" s="1"/>
  <c r="A21" i="94"/>
  <c r="A55" i="94" s="1"/>
  <c r="B21" i="94"/>
  <c r="B55" i="94" s="1"/>
  <c r="D21" i="94"/>
  <c r="D55" i="94" s="1"/>
  <c r="E21" i="94"/>
  <c r="E55" i="94" s="1"/>
  <c r="F21" i="94"/>
  <c r="J21" i="94"/>
  <c r="G55" i="94" s="1"/>
  <c r="K21" i="94"/>
  <c r="H55" i="94" s="1"/>
  <c r="L21" i="94"/>
  <c r="I55" i="94" s="1"/>
  <c r="N21" i="94"/>
  <c r="K55" i="94" s="1"/>
  <c r="O21" i="94"/>
  <c r="P21" i="94"/>
  <c r="M55" i="94" s="1"/>
  <c r="Q21" i="94"/>
  <c r="A22" i="94"/>
  <c r="A56" i="94" s="1"/>
  <c r="B22" i="94"/>
  <c r="B56" i="94" s="1"/>
  <c r="D22" i="94"/>
  <c r="D56" i="94" s="1"/>
  <c r="F22" i="94"/>
  <c r="H22" i="94" s="1"/>
  <c r="I22" i="94"/>
  <c r="F56" i="94" s="1"/>
  <c r="J22" i="94"/>
  <c r="G56" i="94" s="1"/>
  <c r="K22" i="94"/>
  <c r="H56" i="94" s="1"/>
  <c r="N22" i="94"/>
  <c r="K56" i="94" s="1"/>
  <c r="O22" i="94"/>
  <c r="L56" i="94" s="1"/>
  <c r="P22" i="94"/>
  <c r="M56" i="94" s="1"/>
  <c r="Q22" i="94"/>
  <c r="N56" i="94" s="1"/>
  <c r="A23" i="94"/>
  <c r="A57" i="94" s="1"/>
  <c r="B23" i="94"/>
  <c r="B57" i="94" s="1"/>
  <c r="D23" i="94"/>
  <c r="D57" i="94" s="1"/>
  <c r="F23" i="94"/>
  <c r="H23" i="94" s="1"/>
  <c r="I23" i="94"/>
  <c r="F57" i="94" s="1"/>
  <c r="J23" i="94"/>
  <c r="G57" i="94" s="1"/>
  <c r="K23" i="94"/>
  <c r="H57" i="94" s="1"/>
  <c r="N23" i="94"/>
  <c r="K57" i="94" s="1"/>
  <c r="P23" i="94"/>
  <c r="M57" i="94" s="1"/>
  <c r="Q23" i="94"/>
  <c r="N57" i="94" s="1"/>
  <c r="T23" i="94"/>
  <c r="A24" i="94"/>
  <c r="A58" i="94" s="1"/>
  <c r="B24" i="94"/>
  <c r="B58" i="94" s="1"/>
  <c r="D24" i="94"/>
  <c r="D58" i="94" s="1"/>
  <c r="F24" i="94"/>
  <c r="G24" i="94" s="1"/>
  <c r="I24" i="94"/>
  <c r="F58" i="94" s="1"/>
  <c r="J24" i="94"/>
  <c r="G58" i="94" s="1"/>
  <c r="K24" i="94"/>
  <c r="H58" i="94" s="1"/>
  <c r="L24" i="94"/>
  <c r="M24" i="94"/>
  <c r="J58" i="94" s="1"/>
  <c r="N24" i="94"/>
  <c r="K58" i="94" s="1"/>
  <c r="O24" i="94"/>
  <c r="L58" i="94" s="1"/>
  <c r="P24" i="94"/>
  <c r="M58" i="94" s="1"/>
  <c r="Q24" i="94"/>
  <c r="N58" i="94" s="1"/>
  <c r="A25" i="94"/>
  <c r="A59" i="94" s="1"/>
  <c r="B25" i="94"/>
  <c r="B59" i="94" s="1"/>
  <c r="D25" i="94"/>
  <c r="D59" i="94" s="1"/>
  <c r="F25" i="94"/>
  <c r="H25" i="94" s="1"/>
  <c r="I25" i="94"/>
  <c r="F59" i="94" s="1"/>
  <c r="J25" i="94"/>
  <c r="G59" i="94" s="1"/>
  <c r="K25" i="94"/>
  <c r="H59" i="94" s="1"/>
  <c r="M25" i="94"/>
  <c r="J59" i="94" s="1"/>
  <c r="O25" i="94"/>
  <c r="L59" i="94" s="1"/>
  <c r="P25" i="94"/>
  <c r="M59" i="94" s="1"/>
  <c r="A26" i="94"/>
  <c r="A60" i="94" s="1"/>
  <c r="B26" i="94"/>
  <c r="B60" i="94" s="1"/>
  <c r="D26" i="94"/>
  <c r="D60" i="94" s="1"/>
  <c r="F26" i="94"/>
  <c r="G26" i="94" s="1"/>
  <c r="I26" i="94"/>
  <c r="F60" i="94" s="1"/>
  <c r="J26" i="94"/>
  <c r="G60" i="94" s="1"/>
  <c r="K26" i="94"/>
  <c r="H60" i="94" s="1"/>
  <c r="M26" i="94"/>
  <c r="O26" i="94"/>
  <c r="P26" i="94"/>
  <c r="Q26" i="94"/>
  <c r="D3" i="94"/>
  <c r="D37" i="94" s="1"/>
  <c r="A4" i="76"/>
  <c r="B4" i="76"/>
  <c r="C4" i="76"/>
  <c r="G4" i="76" s="1"/>
  <c r="H4" i="76" s="1"/>
  <c r="D4" i="76"/>
  <c r="E4" i="76" s="1"/>
  <c r="A5" i="76"/>
  <c r="B5" i="76"/>
  <c r="C5" i="76"/>
  <c r="D5" i="76"/>
  <c r="E5" i="76" s="1"/>
  <c r="F5" i="76" s="1"/>
  <c r="G5" i="76"/>
  <c r="A6" i="76"/>
  <c r="B6" i="76"/>
  <c r="C6" i="76"/>
  <c r="G6" i="76" s="1"/>
  <c r="D6" i="76"/>
  <c r="E6" i="76" s="1"/>
  <c r="F6" i="76" s="1"/>
  <c r="A7" i="76"/>
  <c r="B7" i="76"/>
  <c r="C7" i="76"/>
  <c r="G7" i="76" s="1"/>
  <c r="D7" i="76"/>
  <c r="E7" i="76" s="1"/>
  <c r="F7" i="76" s="1"/>
  <c r="A8" i="76"/>
  <c r="B8" i="76"/>
  <c r="C8" i="76"/>
  <c r="D8" i="76"/>
  <c r="E8" i="76" s="1"/>
  <c r="G8" i="76"/>
  <c r="H8" i="76" s="1"/>
  <c r="A9" i="76"/>
  <c r="B9" i="76"/>
  <c r="C9" i="76"/>
  <c r="G9" i="76" s="1"/>
  <c r="D9" i="76"/>
  <c r="E9" i="76" s="1"/>
  <c r="F9" i="76" s="1"/>
  <c r="A10" i="76"/>
  <c r="B10" i="76"/>
  <c r="C10" i="76"/>
  <c r="G10" i="76" s="1"/>
  <c r="D10" i="76"/>
  <c r="E10" i="76" s="1"/>
  <c r="F10" i="76" s="1"/>
  <c r="A11" i="76"/>
  <c r="B11" i="76"/>
  <c r="C11" i="76"/>
  <c r="D11" i="76"/>
  <c r="E11" i="76" s="1"/>
  <c r="G11" i="76"/>
  <c r="H11" i="76" s="1"/>
  <c r="A12" i="76"/>
  <c r="B12" i="76"/>
  <c r="C12" i="76"/>
  <c r="G12" i="76" s="1"/>
  <c r="D12" i="76"/>
  <c r="E12" i="76" s="1"/>
  <c r="F12" i="76" s="1"/>
  <c r="A13" i="76"/>
  <c r="B13" i="76"/>
  <c r="C13" i="76"/>
  <c r="G13" i="76" s="1"/>
  <c r="D13" i="76"/>
  <c r="E13" i="76" s="1"/>
  <c r="F13" i="76" s="1"/>
  <c r="A14" i="76"/>
  <c r="B14" i="76"/>
  <c r="C14" i="76"/>
  <c r="G14" i="76" s="1"/>
  <c r="D14" i="76"/>
  <c r="E14" i="76" s="1"/>
  <c r="F14" i="76" s="1"/>
  <c r="A15" i="76"/>
  <c r="B15" i="76"/>
  <c r="C15" i="76"/>
  <c r="G15" i="76" s="1"/>
  <c r="H15" i="76" s="1"/>
  <c r="D15" i="76"/>
  <c r="E15" i="76" s="1"/>
  <c r="A16" i="76"/>
  <c r="B16" i="76"/>
  <c r="C16" i="76"/>
  <c r="G16" i="76" s="1"/>
  <c r="D16" i="76"/>
  <c r="E16" i="76" s="1"/>
  <c r="F16" i="76" s="1"/>
  <c r="A17" i="76"/>
  <c r="B17" i="76"/>
  <c r="C17" i="76"/>
  <c r="G17" i="76" s="1"/>
  <c r="D17" i="76"/>
  <c r="E17" i="76" s="1"/>
  <c r="F17" i="76" s="1"/>
  <c r="A18" i="76"/>
  <c r="B18" i="76"/>
  <c r="C18" i="76"/>
  <c r="G18" i="76" s="1"/>
  <c r="D18" i="76"/>
  <c r="E18" i="76" s="1"/>
  <c r="F18" i="76" s="1"/>
  <c r="A19" i="76"/>
  <c r="B19" i="76"/>
  <c r="C19" i="76"/>
  <c r="D19" i="76"/>
  <c r="E19" i="76" s="1"/>
  <c r="G19" i="76"/>
  <c r="H19" i="76" s="1"/>
  <c r="A20" i="76"/>
  <c r="B20" i="76"/>
  <c r="C20" i="76"/>
  <c r="G20" i="76" s="1"/>
  <c r="D20" i="76"/>
  <c r="E20" i="76" s="1"/>
  <c r="F20" i="76" s="1"/>
  <c r="A21" i="76"/>
  <c r="B21" i="76"/>
  <c r="C21" i="76"/>
  <c r="G21" i="76" s="1"/>
  <c r="D21" i="76"/>
  <c r="E21" i="76" s="1"/>
  <c r="F21" i="76" s="1"/>
  <c r="A22" i="76"/>
  <c r="B22" i="76"/>
  <c r="C22" i="76"/>
  <c r="G22" i="76" s="1"/>
  <c r="D22" i="76"/>
  <c r="E22" i="76" s="1"/>
  <c r="F22" i="76" s="1"/>
  <c r="A23" i="76"/>
  <c r="B23" i="76"/>
  <c r="C23" i="76"/>
  <c r="G23" i="76" s="1"/>
  <c r="H23" i="76" s="1"/>
  <c r="D23" i="76"/>
  <c r="E23" i="76" s="1"/>
  <c r="A24" i="76"/>
  <c r="B24" i="76"/>
  <c r="C24" i="76"/>
  <c r="G24" i="76" s="1"/>
  <c r="D24" i="76"/>
  <c r="E24" i="76" s="1"/>
  <c r="F24" i="76" s="1"/>
  <c r="A25" i="76"/>
  <c r="B25" i="76"/>
  <c r="C25" i="76"/>
  <c r="G25" i="76" s="1"/>
  <c r="D25" i="76"/>
  <c r="E25" i="76" s="1"/>
  <c r="F25" i="76" s="1"/>
  <c r="A26" i="76"/>
  <c r="B26" i="76"/>
  <c r="C26" i="76"/>
  <c r="G26" i="76" s="1"/>
  <c r="D26" i="76"/>
  <c r="E26" i="76" s="1"/>
  <c r="F26" i="76" s="1"/>
  <c r="A3" i="83"/>
  <c r="A4" i="83"/>
  <c r="A30" i="83" s="1"/>
  <c r="G30" i="83" s="1"/>
  <c r="A5" i="83"/>
  <c r="A33" i="83" s="1"/>
  <c r="A6" i="83"/>
  <c r="A7" i="83"/>
  <c r="A29" i="83" s="1"/>
  <c r="G29" i="83" s="1"/>
  <c r="A8" i="83"/>
  <c r="A31" i="83" s="1"/>
  <c r="G31" i="83" s="1"/>
  <c r="A9" i="83"/>
  <c r="A32" i="83" s="1"/>
  <c r="G32" i="83" s="1"/>
  <c r="A10" i="83"/>
  <c r="A11" i="83"/>
  <c r="A12" i="83"/>
  <c r="A13" i="83"/>
  <c r="A14" i="83"/>
  <c r="A15" i="83"/>
  <c r="A16" i="83"/>
  <c r="A17" i="83"/>
  <c r="A18" i="83"/>
  <c r="A19" i="83"/>
  <c r="A20" i="83"/>
  <c r="A21" i="83"/>
  <c r="A22" i="83"/>
  <c r="A23" i="83"/>
  <c r="A24" i="83"/>
  <c r="A25" i="83"/>
  <c r="X25" i="86" l="1"/>
  <c r="AE25" i="86" s="1"/>
  <c r="Z26" i="86"/>
  <c r="S26" i="86"/>
  <c r="X8" i="86"/>
  <c r="AE8" i="86" s="1"/>
  <c r="AE24" i="86"/>
  <c r="X24" i="86"/>
  <c r="S9" i="86"/>
  <c r="Z9" i="86" s="1"/>
  <c r="AD7" i="86"/>
  <c r="W7" i="86"/>
  <c r="Y10" i="86"/>
  <c r="AF10" i="86" s="1"/>
  <c r="AG45" i="94"/>
  <c r="Q52" i="94"/>
  <c r="BD56" i="94"/>
  <c r="BI56" i="94"/>
  <c r="BS56" i="94"/>
  <c r="AH56" i="94"/>
  <c r="BN56" i="94"/>
  <c r="BX56" i="94"/>
  <c r="BY44" i="94"/>
  <c r="BT44" i="94"/>
  <c r="AQ44" i="94"/>
  <c r="AS44" i="94" s="1"/>
  <c r="AX44" i="94"/>
  <c r="AZ44" i="94" s="1"/>
  <c r="BE44" i="94"/>
  <c r="CB44" i="94"/>
  <c r="BJ44" i="94"/>
  <c r="BO44" i="94"/>
  <c r="P40" i="94"/>
  <c r="S40" i="94"/>
  <c r="AK40" i="94"/>
  <c r="BZ58" i="94"/>
  <c r="AG58" i="94"/>
  <c r="CG58" i="94"/>
  <c r="AW58" i="94"/>
  <c r="BC58" i="94"/>
  <c r="AP58" i="94"/>
  <c r="BH58" i="94"/>
  <c r="BR58" i="94"/>
  <c r="Z58" i="94"/>
  <c r="BW58" i="94"/>
  <c r="BM58" i="94"/>
  <c r="S53" i="94"/>
  <c r="R52" i="94"/>
  <c r="R50" i="94"/>
  <c r="Q46" i="94"/>
  <c r="BN44" i="94"/>
  <c r="AH44" i="94"/>
  <c r="BS44" i="94"/>
  <c r="BD44" i="94"/>
  <c r="BX44" i="94"/>
  <c r="BI44" i="94"/>
  <c r="U42" i="94"/>
  <c r="T42" i="94"/>
  <c r="V42" i="94" s="1"/>
  <c r="Q40" i="94"/>
  <c r="AY40" i="94"/>
  <c r="AR40" i="94"/>
  <c r="CE40" i="94"/>
  <c r="BK39" i="94"/>
  <c r="X39" i="94"/>
  <c r="AJ39" i="94"/>
  <c r="P38" i="94"/>
  <c r="S38" i="94"/>
  <c r="AK38" i="94"/>
  <c r="AN42" i="94"/>
  <c r="X42" i="94"/>
  <c r="BU42" i="94"/>
  <c r="BL42" i="94"/>
  <c r="AF42" i="94"/>
  <c r="AE42" i="94"/>
  <c r="BV42" i="94"/>
  <c r="AM42" i="94"/>
  <c r="AO42" i="94" s="1"/>
  <c r="BF42" i="94"/>
  <c r="AU42" i="94"/>
  <c r="AI42" i="94"/>
  <c r="AB42" i="94"/>
  <c r="BK42" i="94"/>
  <c r="BG42" i="94"/>
  <c r="AJ42" i="94"/>
  <c r="BA42" i="94"/>
  <c r="AT42" i="94"/>
  <c r="AV42" i="94" s="1"/>
  <c r="BP42" i="94"/>
  <c r="BQ42" i="94"/>
  <c r="BB42" i="94"/>
  <c r="W42" i="94"/>
  <c r="Y42" i="94" s="1"/>
  <c r="AA42" i="94"/>
  <c r="AC42" i="94" s="1"/>
  <c r="BI26" i="94"/>
  <c r="L60" i="94"/>
  <c r="AQ24" i="94"/>
  <c r="AS24" i="94" s="1"/>
  <c r="I58" i="94"/>
  <c r="Q51" i="94"/>
  <c r="S49" i="94"/>
  <c r="BH44" i="94"/>
  <c r="AW44" i="94"/>
  <c r="BM44" i="94"/>
  <c r="AP44" i="94"/>
  <c r="BC44" i="94"/>
  <c r="Z44" i="94"/>
  <c r="AG44" i="94"/>
  <c r="BZ44" i="94"/>
  <c r="BW44" i="94"/>
  <c r="CG44" i="94"/>
  <c r="BR44" i="94"/>
  <c r="AD44" i="94"/>
  <c r="AK43" i="94"/>
  <c r="S43" i="94"/>
  <c r="BO40" i="94"/>
  <c r="BT40" i="94"/>
  <c r="AX40" i="94"/>
  <c r="AZ40" i="94" s="1"/>
  <c r="BY40" i="94"/>
  <c r="BJ40" i="94"/>
  <c r="AQ40" i="94"/>
  <c r="AS40" i="94" s="1"/>
  <c r="O40" i="94"/>
  <c r="AL40" i="94" s="1"/>
  <c r="BE40" i="94"/>
  <c r="CB40" i="94"/>
  <c r="CA40" i="94"/>
  <c r="CC40" i="94" s="1"/>
  <c r="T39" i="94"/>
  <c r="V39" i="94" s="1"/>
  <c r="CD38" i="94"/>
  <c r="CF38" i="94" s="1"/>
  <c r="AY38" i="94"/>
  <c r="CE38" i="94"/>
  <c r="AR38" i="94"/>
  <c r="Q38" i="94"/>
  <c r="AK26" i="94"/>
  <c r="J60" i="94"/>
  <c r="AY59" i="94"/>
  <c r="AR59" i="94"/>
  <c r="CE59" i="94"/>
  <c r="U58" i="94"/>
  <c r="T58" i="94"/>
  <c r="V58" i="94" s="1"/>
  <c r="AK57" i="94"/>
  <c r="S57" i="94"/>
  <c r="R21" i="94"/>
  <c r="L55" i="94"/>
  <c r="O55" i="94" s="1"/>
  <c r="O53" i="94"/>
  <c r="O51" i="94"/>
  <c r="U14" i="94"/>
  <c r="I48" i="94"/>
  <c r="R48" i="94" s="1"/>
  <c r="P43" i="94"/>
  <c r="AR43" i="94"/>
  <c r="CE43" i="94"/>
  <c r="Q43" i="94"/>
  <c r="AY43" i="94"/>
  <c r="BH6" i="94"/>
  <c r="K40" i="94"/>
  <c r="AX38" i="94"/>
  <c r="AZ38" i="94" s="1"/>
  <c r="CB38" i="94"/>
  <c r="O38" i="94"/>
  <c r="AL38" i="94" s="1"/>
  <c r="BO38" i="94"/>
  <c r="BY38" i="94"/>
  <c r="AQ38" i="94"/>
  <c r="AS38" i="94" s="1"/>
  <c r="BE38" i="94"/>
  <c r="BT38" i="94"/>
  <c r="BJ38" i="94"/>
  <c r="CA38" i="94"/>
  <c r="CC38" i="94" s="1"/>
  <c r="S26" i="94"/>
  <c r="M60" i="94"/>
  <c r="T21" i="94"/>
  <c r="N55" i="94"/>
  <c r="R55" i="94" s="1"/>
  <c r="AQ59" i="94"/>
  <c r="AS59" i="94" s="1"/>
  <c r="AX59" i="94"/>
  <c r="AZ59" i="94" s="1"/>
  <c r="BY59" i="94"/>
  <c r="BE59" i="94"/>
  <c r="BJ59" i="94"/>
  <c r="BT59" i="94"/>
  <c r="CB59" i="94"/>
  <c r="BO59" i="94"/>
  <c r="AD58" i="94"/>
  <c r="Q57" i="94"/>
  <c r="P57" i="94"/>
  <c r="G22" i="94"/>
  <c r="Q47" i="94"/>
  <c r="R46" i="94"/>
  <c r="AY44" i="94"/>
  <c r="CB43" i="94"/>
  <c r="BT43" i="94"/>
  <c r="BY43" i="94"/>
  <c r="BJ43" i="94"/>
  <c r="BO43" i="94"/>
  <c r="AQ43" i="94"/>
  <c r="AS43" i="94" s="1"/>
  <c r="AX43" i="94"/>
  <c r="AZ43" i="94" s="1"/>
  <c r="BE43" i="94"/>
  <c r="BW40" i="94"/>
  <c r="AP40" i="94"/>
  <c r="Z40" i="94"/>
  <c r="AD40" i="94"/>
  <c r="CG40" i="94"/>
  <c r="BM40" i="94"/>
  <c r="BH40" i="94"/>
  <c r="AW40" i="94"/>
  <c r="AG40" i="94"/>
  <c r="BC40" i="94"/>
  <c r="BZ40" i="94"/>
  <c r="BR40" i="94"/>
  <c r="BN5" i="94"/>
  <c r="F39" i="94"/>
  <c r="AU39" i="94" s="1"/>
  <c r="BD38" i="94"/>
  <c r="BS38" i="94"/>
  <c r="BN38" i="94"/>
  <c r="BI38" i="94"/>
  <c r="BX38" i="94"/>
  <c r="AH38" i="94"/>
  <c r="BN58" i="94"/>
  <c r="BI58" i="94"/>
  <c r="BS58" i="94"/>
  <c r="BD58" i="94"/>
  <c r="BX58" i="94"/>
  <c r="AH58" i="94"/>
  <c r="AW59" i="94"/>
  <c r="BW59" i="94"/>
  <c r="Z59" i="94"/>
  <c r="AG59" i="94"/>
  <c r="AP59" i="94"/>
  <c r="BC59" i="94"/>
  <c r="BZ59" i="94"/>
  <c r="BR59" i="94"/>
  <c r="AD59" i="94"/>
  <c r="CG59" i="94"/>
  <c r="BH59" i="94"/>
  <c r="BM59" i="94"/>
  <c r="AH57" i="94"/>
  <c r="S52" i="94"/>
  <c r="S50" i="94"/>
  <c r="O47" i="94"/>
  <c r="AH45" i="94"/>
  <c r="CK9" i="94"/>
  <c r="J43" i="94"/>
  <c r="CE42" i="94"/>
  <c r="AN40" i="94"/>
  <c r="BV40" i="94"/>
  <c r="AI40" i="94"/>
  <c r="BG40" i="94"/>
  <c r="BF40" i="94"/>
  <c r="AF40" i="94"/>
  <c r="BU40" i="94"/>
  <c r="BL40" i="94"/>
  <c r="AA40" i="94"/>
  <c r="AC40" i="94" s="1"/>
  <c r="X40" i="94"/>
  <c r="R40" i="94"/>
  <c r="BK40" i="94"/>
  <c r="AB40" i="94"/>
  <c r="AJ40" i="94"/>
  <c r="BP40" i="94"/>
  <c r="W40" i="94"/>
  <c r="Y40" i="94" s="1"/>
  <c r="AE40" i="94"/>
  <c r="BA40" i="94"/>
  <c r="AT40" i="94"/>
  <c r="AV40" i="94" s="1"/>
  <c r="AM40" i="94"/>
  <c r="AO40" i="94" s="1"/>
  <c r="BQ40" i="94"/>
  <c r="BB40" i="94"/>
  <c r="AU40" i="94"/>
  <c r="AR39" i="94"/>
  <c r="AY39" i="94"/>
  <c r="CE39" i="94"/>
  <c r="CD39" i="94"/>
  <c r="CF39" i="94" s="1"/>
  <c r="AP38" i="94"/>
  <c r="AW38" i="94"/>
  <c r="BW38" i="94"/>
  <c r="AG38" i="94"/>
  <c r="BC38" i="94"/>
  <c r="BZ38" i="94"/>
  <c r="BR38" i="94"/>
  <c r="AD38" i="94"/>
  <c r="BM38" i="94"/>
  <c r="Z38" i="94"/>
  <c r="CG38" i="94"/>
  <c r="BH38" i="94"/>
  <c r="BR39" i="94"/>
  <c r="AD39" i="94"/>
  <c r="CG39" i="94"/>
  <c r="BZ39" i="94"/>
  <c r="Z39" i="94"/>
  <c r="AP39" i="94"/>
  <c r="AG39" i="94"/>
  <c r="BW39" i="94"/>
  <c r="BH39" i="94"/>
  <c r="AW39" i="94"/>
  <c r="BM39" i="94"/>
  <c r="BC39" i="94"/>
  <c r="AK58" i="94"/>
  <c r="S58" i="94"/>
  <c r="AK56" i="94"/>
  <c r="S56" i="94"/>
  <c r="R53" i="94"/>
  <c r="AY58" i="94"/>
  <c r="P58" i="94"/>
  <c r="Q58" i="94"/>
  <c r="AR58" i="94"/>
  <c r="CE58" i="94"/>
  <c r="CD58" i="94"/>
  <c r="CF58" i="94" s="1"/>
  <c r="CE56" i="94"/>
  <c r="CD56" i="94"/>
  <c r="CF56" i="94" s="1"/>
  <c r="P56" i="94"/>
  <c r="AR56" i="94"/>
  <c r="Q56" i="94"/>
  <c r="AY56" i="94"/>
  <c r="CA56" i="94"/>
  <c r="CC56" i="94" s="1"/>
  <c r="Q54" i="94"/>
  <c r="T16" i="94"/>
  <c r="M50" i="94"/>
  <c r="Q50" i="94" s="1"/>
  <c r="R49" i="94"/>
  <c r="BM45" i="94"/>
  <c r="AP45" i="94"/>
  <c r="BR45" i="94"/>
  <c r="BZ45" i="94"/>
  <c r="BW45" i="94"/>
  <c r="BH45" i="94"/>
  <c r="CG45" i="94"/>
  <c r="AW45" i="94"/>
  <c r="Z45" i="94"/>
  <c r="BC45" i="94"/>
  <c r="AD45" i="94"/>
  <c r="P44" i="94"/>
  <c r="S44" i="94"/>
  <c r="AK44" i="94"/>
  <c r="BN8" i="94"/>
  <c r="L42" i="94"/>
  <c r="AR42" i="94" s="1"/>
  <c r="U40" i="94"/>
  <c r="T40" i="94"/>
  <c r="V40" i="94" s="1"/>
  <c r="AQ39" i="94"/>
  <c r="AS39" i="94" s="1"/>
  <c r="AX39" i="94"/>
  <c r="AZ39" i="94" s="1"/>
  <c r="BE39" i="94"/>
  <c r="O39" i="94"/>
  <c r="AL39" i="94" s="1"/>
  <c r="CB39" i="94"/>
  <c r="BJ39" i="94"/>
  <c r="BT39" i="94"/>
  <c r="BY39" i="94"/>
  <c r="BO39" i="94"/>
  <c r="CA39" i="94"/>
  <c r="CC39" i="94" s="1"/>
  <c r="BV38" i="94"/>
  <c r="AA38" i="94"/>
  <c r="AC38" i="94" s="1"/>
  <c r="BL38" i="94"/>
  <c r="X38" i="94"/>
  <c r="BG38" i="94"/>
  <c r="AN38" i="94"/>
  <c r="BF38" i="94"/>
  <c r="R38" i="94"/>
  <c r="AF38" i="94"/>
  <c r="AI38" i="94"/>
  <c r="BU38" i="94"/>
  <c r="AJ38" i="94"/>
  <c r="BQ38" i="94"/>
  <c r="W38" i="94"/>
  <c r="Y38" i="94" s="1"/>
  <c r="BP38" i="94"/>
  <c r="AE38" i="94"/>
  <c r="AM38" i="94"/>
  <c r="AO38" i="94" s="1"/>
  <c r="AT38" i="94"/>
  <c r="AV38" i="94" s="1"/>
  <c r="AU38" i="94"/>
  <c r="BB38" i="94"/>
  <c r="BK38" i="94"/>
  <c r="BA38" i="94"/>
  <c r="AB38" i="94"/>
  <c r="V26" i="94"/>
  <c r="N60" i="94"/>
  <c r="CK26" i="94"/>
  <c r="O58" i="94"/>
  <c r="AL58" i="94" s="1"/>
  <c r="BY58" i="94"/>
  <c r="BT58" i="94"/>
  <c r="BJ58" i="94"/>
  <c r="CB58" i="94"/>
  <c r="AQ58" i="94"/>
  <c r="AS58" i="94" s="1"/>
  <c r="AX58" i="94"/>
  <c r="AZ58" i="94" s="1"/>
  <c r="BO58" i="94"/>
  <c r="BE58" i="94"/>
  <c r="CA58" i="94"/>
  <c r="CC58" i="94" s="1"/>
  <c r="BJ56" i="94"/>
  <c r="AQ56" i="94"/>
  <c r="AS56" i="94" s="1"/>
  <c r="BT56" i="94"/>
  <c r="CB56" i="94"/>
  <c r="BE56" i="94"/>
  <c r="BO56" i="94"/>
  <c r="AX56" i="94"/>
  <c r="AZ56" i="94" s="1"/>
  <c r="BY56" i="94"/>
  <c r="O54" i="94"/>
  <c r="O52" i="94"/>
  <c r="O50" i="94"/>
  <c r="T14" i="94"/>
  <c r="M48" i="94"/>
  <c r="Q48" i="94" s="1"/>
  <c r="S48" i="94"/>
  <c r="Q44" i="94"/>
  <c r="CD44" i="94"/>
  <c r="CF44" i="94" s="1"/>
  <c r="CE44" i="94"/>
  <c r="AR44" i="94"/>
  <c r="CA44" i="94"/>
  <c r="CC44" i="94" s="1"/>
  <c r="BW8" i="94"/>
  <c r="K42" i="94"/>
  <c r="BX39" i="94"/>
  <c r="AH39" i="94"/>
  <c r="BN39" i="94"/>
  <c r="BS39" i="94"/>
  <c r="BD39" i="94"/>
  <c r="BI39" i="94"/>
  <c r="T38" i="94"/>
  <c r="V38" i="94" s="1"/>
  <c r="U38" i="94"/>
  <c r="V14" i="94"/>
  <c r="R12" i="94"/>
  <c r="AI8" i="94"/>
  <c r="T15" i="94"/>
  <c r="T17" i="94"/>
  <c r="BV26" i="94"/>
  <c r="CD26" i="94"/>
  <c r="AF24" i="94"/>
  <c r="V9" i="94"/>
  <c r="W9" i="94" s="1"/>
  <c r="AO6" i="94"/>
  <c r="AB6" i="94"/>
  <c r="AH26" i="94"/>
  <c r="BS10" i="94"/>
  <c r="Y4" i="94"/>
  <c r="H26" i="94"/>
  <c r="H7" i="94"/>
  <c r="R6" i="94"/>
  <c r="W4" i="94"/>
  <c r="V23" i="94"/>
  <c r="CI8" i="94"/>
  <c r="AD11" i="94"/>
  <c r="V17" i="94"/>
  <c r="F19" i="76"/>
  <c r="J19" i="76" s="1"/>
  <c r="I19" i="76"/>
  <c r="I24" i="76"/>
  <c r="H24" i="76"/>
  <c r="J24" i="76" s="1"/>
  <c r="F15" i="76"/>
  <c r="J15" i="76" s="1"/>
  <c r="I15" i="76"/>
  <c r="I9" i="76"/>
  <c r="H9" i="76"/>
  <c r="J9" i="76" s="1"/>
  <c r="I20" i="76"/>
  <c r="H20" i="76"/>
  <c r="J20" i="76" s="1"/>
  <c r="F11" i="76"/>
  <c r="I11" i="76"/>
  <c r="F23" i="76"/>
  <c r="I23" i="76"/>
  <c r="I16" i="76"/>
  <c r="H16" i="76"/>
  <c r="J16" i="76" s="1"/>
  <c r="F8" i="76"/>
  <c r="J8" i="76" s="1"/>
  <c r="I8" i="76"/>
  <c r="I12" i="76"/>
  <c r="H12" i="76"/>
  <c r="J12" i="76" s="1"/>
  <c r="V13" i="86"/>
  <c r="AC13" i="86" s="1"/>
  <c r="S23" i="94"/>
  <c r="Z7" i="86"/>
  <c r="S24" i="94"/>
  <c r="CA26" i="94"/>
  <c r="H24" i="94"/>
  <c r="V14" i="86"/>
  <c r="AC14" i="86" s="1"/>
  <c r="V22" i="94"/>
  <c r="W22" i="94" s="1"/>
  <c r="AO22" i="94"/>
  <c r="CA10" i="94"/>
  <c r="BN10" i="94"/>
  <c r="BC8" i="94"/>
  <c r="CE8" i="94"/>
  <c r="CG8" i="94" s="1"/>
  <c r="J11" i="76"/>
  <c r="I5" i="76"/>
  <c r="CA24" i="94"/>
  <c r="S22" i="94"/>
  <c r="V10" i="94"/>
  <c r="W10" i="94" s="1"/>
  <c r="BE5" i="94"/>
  <c r="J23" i="76"/>
  <c r="BL26" i="94"/>
  <c r="U20" i="94"/>
  <c r="T4" i="94"/>
  <c r="V4" i="94"/>
  <c r="V17" i="86"/>
  <c r="AC17" i="86" s="1"/>
  <c r="W24" i="94"/>
  <c r="AA24" i="94"/>
  <c r="AC24" i="94" s="1"/>
  <c r="BR5" i="94"/>
  <c r="AL5" i="94"/>
  <c r="BB26" i="94"/>
  <c r="BD26" i="94" s="1"/>
  <c r="G25" i="94"/>
  <c r="V24" i="94"/>
  <c r="V16" i="94"/>
  <c r="AB27" i="86"/>
  <c r="X18" i="86"/>
  <c r="AE18" i="86" s="1"/>
  <c r="AD9" i="86"/>
  <c r="BR4" i="94"/>
  <c r="AE15" i="86"/>
  <c r="AE10" i="86"/>
  <c r="AC9" i="86"/>
  <c r="S19" i="86"/>
  <c r="Z19" i="86" s="1"/>
  <c r="Y16" i="86"/>
  <c r="AF16" i="86" s="1"/>
  <c r="Z27" i="86"/>
  <c r="AE22" i="86"/>
  <c r="AE16" i="86"/>
  <c r="AE12" i="86"/>
  <c r="AC11" i="86"/>
  <c r="AE6" i="86"/>
  <c r="V21" i="86"/>
  <c r="AC21" i="86" s="1"/>
  <c r="BH22" i="94"/>
  <c r="T19" i="94"/>
  <c r="V19" i="94"/>
  <c r="W19" i="94" s="1"/>
  <c r="CB10" i="94"/>
  <c r="T6" i="94"/>
  <c r="G4" i="94"/>
  <c r="AA25" i="86"/>
  <c r="AD6" i="86"/>
  <c r="V18" i="86"/>
  <c r="AC18" i="86" s="1"/>
  <c r="W15" i="86"/>
  <c r="AD15" i="86" s="1"/>
  <c r="CE22" i="94"/>
  <c r="CG22" i="94" s="1"/>
  <c r="U17" i="94"/>
  <c r="AL11" i="94"/>
  <c r="CI10" i="94"/>
  <c r="H10" i="94"/>
  <c r="AP6" i="94"/>
  <c r="AF27" i="86"/>
  <c r="Z25" i="86"/>
  <c r="AA9" i="86"/>
  <c r="AE7" i="86"/>
  <c r="AC6" i="86"/>
  <c r="V15" i="86"/>
  <c r="AC15" i="86" s="1"/>
  <c r="AT11" i="94"/>
  <c r="AU10" i="94"/>
  <c r="AW10" i="94" s="1"/>
  <c r="BM6" i="94"/>
  <c r="BB5" i="94"/>
  <c r="BD5" i="94" s="1"/>
  <c r="AE27" i="86"/>
  <c r="AE23" i="86"/>
  <c r="Z18" i="86"/>
  <c r="AB10" i="86"/>
  <c r="AB6" i="86"/>
  <c r="AB25" i="86"/>
  <c r="S23" i="86"/>
  <c r="Z23" i="86" s="1"/>
  <c r="V20" i="94"/>
  <c r="W20" i="94" s="1"/>
  <c r="R17" i="94"/>
  <c r="CH5" i="94"/>
  <c r="CJ5" i="94" s="1"/>
  <c r="AD27" i="86"/>
  <c r="AF25" i="86"/>
  <c r="AF24" i="86"/>
  <c r="AE20" i="86"/>
  <c r="AE13" i="86"/>
  <c r="Z10" i="86"/>
  <c r="AA6" i="86"/>
  <c r="AB26" i="86"/>
  <c r="Z24" i="86"/>
  <c r="W22" i="86"/>
  <c r="AD22" i="86" s="1"/>
  <c r="S20" i="86"/>
  <c r="Z20" i="86" s="1"/>
  <c r="T22" i="86"/>
  <c r="AA22" i="86" s="1"/>
  <c r="BL10" i="94"/>
  <c r="CI6" i="94"/>
  <c r="U6" i="94"/>
  <c r="BE4" i="94"/>
  <c r="AC23" i="86"/>
  <c r="AD20" i="86"/>
  <c r="AD17" i="86"/>
  <c r="AD14" i="86"/>
  <c r="AD13" i="86"/>
  <c r="Z12" i="86"/>
  <c r="AF11" i="86"/>
  <c r="AE9" i="86"/>
  <c r="AA7" i="86"/>
  <c r="Z6" i="86"/>
  <c r="AD11" i="86"/>
  <c r="AB7" i="86"/>
  <c r="Y23" i="86"/>
  <c r="AF23" i="86" s="1"/>
  <c r="V22" i="86"/>
  <c r="AC22" i="86" s="1"/>
  <c r="W19" i="86"/>
  <c r="AD19" i="86" s="1"/>
  <c r="S17" i="86"/>
  <c r="Z17" i="86" s="1"/>
  <c r="Y18" i="86"/>
  <c r="AF18" i="86" s="1"/>
  <c r="AF15" i="86"/>
  <c r="AF17" i="86"/>
  <c r="AF21" i="86"/>
  <c r="AF13" i="86"/>
  <c r="AE17" i="86"/>
  <c r="AE14" i="86"/>
  <c r="AB15" i="86"/>
  <c r="AA20" i="86"/>
  <c r="AA19" i="86"/>
  <c r="AA21" i="86"/>
  <c r="AA18" i="86"/>
  <c r="AA14" i="86"/>
  <c r="AA13" i="86"/>
  <c r="Z21" i="86"/>
  <c r="AF20" i="86"/>
  <c r="Z16" i="86"/>
  <c r="AF14" i="86"/>
  <c r="Z22" i="86"/>
  <c r="AD25" i="86"/>
  <c r="AE21" i="86"/>
  <c r="AC19" i="86"/>
  <c r="AE26" i="86"/>
  <c r="AC25" i="86"/>
  <c r="AC24" i="86"/>
  <c r="AF22" i="86"/>
  <c r="AD21" i="86"/>
  <c r="AD16" i="86"/>
  <c r="AB14" i="86"/>
  <c r="AD26" i="86"/>
  <c r="AE11" i="86"/>
  <c r="AC7" i="86"/>
  <c r="AB11" i="86"/>
  <c r="AD10" i="86"/>
  <c r="AC12" i="86"/>
  <c r="AB12" i="86"/>
  <c r="AF7" i="86"/>
  <c r="Z11" i="86"/>
  <c r="Z8" i="86"/>
  <c r="AA8" i="94"/>
  <c r="AC8" i="94" s="1"/>
  <c r="AT4" i="94"/>
  <c r="BF8" i="94"/>
  <c r="CD4" i="94"/>
  <c r="BA26" i="94"/>
  <c r="AT25" i="94"/>
  <c r="BP24" i="94"/>
  <c r="AJ24" i="94"/>
  <c r="AU22" i="94"/>
  <c r="AW22" i="94" s="1"/>
  <c r="V21" i="94"/>
  <c r="W14" i="94"/>
  <c r="CK11" i="94"/>
  <c r="BG11" i="94"/>
  <c r="BB9" i="94"/>
  <c r="BD9" i="94" s="1"/>
  <c r="CC6" i="94"/>
  <c r="AJ6" i="94"/>
  <c r="CE6" i="94"/>
  <c r="CG6" i="94" s="1"/>
  <c r="BJ5" i="94"/>
  <c r="Y5" i="94"/>
  <c r="CK4" i="94"/>
  <c r="BK4" i="94"/>
  <c r="AM4" i="94"/>
  <c r="AK24" i="94"/>
  <c r="BS26" i="94"/>
  <c r="AD26" i="94"/>
  <c r="BV25" i="94"/>
  <c r="BO24" i="94"/>
  <c r="AE24" i="94"/>
  <c r="AG24" i="94" s="1"/>
  <c r="BX24" i="94"/>
  <c r="AV10" i="94"/>
  <c r="BG10" i="94"/>
  <c r="AD9" i="94"/>
  <c r="AY8" i="94"/>
  <c r="BY6" i="94"/>
  <c r="BI5" i="94"/>
  <c r="R5" i="94"/>
  <c r="AP5" i="94" s="1"/>
  <c r="X5" i="94"/>
  <c r="Z5" i="94" s="1"/>
  <c r="CH4" i="94"/>
  <c r="CJ4" i="94" s="1"/>
  <c r="BJ4" i="94"/>
  <c r="AL4" i="94"/>
  <c r="CI4" i="94"/>
  <c r="AN24" i="94"/>
  <c r="AO4" i="94"/>
  <c r="BQ26" i="94"/>
  <c r="AT26" i="94"/>
  <c r="AD25" i="94"/>
  <c r="BN24" i="94"/>
  <c r="AB24" i="94"/>
  <c r="T22" i="94"/>
  <c r="W18" i="94"/>
  <c r="H13" i="94"/>
  <c r="U12" i="94"/>
  <c r="CA11" i="94"/>
  <c r="CE10" i="94"/>
  <c r="CG10" i="94" s="1"/>
  <c r="AX8" i="94"/>
  <c r="AZ8" i="94" s="1"/>
  <c r="H8" i="94"/>
  <c r="BX6" i="94"/>
  <c r="BF5" i="94"/>
  <c r="CA4" i="94"/>
  <c r="BG4" i="94"/>
  <c r="AE4" i="94"/>
  <c r="AG4" i="94" s="1"/>
  <c r="CA25" i="94"/>
  <c r="BN26" i="94"/>
  <c r="BK24" i="94"/>
  <c r="AL23" i="94"/>
  <c r="H19" i="94"/>
  <c r="H18" i="94"/>
  <c r="H14" i="94"/>
  <c r="CD10" i="94"/>
  <c r="AH10" i="94"/>
  <c r="AQ8" i="94"/>
  <c r="AS8" i="94" s="1"/>
  <c r="BS6" i="94"/>
  <c r="S6" i="94"/>
  <c r="BZ4" i="94"/>
  <c r="AD4" i="94"/>
  <c r="AH4" i="94"/>
  <c r="BC25" i="94"/>
  <c r="BW24" i="94"/>
  <c r="BO4" i="94"/>
  <c r="AO26" i="94"/>
  <c r="U21" i="94"/>
  <c r="T9" i="94"/>
  <c r="AM8" i="94"/>
  <c r="AU6" i="94"/>
  <c r="AW6" i="94" s="1"/>
  <c r="BZ5" i="94"/>
  <c r="AX5" i="94"/>
  <c r="AZ5" i="94" s="1"/>
  <c r="BU4" i="94"/>
  <c r="BB4" i="94"/>
  <c r="BD4" i="94" s="1"/>
  <c r="AX4" i="94"/>
  <c r="AZ4" i="94" s="1"/>
  <c r="BX26" i="94"/>
  <c r="CF6" i="94"/>
  <c r="BI25" i="94"/>
  <c r="CD24" i="94"/>
  <c r="AX24" i="94"/>
  <c r="AZ24" i="94" s="1"/>
  <c r="Y24" i="94"/>
  <c r="BX22" i="94"/>
  <c r="BC22" i="94"/>
  <c r="T20" i="94"/>
  <c r="BO8" i="94"/>
  <c r="BI6" i="94"/>
  <c r="G6" i="94"/>
  <c r="BY5" i="94"/>
  <c r="BS4" i="94"/>
  <c r="AU4" i="94"/>
  <c r="AW4" i="94" s="1"/>
  <c r="X4" i="94"/>
  <c r="Z4" i="94" s="1"/>
  <c r="R18" i="94"/>
  <c r="U13" i="94"/>
  <c r="BL5" i="94"/>
  <c r="CK5" i="94"/>
  <c r="AH5" i="94"/>
  <c r="BV5" i="94"/>
  <c r="CD5" i="94"/>
  <c r="BG5" i="94"/>
  <c r="CA5" i="94"/>
  <c r="AD5" i="94"/>
  <c r="AK5" i="94"/>
  <c r="AT5" i="94"/>
  <c r="BQ5" i="94"/>
  <c r="BA5" i="94"/>
  <c r="BG26" i="94"/>
  <c r="BN25" i="94"/>
  <c r="BL24" i="94"/>
  <c r="AY24" i="94"/>
  <c r="AM24" i="94"/>
  <c r="CH24" i="94"/>
  <c r="CJ24" i="94" s="1"/>
  <c r="BM22" i="94"/>
  <c r="R20" i="94"/>
  <c r="AV26" i="94"/>
  <c r="AK25" i="94"/>
  <c r="BA25" i="94"/>
  <c r="AV25" i="94"/>
  <c r="BI24" i="94"/>
  <c r="BB24" i="94"/>
  <c r="BD24" i="94" s="1"/>
  <c r="CC24" i="94"/>
  <c r="U19" i="94"/>
  <c r="H15" i="94"/>
  <c r="W15" i="94"/>
  <c r="W26" i="94"/>
  <c r="CF26" i="94"/>
  <c r="AU26" i="94"/>
  <c r="AW26" i="94" s="1"/>
  <c r="BL25" i="94"/>
  <c r="BB25" i="94"/>
  <c r="BD25" i="94" s="1"/>
  <c r="BV24" i="94"/>
  <c r="BH24" i="94"/>
  <c r="AV24" i="94"/>
  <c r="AI24" i="94"/>
  <c r="X24" i="94"/>
  <c r="Z24" i="94" s="1"/>
  <c r="T26" i="94"/>
  <c r="CD25" i="94"/>
  <c r="CI24" i="94"/>
  <c r="BC26" i="94"/>
  <c r="CC25" i="94"/>
  <c r="BX25" i="94"/>
  <c r="CF25" i="94"/>
  <c r="CF24" i="94"/>
  <c r="BT24" i="94"/>
  <c r="BG24" i="94"/>
  <c r="AU24" i="94"/>
  <c r="AW24" i="94" s="1"/>
  <c r="AH24" i="94"/>
  <c r="AV22" i="94"/>
  <c r="BW22" i="94"/>
  <c r="T13" i="94"/>
  <c r="T12" i="94"/>
  <c r="CI26" i="94"/>
  <c r="CC26" i="94"/>
  <c r="CK25" i="94"/>
  <c r="BS25" i="94"/>
  <c r="CE24" i="94"/>
  <c r="CG24" i="94" s="1"/>
  <c r="BS24" i="94"/>
  <c r="BF24" i="94"/>
  <c r="AR24" i="94"/>
  <c r="T24" i="94"/>
  <c r="U24" i="94"/>
  <c r="BY24" i="94"/>
  <c r="BJ24" i="94"/>
  <c r="BZ24" i="94"/>
  <c r="BE24" i="94"/>
  <c r="BU24" i="94"/>
  <c r="AO23" i="94"/>
  <c r="G23" i="94"/>
  <c r="CI22" i="94"/>
  <c r="U18" i="94"/>
  <c r="R16" i="94"/>
  <c r="U16" i="94"/>
  <c r="CI25" i="94"/>
  <c r="BQ25" i="94"/>
  <c r="BG25" i="94"/>
  <c r="AU25" i="94"/>
  <c r="AW25" i="94" s="1"/>
  <c r="AH25" i="94"/>
  <c r="CB24" i="94"/>
  <c r="BC24" i="94"/>
  <c r="R24" i="94"/>
  <c r="AP24" i="94" s="1"/>
  <c r="AT24" i="94"/>
  <c r="BR24" i="94"/>
  <c r="AO24" i="94"/>
  <c r="BM24" i="94"/>
  <c r="CK24" i="94"/>
  <c r="W23" i="94"/>
  <c r="BB22" i="94"/>
  <c r="BD22" i="94" s="1"/>
  <c r="BI22" i="94"/>
  <c r="BS22" i="94"/>
  <c r="CC22" i="94"/>
  <c r="BN22" i="94"/>
  <c r="CF22" i="94"/>
  <c r="G21" i="94"/>
  <c r="W21" i="94"/>
  <c r="H21" i="94"/>
  <c r="T18" i="94"/>
  <c r="G17" i="94"/>
  <c r="W17" i="94"/>
  <c r="H17" i="94"/>
  <c r="V15" i="94"/>
  <c r="V12" i="94"/>
  <c r="CA6" i="94"/>
  <c r="BL6" i="94"/>
  <c r="AH6" i="94"/>
  <c r="BV6" i="94"/>
  <c r="CD6" i="94"/>
  <c r="BG6" i="94"/>
  <c r="AD6" i="94"/>
  <c r="AT6" i="94"/>
  <c r="BQ6" i="94"/>
  <c r="CK6" i="94"/>
  <c r="BA6" i="94"/>
  <c r="AK6" i="94"/>
  <c r="G9" i="94"/>
  <c r="H9" i="94"/>
  <c r="AL24" i="94"/>
  <c r="AD24" i="94"/>
  <c r="AL22" i="94"/>
  <c r="BR22" i="94"/>
  <c r="R19" i="94"/>
  <c r="R15" i="94"/>
  <c r="S10" i="94"/>
  <c r="CH10" i="94"/>
  <c r="CJ10" i="94" s="1"/>
  <c r="CF10" i="94"/>
  <c r="T10" i="94"/>
  <c r="BC10" i="94"/>
  <c r="BQ24" i="94"/>
  <c r="BA24" i="94"/>
  <c r="CB22" i="94"/>
  <c r="CH22" i="94"/>
  <c r="CJ22" i="94" s="1"/>
  <c r="H20" i="94"/>
  <c r="G20" i="94"/>
  <c r="V18" i="94"/>
  <c r="G16" i="94"/>
  <c r="W16" i="94"/>
  <c r="H16" i="94"/>
  <c r="CC9" i="94"/>
  <c r="AO9" i="94"/>
  <c r="V13" i="94"/>
  <c r="W13" i="94" s="1"/>
  <c r="AK9" i="94"/>
  <c r="BA9" i="94"/>
  <c r="BQ9" i="94"/>
  <c r="AU9" i="94"/>
  <c r="AW9" i="94" s="1"/>
  <c r="BC9" i="94"/>
  <c r="BS9" i="94"/>
  <c r="CA9" i="94"/>
  <c r="CI9" i="94"/>
  <c r="AV9" i="94"/>
  <c r="BL9" i="94"/>
  <c r="BG9" i="94"/>
  <c r="BV9" i="94"/>
  <c r="BX9" i="94"/>
  <c r="AH9" i="94"/>
  <c r="BN9" i="94"/>
  <c r="CD9" i="94"/>
  <c r="CF9" i="94"/>
  <c r="AT9" i="94"/>
  <c r="R14" i="94"/>
  <c r="G12" i="94"/>
  <c r="W12" i="94"/>
  <c r="BB8" i="94"/>
  <c r="BD8" i="94" s="1"/>
  <c r="CC8" i="94"/>
  <c r="BX8" i="94"/>
  <c r="CF8" i="94"/>
  <c r="BI8" i="94"/>
  <c r="AU8" i="94"/>
  <c r="AW8" i="94" s="1"/>
  <c r="R8" i="94"/>
  <c r="AP8" i="94" s="1"/>
  <c r="R13" i="94"/>
  <c r="H11" i="94"/>
  <c r="BS8" i="94"/>
  <c r="X8" i="94"/>
  <c r="Z8" i="94" s="1"/>
  <c r="Y8" i="94"/>
  <c r="BW10" i="94"/>
  <c r="AK10" i="94"/>
  <c r="BA10" i="94"/>
  <c r="BQ10" i="94"/>
  <c r="AL10" i="94"/>
  <c r="BR10" i="94"/>
  <c r="AO10" i="94"/>
  <c r="BM10" i="94"/>
  <c r="S9" i="94"/>
  <c r="BJ8" i="94"/>
  <c r="AE6" i="94"/>
  <c r="AG6" i="94" s="1"/>
  <c r="AM6" i="94"/>
  <c r="BK6" i="94"/>
  <c r="AF6" i="94"/>
  <c r="AN6" i="94"/>
  <c r="BT6" i="94"/>
  <c r="Y6" i="94"/>
  <c r="BE6" i="94"/>
  <c r="BU6" i="94"/>
  <c r="AX6" i="94"/>
  <c r="AZ6" i="94" s="1"/>
  <c r="BF6" i="94"/>
  <c r="AA6" i="94"/>
  <c r="AC6" i="94" s="1"/>
  <c r="AI6" i="94"/>
  <c r="AQ6" i="94"/>
  <c r="AS6" i="94" s="1"/>
  <c r="AY6" i="94"/>
  <c r="BO6" i="94"/>
  <c r="BJ6" i="94"/>
  <c r="BZ6" i="94"/>
  <c r="AL8" i="94"/>
  <c r="BR8" i="94"/>
  <c r="AF8" i="94"/>
  <c r="AN8" i="94"/>
  <c r="AV8" i="94"/>
  <c r="BT8" i="94"/>
  <c r="CB8" i="94"/>
  <c r="BM8" i="94"/>
  <c r="AB8" i="94"/>
  <c r="AJ8" i="94"/>
  <c r="AR8" i="94"/>
  <c r="BH8" i="94"/>
  <c r="BP8" i="94"/>
  <c r="H5" i="94"/>
  <c r="G5" i="94"/>
  <c r="CC4" i="94"/>
  <c r="R4" i="94"/>
  <c r="AP4" i="94" s="1"/>
  <c r="BN4" i="94"/>
  <c r="BX4" i="94"/>
  <c r="CF4" i="94"/>
  <c r="BI4" i="94"/>
  <c r="BX10" i="94"/>
  <c r="BH10" i="94"/>
  <c r="BI10" i="94"/>
  <c r="BB10" i="94"/>
  <c r="BD10" i="94" s="1"/>
  <c r="CC10" i="94"/>
  <c r="BI9" i="94"/>
  <c r="BK8" i="94"/>
  <c r="AE8" i="94"/>
  <c r="AG8" i="94" s="1"/>
  <c r="AR6" i="94"/>
  <c r="BM4" i="94"/>
  <c r="BW4" i="94"/>
  <c r="CE4" i="94"/>
  <c r="CG4" i="94" s="1"/>
  <c r="BH4" i="94"/>
  <c r="CB4" i="94"/>
  <c r="AH11" i="94"/>
  <c r="BV11" i="94"/>
  <c r="CD11" i="94"/>
  <c r="AK11" i="94"/>
  <c r="BA11" i="94"/>
  <c r="BQ11" i="94"/>
  <c r="BL11" i="94"/>
  <c r="BV10" i="94"/>
  <c r="BY8" i="94"/>
  <c r="CH8" i="94"/>
  <c r="CJ8" i="94" s="1"/>
  <c r="BP6" i="94"/>
  <c r="CB5" i="94"/>
  <c r="BM5" i="94"/>
  <c r="BW5" i="94"/>
  <c r="CE5" i="94"/>
  <c r="CG5" i="94" s="1"/>
  <c r="BH5" i="94"/>
  <c r="BC4" i="94"/>
  <c r="V6" i="94"/>
  <c r="W6" i="94" s="1"/>
  <c r="CK10" i="94"/>
  <c r="CH6" i="94"/>
  <c r="CJ6" i="94" s="1"/>
  <c r="BR6" i="94"/>
  <c r="BB6" i="94"/>
  <c r="BD6" i="94" s="1"/>
  <c r="AL6" i="94"/>
  <c r="CI5" i="94"/>
  <c r="BS5" i="94"/>
  <c r="BK5" i="94"/>
  <c r="BC5" i="94"/>
  <c r="AU5" i="94"/>
  <c r="AW5" i="94" s="1"/>
  <c r="AM5" i="94"/>
  <c r="AE5" i="94"/>
  <c r="AG5" i="94" s="1"/>
  <c r="BT4" i="94"/>
  <c r="BL4" i="94"/>
  <c r="AV4" i="94"/>
  <c r="AN4" i="94"/>
  <c r="AF4" i="94"/>
  <c r="AT10" i="94"/>
  <c r="AD10" i="94"/>
  <c r="BU8" i="94"/>
  <c r="BE8" i="94"/>
  <c r="BW6" i="94"/>
  <c r="CF5" i="94"/>
  <c r="BX5" i="94"/>
  <c r="BP5" i="94"/>
  <c r="AR5" i="94"/>
  <c r="AJ5" i="94"/>
  <c r="AB5" i="94"/>
  <c r="BY4" i="94"/>
  <c r="BQ4" i="94"/>
  <c r="BA4" i="94"/>
  <c r="AK4" i="94"/>
  <c r="U4" i="94"/>
  <c r="BN6" i="94"/>
  <c r="BO5" i="94"/>
  <c r="AY5" i="94"/>
  <c r="AQ5" i="94"/>
  <c r="AS5" i="94" s="1"/>
  <c r="AI5" i="94"/>
  <c r="AA5" i="94"/>
  <c r="AC5" i="94" s="1"/>
  <c r="BP4" i="94"/>
  <c r="AR4" i="94"/>
  <c r="AJ4" i="94"/>
  <c r="AB4" i="94"/>
  <c r="AY4" i="94"/>
  <c r="AQ4" i="94"/>
  <c r="AS4" i="94" s="1"/>
  <c r="AI4" i="94"/>
  <c r="AA4" i="94"/>
  <c r="AC4" i="94" s="1"/>
  <c r="S4" i="94"/>
  <c r="BZ8" i="94"/>
  <c r="CB6" i="94"/>
  <c r="AV6" i="94"/>
  <c r="X6" i="94"/>
  <c r="Z6" i="94" s="1"/>
  <c r="CC5" i="94"/>
  <c r="BU5" i="94"/>
  <c r="BV4" i="94"/>
  <c r="BF4" i="94"/>
  <c r="BC6" i="94"/>
  <c r="BT5" i="94"/>
  <c r="AV5" i="94"/>
  <c r="AN5" i="94"/>
  <c r="AF5" i="94"/>
  <c r="H5" i="76"/>
  <c r="J5" i="76" s="1"/>
  <c r="H21" i="76"/>
  <c r="J21" i="76" s="1"/>
  <c r="I21" i="76"/>
  <c r="H25" i="76"/>
  <c r="J25" i="76" s="1"/>
  <c r="I25" i="76"/>
  <c r="H6" i="76"/>
  <c r="J6" i="76" s="1"/>
  <c r="I6" i="76"/>
  <c r="I26" i="76"/>
  <c r="H26" i="76"/>
  <c r="J26" i="76" s="1"/>
  <c r="I22" i="76"/>
  <c r="H22" i="76"/>
  <c r="J22" i="76" s="1"/>
  <c r="I18" i="76"/>
  <c r="H18" i="76"/>
  <c r="J18" i="76" s="1"/>
  <c r="H14" i="76"/>
  <c r="J14" i="76" s="1"/>
  <c r="I14" i="76"/>
  <c r="I10" i="76"/>
  <c r="H10" i="76"/>
  <c r="J10" i="76" s="1"/>
  <c r="I7" i="76"/>
  <c r="H7" i="76"/>
  <c r="J7" i="76" s="1"/>
  <c r="F4" i="76"/>
  <c r="J4" i="76" s="1"/>
  <c r="I4" i="76"/>
  <c r="H17" i="76"/>
  <c r="J17" i="76" s="1"/>
  <c r="I17" i="76"/>
  <c r="H13" i="76"/>
  <c r="J13" i="76" s="1"/>
  <c r="I13" i="76"/>
  <c r="V28" i="32"/>
  <c r="AC2" i="32"/>
  <c r="AA2" i="32"/>
  <c r="V2" i="32"/>
  <c r="T2" i="32"/>
  <c r="Q2" i="32"/>
  <c r="M2" i="32"/>
  <c r="I2" i="32"/>
  <c r="A5" i="86"/>
  <c r="A4" i="86"/>
  <c r="F5" i="86"/>
  <c r="G5" i="86"/>
  <c r="G4" i="86"/>
  <c r="C5" i="86"/>
  <c r="D5" i="86"/>
  <c r="H5" i="86"/>
  <c r="R5" i="86" s="1"/>
  <c r="I5" i="86"/>
  <c r="S5" i="86" s="1"/>
  <c r="J5" i="86"/>
  <c r="T5" i="86" s="1"/>
  <c r="K5" i="86"/>
  <c r="U5" i="86" s="1"/>
  <c r="L5" i="86"/>
  <c r="V5" i="86" s="1"/>
  <c r="M5" i="86"/>
  <c r="W5" i="86" s="1"/>
  <c r="N5" i="86"/>
  <c r="X5" i="86" s="1"/>
  <c r="O5" i="86"/>
  <c r="Y5" i="86" s="1"/>
  <c r="E3" i="94"/>
  <c r="E37" i="94" s="1"/>
  <c r="A2" i="83"/>
  <c r="U14" i="32"/>
  <c r="AV14" i="32"/>
  <c r="AW14" i="32"/>
  <c r="AX14" i="32"/>
  <c r="AY14" i="32"/>
  <c r="AZ14" i="32"/>
  <c r="BA14" i="32"/>
  <c r="BB14" i="32"/>
  <c r="BC14" i="32"/>
  <c r="BD14" i="32"/>
  <c r="BE14" i="32"/>
  <c r="BF14" i="32"/>
  <c r="AV15" i="32"/>
  <c r="AW15" i="32"/>
  <c r="AX15" i="32"/>
  <c r="AY15" i="32"/>
  <c r="AZ15" i="32"/>
  <c r="BA15" i="32"/>
  <c r="BB15" i="32"/>
  <c r="BC15" i="32"/>
  <c r="BD15" i="32"/>
  <c r="BE15" i="32"/>
  <c r="BF15" i="32"/>
  <c r="AV16" i="32"/>
  <c r="AW16" i="32"/>
  <c r="AX16" i="32"/>
  <c r="AY16" i="32"/>
  <c r="AZ16" i="32"/>
  <c r="BA16" i="32"/>
  <c r="BB16" i="32"/>
  <c r="BC16" i="32"/>
  <c r="BD16" i="32"/>
  <c r="BE16" i="32"/>
  <c r="BF16" i="32"/>
  <c r="AV17" i="32"/>
  <c r="AW17" i="32"/>
  <c r="AX17" i="32"/>
  <c r="AY17" i="32"/>
  <c r="AZ17" i="32"/>
  <c r="BA17" i="32"/>
  <c r="BB17" i="32"/>
  <c r="BC17" i="32"/>
  <c r="BD17" i="32"/>
  <c r="BE17" i="32"/>
  <c r="BF17" i="32"/>
  <c r="AV18" i="32"/>
  <c r="AW18" i="32"/>
  <c r="AX18" i="32"/>
  <c r="AY18" i="32"/>
  <c r="AZ18" i="32"/>
  <c r="BA18" i="32"/>
  <c r="BB18" i="32"/>
  <c r="BC18" i="32"/>
  <c r="BD18" i="32"/>
  <c r="BE18" i="32"/>
  <c r="BF18" i="32"/>
  <c r="AQ14" i="32"/>
  <c r="W14" i="32"/>
  <c r="R14" i="32"/>
  <c r="S14" i="32"/>
  <c r="P14" i="32"/>
  <c r="N14" i="32"/>
  <c r="J14" i="32"/>
  <c r="K14" i="32"/>
  <c r="L14" i="32"/>
  <c r="AY42" i="94" l="1"/>
  <c r="BJ60" i="94"/>
  <c r="BY60" i="94"/>
  <c r="CB60" i="94"/>
  <c r="AQ60" i="94"/>
  <c r="AS60" i="94" s="1"/>
  <c r="AX60" i="94"/>
  <c r="AZ60" i="94" s="1"/>
  <c r="BT60" i="94"/>
  <c r="BE60" i="94"/>
  <c r="BO60" i="94"/>
  <c r="AI39" i="94"/>
  <c r="BB39" i="94"/>
  <c r="BL39" i="94"/>
  <c r="BI42" i="94"/>
  <c r="BD42" i="94"/>
  <c r="AH42" i="94"/>
  <c r="BX42" i="94"/>
  <c r="BS42" i="94"/>
  <c r="BN42" i="94"/>
  <c r="CD42" i="94"/>
  <c r="CF42" i="94" s="1"/>
  <c r="AR60" i="94"/>
  <c r="P60" i="94"/>
  <c r="Q60" i="94"/>
  <c r="AY60" i="94"/>
  <c r="CE60" i="94"/>
  <c r="AD60" i="94"/>
  <c r="BC60" i="94"/>
  <c r="CG60" i="94"/>
  <c r="BR60" i="94"/>
  <c r="BZ60" i="94"/>
  <c r="Z60" i="94"/>
  <c r="AP60" i="94"/>
  <c r="AG60" i="94"/>
  <c r="AW60" i="94"/>
  <c r="BM60" i="94"/>
  <c r="BW60" i="94"/>
  <c r="BH60" i="94"/>
  <c r="O48" i="94"/>
  <c r="AE39" i="94"/>
  <c r="AB39" i="94"/>
  <c r="S55" i="94"/>
  <c r="AA39" i="94"/>
  <c r="AC39" i="94" s="1"/>
  <c r="BF39" i="94"/>
  <c r="W39" i="94"/>
  <c r="Y39" i="94" s="1"/>
  <c r="BO42" i="94"/>
  <c r="BT42" i="94"/>
  <c r="AQ42" i="94"/>
  <c r="AS42" i="94" s="1"/>
  <c r="BJ42" i="94"/>
  <c r="AX42" i="94"/>
  <c r="AZ42" i="94" s="1"/>
  <c r="CB42" i="94"/>
  <c r="BE42" i="94"/>
  <c r="O42" i="94"/>
  <c r="AL42" i="94" s="1"/>
  <c r="BY42" i="94"/>
  <c r="BZ43" i="94"/>
  <c r="AG43" i="94"/>
  <c r="Z43" i="94"/>
  <c r="BW43" i="94"/>
  <c r="AW43" i="94"/>
  <c r="AP43" i="94"/>
  <c r="BH43" i="94"/>
  <c r="BM43" i="94"/>
  <c r="CG43" i="94"/>
  <c r="BC43" i="94"/>
  <c r="BR43" i="94"/>
  <c r="AD43" i="94"/>
  <c r="Q55" i="94"/>
  <c r="AN39" i="94"/>
  <c r="AM39" i="94"/>
  <c r="AO39" i="94" s="1"/>
  <c r="AT39" i="94"/>
  <c r="AV39" i="94" s="1"/>
  <c r="BU39" i="94"/>
  <c r="BA39" i="94"/>
  <c r="BP39" i="94"/>
  <c r="CA42" i="94"/>
  <c r="CC42" i="94" s="1"/>
  <c r="BQ58" i="94"/>
  <c r="BG58" i="94"/>
  <c r="AM58" i="94"/>
  <c r="AO58" i="94" s="1"/>
  <c r="AE58" i="94"/>
  <c r="BB58" i="94"/>
  <c r="W58" i="94"/>
  <c r="Y58" i="94" s="1"/>
  <c r="AI58" i="94"/>
  <c r="X58" i="94"/>
  <c r="BF58" i="94"/>
  <c r="AA58" i="94"/>
  <c r="AC58" i="94" s="1"/>
  <c r="AF58" i="94"/>
  <c r="AT58" i="94"/>
  <c r="AV58" i="94" s="1"/>
  <c r="BK58" i="94"/>
  <c r="R58" i="94"/>
  <c r="AN58" i="94"/>
  <c r="BU58" i="94"/>
  <c r="AJ58" i="94"/>
  <c r="AB58" i="94"/>
  <c r="AU58" i="94"/>
  <c r="BP58" i="94"/>
  <c r="BA58" i="94"/>
  <c r="BL58" i="94"/>
  <c r="BV58" i="94"/>
  <c r="AF39" i="94"/>
  <c r="BG39" i="94"/>
  <c r="AK60" i="94"/>
  <c r="S60" i="94"/>
  <c r="BS40" i="94"/>
  <c r="BI40" i="94"/>
  <c r="BX40" i="94"/>
  <c r="BN40" i="94"/>
  <c r="AH40" i="94"/>
  <c r="BD40" i="94"/>
  <c r="U39" i="94"/>
  <c r="BQ39" i="94"/>
  <c r="BV39" i="94"/>
  <c r="CD40" i="94"/>
  <c r="CF40" i="94" s="1"/>
  <c r="I13" i="94"/>
  <c r="B12" i="83"/>
  <c r="C12" i="83"/>
  <c r="AH14" i="32"/>
  <c r="AG14" i="32"/>
  <c r="AF14" i="32"/>
  <c r="AK14" i="32"/>
  <c r="S12" i="83" s="1"/>
  <c r="AI14" i="32"/>
  <c r="Q12" i="83" s="1"/>
  <c r="AM14" i="32"/>
  <c r="AJ14" i="32"/>
  <c r="R12" i="83" s="1"/>
  <c r="AN14" i="32"/>
  <c r="AL14" i="32"/>
  <c r="T12" i="83" s="1"/>
  <c r="U15" i="32"/>
  <c r="AQ15" i="32"/>
  <c r="W15" i="32"/>
  <c r="R15" i="32"/>
  <c r="S15" i="32"/>
  <c r="P15" i="32"/>
  <c r="N15" i="32"/>
  <c r="J15" i="32"/>
  <c r="K15" i="32"/>
  <c r="L15" i="32"/>
  <c r="BF13" i="94" l="1"/>
  <c r="F47" i="94"/>
  <c r="I15" i="115"/>
  <c r="K18" i="86"/>
  <c r="M17" i="94"/>
  <c r="J51" i="94" s="1"/>
  <c r="K19" i="86"/>
  <c r="U19" i="86" s="1"/>
  <c r="AB19" i="86" s="1"/>
  <c r="M18" i="94"/>
  <c r="J52" i="94" s="1"/>
  <c r="I10" i="115"/>
  <c r="K13" i="86"/>
  <c r="U13" i="86" s="1"/>
  <c r="AB13" i="86" s="1"/>
  <c r="M12" i="94"/>
  <c r="J46" i="94" s="1"/>
  <c r="I14" i="115"/>
  <c r="M16" i="94"/>
  <c r="J50" i="94" s="1"/>
  <c r="K17" i="86"/>
  <c r="U17" i="86" s="1"/>
  <c r="AB17" i="86" s="1"/>
  <c r="K22" i="86"/>
  <c r="U22" i="86" s="1"/>
  <c r="AB22" i="86" s="1"/>
  <c r="M21" i="94"/>
  <c r="J55" i="94" s="1"/>
  <c r="M19" i="94"/>
  <c r="J53" i="94" s="1"/>
  <c r="K20" i="86"/>
  <c r="U20" i="86" s="1"/>
  <c r="AB20" i="86" s="1"/>
  <c r="I13" i="115"/>
  <c r="K16" i="86"/>
  <c r="U16" i="86" s="1"/>
  <c r="AB16" i="86" s="1"/>
  <c r="M15" i="94"/>
  <c r="J49" i="94" s="1"/>
  <c r="K21" i="86"/>
  <c r="M20" i="94"/>
  <c r="J54" i="94" s="1"/>
  <c r="CF13" i="94"/>
  <c r="CE13" i="94"/>
  <c r="CG13" i="94" s="1"/>
  <c r="BN13" i="94"/>
  <c r="BY13" i="94"/>
  <c r="BG13" i="94"/>
  <c r="BT13" i="94"/>
  <c r="AJ13" i="94"/>
  <c r="BR13" i="94"/>
  <c r="CK13" i="94"/>
  <c r="BB13" i="94"/>
  <c r="BD13" i="94" s="1"/>
  <c r="AL13" i="94"/>
  <c r="BW13" i="94"/>
  <c r="AH13" i="94"/>
  <c r="CD13" i="94"/>
  <c r="BK13" i="94"/>
  <c r="Y13" i="94"/>
  <c r="AP13" i="94"/>
  <c r="AM13" i="94"/>
  <c r="AN13" i="94"/>
  <c r="BO13" i="94"/>
  <c r="AR13" i="94"/>
  <c r="CA13" i="94"/>
  <c r="CB13" i="94"/>
  <c r="BP13" i="94"/>
  <c r="BJ13" i="94"/>
  <c r="AF13" i="94"/>
  <c r="BZ13" i="94"/>
  <c r="AK13" i="94"/>
  <c r="CI13" i="94"/>
  <c r="AT13" i="94"/>
  <c r="BS13" i="94"/>
  <c r="AD13" i="94"/>
  <c r="BA13" i="94"/>
  <c r="BL13" i="94"/>
  <c r="AE13" i="94"/>
  <c r="AG13" i="94" s="1"/>
  <c r="BU13" i="94"/>
  <c r="BC13" i="94"/>
  <c r="AX13" i="94"/>
  <c r="AZ13" i="94" s="1"/>
  <c r="BH13" i="94"/>
  <c r="X13" i="94"/>
  <c r="Z13" i="94" s="1"/>
  <c r="AA13" i="94"/>
  <c r="AC13" i="94" s="1"/>
  <c r="AQ13" i="94"/>
  <c r="AS13" i="94" s="1"/>
  <c r="CC13" i="94"/>
  <c r="BX13" i="94"/>
  <c r="AU13" i="94"/>
  <c r="AW13" i="94" s="1"/>
  <c r="BE13" i="94"/>
  <c r="S13" i="94"/>
  <c r="BV13" i="94"/>
  <c r="CH13" i="94"/>
  <c r="CJ13" i="94" s="1"/>
  <c r="BI13" i="94"/>
  <c r="I14" i="94"/>
  <c r="BQ13" i="94"/>
  <c r="AO13" i="94"/>
  <c r="BM13" i="94"/>
  <c r="AV13" i="94"/>
  <c r="AI13" i="94"/>
  <c r="AY13" i="94"/>
  <c r="AB13" i="94"/>
  <c r="D12" i="83"/>
  <c r="F12" i="83" s="1"/>
  <c r="B13" i="83"/>
  <c r="C13" i="83"/>
  <c r="Z2" i="32"/>
  <c r="AF15" i="32"/>
  <c r="AX20" i="32"/>
  <c r="BF20" i="32"/>
  <c r="BA20" i="32"/>
  <c r="BB20" i="32"/>
  <c r="AY20" i="32"/>
  <c r="BC20" i="32"/>
  <c r="AZ20" i="32"/>
  <c r="AW20" i="32"/>
  <c r="BE20" i="32"/>
  <c r="AV20" i="32"/>
  <c r="BD20" i="32"/>
  <c r="BA19" i="32"/>
  <c r="BD19" i="32"/>
  <c r="AZ19" i="32"/>
  <c r="BB19" i="32"/>
  <c r="BE19" i="32"/>
  <c r="AX19" i="32"/>
  <c r="BC19" i="32"/>
  <c r="AV19" i="32"/>
  <c r="AW19" i="32"/>
  <c r="BF19" i="32"/>
  <c r="AY19" i="32"/>
  <c r="BC21" i="32"/>
  <c r="AX21" i="32"/>
  <c r="BF21" i="32"/>
  <c r="AY21" i="32"/>
  <c r="AV21" i="32"/>
  <c r="BD21" i="32"/>
  <c r="AW21" i="32"/>
  <c r="BE21" i="32"/>
  <c r="AZ21" i="32"/>
  <c r="BA21" i="32"/>
  <c r="BB21" i="32"/>
  <c r="AZ22" i="32"/>
  <c r="BC22" i="32"/>
  <c r="AW22" i="32"/>
  <c r="AY22" i="32"/>
  <c r="BA22" i="32"/>
  <c r="BD22" i="32"/>
  <c r="BE22" i="32"/>
  <c r="BB22" i="32"/>
  <c r="AV22" i="32"/>
  <c r="AX22" i="32"/>
  <c r="BF22" i="32"/>
  <c r="AK15" i="32"/>
  <c r="S13" i="83" s="1"/>
  <c r="AL15" i="32"/>
  <c r="T13" i="83" s="1"/>
  <c r="AJ15" i="32"/>
  <c r="R13" i="83" s="1"/>
  <c r="AN15" i="32"/>
  <c r="AM15" i="32"/>
  <c r="AI15" i="32"/>
  <c r="Q13" i="83" s="1"/>
  <c r="AH15" i="32"/>
  <c r="AG15" i="32"/>
  <c r="U17" i="32"/>
  <c r="AQ17" i="32"/>
  <c r="W17" i="32"/>
  <c r="R17" i="32"/>
  <c r="S17" i="32"/>
  <c r="P17" i="32"/>
  <c r="N17" i="32"/>
  <c r="J17" i="32"/>
  <c r="K17" i="32"/>
  <c r="L17" i="32"/>
  <c r="AM47" i="94" l="1"/>
  <c r="AO47" i="94" s="1"/>
  <c r="BQ47" i="94"/>
  <c r="BO47" i="94"/>
  <c r="AU47" i="94"/>
  <c r="AA47" i="94"/>
  <c r="AC47" i="94" s="1"/>
  <c r="W47" i="94"/>
  <c r="Y47" i="94" s="1"/>
  <c r="BI47" i="94"/>
  <c r="P47" i="94"/>
  <c r="BJ47" i="94"/>
  <c r="AI47" i="94"/>
  <c r="BK47" i="94"/>
  <c r="BL47" i="94"/>
  <c r="BM47" i="94"/>
  <c r="BD47" i="94"/>
  <c r="CE47" i="94"/>
  <c r="AN47" i="94"/>
  <c r="BE47" i="94"/>
  <c r="BW47" i="94"/>
  <c r="CA47" i="94"/>
  <c r="CC47" i="94" s="1"/>
  <c r="AY47" i="94"/>
  <c r="AE47" i="94"/>
  <c r="BC47" i="94"/>
  <c r="BT47" i="94"/>
  <c r="BU47" i="94"/>
  <c r="BS47" i="94"/>
  <c r="BA47" i="94"/>
  <c r="CB47" i="94"/>
  <c r="Z47" i="94"/>
  <c r="AQ47" i="94"/>
  <c r="AS47" i="94" s="1"/>
  <c r="BR47" i="94"/>
  <c r="BX47" i="94"/>
  <c r="T47" i="94"/>
  <c r="V47" i="94" s="1"/>
  <c r="AP47" i="94"/>
  <c r="AB47" i="94"/>
  <c r="AD47" i="94"/>
  <c r="BV47" i="94"/>
  <c r="BP47" i="94"/>
  <c r="BN47" i="94"/>
  <c r="AR47" i="94"/>
  <c r="CG47" i="94"/>
  <c r="AK47" i="94"/>
  <c r="BZ47" i="94"/>
  <c r="X47" i="94"/>
  <c r="AG47" i="94"/>
  <c r="AX47" i="94"/>
  <c r="AZ47" i="94" s="1"/>
  <c r="AJ47" i="94"/>
  <c r="AT47" i="94"/>
  <c r="AV47" i="94" s="1"/>
  <c r="AL47" i="94"/>
  <c r="AH47" i="94"/>
  <c r="CD47" i="94"/>
  <c r="CF47" i="94" s="1"/>
  <c r="BY47" i="94"/>
  <c r="BG47" i="94"/>
  <c r="U47" i="94"/>
  <c r="AF47" i="94"/>
  <c r="AW47" i="94"/>
  <c r="BF47" i="94"/>
  <c r="BH47" i="94"/>
  <c r="BB47" i="94"/>
  <c r="X14" i="94"/>
  <c r="Z14" i="94" s="1"/>
  <c r="F48" i="94"/>
  <c r="U21" i="86"/>
  <c r="AB21" i="86" s="1"/>
  <c r="U18" i="86"/>
  <c r="AB18" i="86" s="1"/>
  <c r="CD14" i="94"/>
  <c r="AT14" i="94"/>
  <c r="BR14" i="94"/>
  <c r="BU14" i="94"/>
  <c r="BQ14" i="94"/>
  <c r="BS14" i="94"/>
  <c r="BZ14" i="94"/>
  <c r="BV14" i="94"/>
  <c r="S14" i="94"/>
  <c r="AD14" i="94"/>
  <c r="CB14" i="94"/>
  <c r="AN14" i="94"/>
  <c r="AA14" i="94"/>
  <c r="AC14" i="94" s="1"/>
  <c r="CF14" i="94"/>
  <c r="BP14" i="94"/>
  <c r="BM14" i="94"/>
  <c r="BI14" i="94"/>
  <c r="BE14" i="94"/>
  <c r="AK14" i="94"/>
  <c r="BC14" i="94"/>
  <c r="AO14" i="94"/>
  <c r="BY14" i="94"/>
  <c r="CC14" i="94"/>
  <c r="AM14" i="94"/>
  <c r="AX14" i="94"/>
  <c r="AZ14" i="94" s="1"/>
  <c r="BK14" i="94"/>
  <c r="AV14" i="94"/>
  <c r="BF14" i="94"/>
  <c r="AL14" i="94"/>
  <c r="CA14" i="94"/>
  <c r="BG14" i="94"/>
  <c r="AU14" i="94"/>
  <c r="AW14" i="94" s="1"/>
  <c r="AB14" i="94"/>
  <c r="BH14" i="94"/>
  <c r="AQ14" i="94"/>
  <c r="AS14" i="94" s="1"/>
  <c r="BA14" i="94"/>
  <c r="AP14" i="94"/>
  <c r="BJ14" i="94"/>
  <c r="AH14" i="94"/>
  <c r="CK14" i="94"/>
  <c r="BX14" i="94"/>
  <c r="CH14" i="94"/>
  <c r="CJ14" i="94" s="1"/>
  <c r="AR14" i="94"/>
  <c r="AE14" i="94"/>
  <c r="AG14" i="94" s="1"/>
  <c r="BL14" i="94"/>
  <c r="BT14" i="94"/>
  <c r="BN14" i="94"/>
  <c r="CE14" i="94"/>
  <c r="CG14" i="94" s="1"/>
  <c r="BO14" i="94"/>
  <c r="AY14" i="94"/>
  <c r="AJ14" i="94"/>
  <c r="Y14" i="94"/>
  <c r="CI14" i="94"/>
  <c r="BW14" i="94"/>
  <c r="BB14" i="94"/>
  <c r="BD14" i="94" s="1"/>
  <c r="AI14" i="94"/>
  <c r="AF14" i="94"/>
  <c r="I16" i="94"/>
  <c r="E12" i="83"/>
  <c r="D13" i="83"/>
  <c r="F13" i="83" s="1"/>
  <c r="B15" i="83"/>
  <c r="C15" i="83"/>
  <c r="AF17" i="32"/>
  <c r="AJ17" i="32"/>
  <c r="R15" i="83" s="1"/>
  <c r="AI17" i="32"/>
  <c r="Q15" i="83" s="1"/>
  <c r="AN17" i="32"/>
  <c r="AL17" i="32"/>
  <c r="T15" i="83" s="1"/>
  <c r="AM17" i="32"/>
  <c r="AK17" i="32"/>
  <c r="S15" i="83" s="1"/>
  <c r="AH17" i="32"/>
  <c r="AG17" i="32"/>
  <c r="BV48" i="94" l="1"/>
  <c r="CA48" i="94"/>
  <c r="CC48" i="94" s="1"/>
  <c r="BN48" i="94"/>
  <c r="BF48" i="94"/>
  <c r="BR48" i="94"/>
  <c r="AH48" i="94"/>
  <c r="Z48" i="94"/>
  <c r="AN48" i="94"/>
  <c r="BZ48" i="94"/>
  <c r="U48" i="94"/>
  <c r="AD48" i="94"/>
  <c r="CE48" i="94"/>
  <c r="BA48" i="94"/>
  <c r="AE48" i="94"/>
  <c r="AF48" i="94"/>
  <c r="BB48" i="94"/>
  <c r="BM48" i="94"/>
  <c r="BJ48" i="94"/>
  <c r="BQ48" i="94"/>
  <c r="AM48" i="94"/>
  <c r="AO48" i="94" s="1"/>
  <c r="AL48" i="94"/>
  <c r="X48" i="94"/>
  <c r="AW48" i="94"/>
  <c r="AA48" i="94"/>
  <c r="AC48" i="94" s="1"/>
  <c r="T48" i="94"/>
  <c r="V48" i="94" s="1"/>
  <c r="AU48" i="94"/>
  <c r="W48" i="94"/>
  <c r="Y48" i="94" s="1"/>
  <c r="BE48" i="94"/>
  <c r="P48" i="94"/>
  <c r="AX48" i="94"/>
  <c r="AZ48" i="94" s="1"/>
  <c r="AG48" i="94"/>
  <c r="AI48" i="94"/>
  <c r="AB48" i="94"/>
  <c r="BK48" i="94"/>
  <c r="BX48" i="94"/>
  <c r="BU48" i="94"/>
  <c r="BS48" i="94"/>
  <c r="AP48" i="94"/>
  <c r="CB48" i="94"/>
  <c r="BY48" i="94"/>
  <c r="CD48" i="94"/>
  <c r="CF48" i="94" s="1"/>
  <c r="BC48" i="94"/>
  <c r="AQ48" i="94"/>
  <c r="AS48" i="94" s="1"/>
  <c r="AJ48" i="94"/>
  <c r="BD48" i="94"/>
  <c r="BW48" i="94"/>
  <c r="BT48" i="94"/>
  <c r="BI48" i="94"/>
  <c r="CG48" i="94"/>
  <c r="AY48" i="94"/>
  <c r="AR48" i="94"/>
  <c r="BO48" i="94"/>
  <c r="BL48" i="94"/>
  <c r="AK48" i="94"/>
  <c r="BH48" i="94"/>
  <c r="BG48" i="94"/>
  <c r="BP48" i="94"/>
  <c r="AT48" i="94"/>
  <c r="AV48" i="94" s="1"/>
  <c r="BB16" i="94"/>
  <c r="BD16" i="94" s="1"/>
  <c r="F50" i="94"/>
  <c r="AT16" i="94"/>
  <c r="AB16" i="94"/>
  <c r="AM16" i="94"/>
  <c r="BS16" i="94"/>
  <c r="BF16" i="94"/>
  <c r="AN16" i="94"/>
  <c r="BY16" i="94"/>
  <c r="BV16" i="94"/>
  <c r="CF16" i="94"/>
  <c r="AA16" i="94"/>
  <c r="AC16" i="94" s="1"/>
  <c r="BA16" i="94"/>
  <c r="BJ16" i="94"/>
  <c r="BM16" i="94"/>
  <c r="BT16" i="94"/>
  <c r="BK16" i="94"/>
  <c r="AL16" i="94"/>
  <c r="BP16" i="94"/>
  <c r="CI16" i="94"/>
  <c r="AK16" i="94"/>
  <c r="BG16" i="94"/>
  <c r="AQ16" i="94"/>
  <c r="AS16" i="94" s="1"/>
  <c r="CB16" i="94"/>
  <c r="AO16" i="94"/>
  <c r="AY16" i="94"/>
  <c r="AV16" i="94"/>
  <c r="BW16" i="94"/>
  <c r="BH16" i="94"/>
  <c r="CC16" i="94"/>
  <c r="AP16" i="94"/>
  <c r="AI16" i="94"/>
  <c r="CD16" i="94"/>
  <c r="X16" i="94"/>
  <c r="Z16" i="94" s="1"/>
  <c r="BZ16" i="94"/>
  <c r="BQ16" i="94"/>
  <c r="AR16" i="94"/>
  <c r="AH16" i="94"/>
  <c r="BN16" i="94"/>
  <c r="AU16" i="94"/>
  <c r="AW16" i="94" s="1"/>
  <c r="CE16" i="94"/>
  <c r="CG16" i="94" s="1"/>
  <c r="BO16" i="94"/>
  <c r="Y16" i="94"/>
  <c r="BU16" i="94"/>
  <c r="BR16" i="94"/>
  <c r="CA16" i="94"/>
  <c r="AF16" i="94"/>
  <c r="BI16" i="94"/>
  <c r="S16" i="94"/>
  <c r="CH16" i="94"/>
  <c r="CJ16" i="94" s="1"/>
  <c r="BL16" i="94"/>
  <c r="BC16" i="94"/>
  <c r="BE16" i="94"/>
  <c r="AJ16" i="94"/>
  <c r="AE16" i="94"/>
  <c r="AG16" i="94" s="1"/>
  <c r="AX16" i="94"/>
  <c r="AZ16" i="94" s="1"/>
  <c r="CK16" i="94"/>
  <c r="BX16" i="94"/>
  <c r="AD16" i="94"/>
  <c r="E13" i="83"/>
  <c r="D15" i="83"/>
  <c r="E15" i="83" s="1"/>
  <c r="U16" i="32"/>
  <c r="BD50" i="94" l="1"/>
  <c r="CA50" i="94"/>
  <c r="CC50" i="94" s="1"/>
  <c r="AB50" i="94"/>
  <c r="AN50" i="94"/>
  <c r="CB50" i="94"/>
  <c r="BT50" i="94"/>
  <c r="AJ50" i="94"/>
  <c r="AF50" i="94"/>
  <c r="X50" i="94"/>
  <c r="BL50" i="94"/>
  <c r="P50" i="94"/>
  <c r="BH50" i="94"/>
  <c r="BK50" i="94"/>
  <c r="AG50" i="94"/>
  <c r="Z50" i="94"/>
  <c r="CE50" i="94"/>
  <c r="BX50" i="94"/>
  <c r="BQ50" i="94"/>
  <c r="AW50" i="94"/>
  <c r="AH50" i="94"/>
  <c r="AA50" i="94"/>
  <c r="AC50" i="94" s="1"/>
  <c r="AK50" i="94"/>
  <c r="BE50" i="94"/>
  <c r="AP50" i="94"/>
  <c r="AI50" i="94"/>
  <c r="BA50" i="94"/>
  <c r="AD50" i="94"/>
  <c r="W50" i="94"/>
  <c r="Y50" i="94" s="1"/>
  <c r="BS50" i="94"/>
  <c r="BM50" i="94"/>
  <c r="AX50" i="94"/>
  <c r="AZ50" i="94" s="1"/>
  <c r="AQ50" i="94"/>
  <c r="AS50" i="94" s="1"/>
  <c r="BI50" i="94"/>
  <c r="AT50" i="94"/>
  <c r="AV50" i="94" s="1"/>
  <c r="AE50" i="94"/>
  <c r="BW50" i="94"/>
  <c r="BZ50" i="94"/>
  <c r="BU50" i="94"/>
  <c r="BF50" i="94"/>
  <c r="AY50" i="94"/>
  <c r="BY50" i="94"/>
  <c r="BB50" i="94"/>
  <c r="AM50" i="94"/>
  <c r="AO50" i="94" s="1"/>
  <c r="CG50" i="94"/>
  <c r="U50" i="94"/>
  <c r="BN50" i="94"/>
  <c r="BG50" i="94"/>
  <c r="AR50" i="94"/>
  <c r="BJ50" i="94"/>
  <c r="AU50" i="94"/>
  <c r="AL50" i="94"/>
  <c r="CD50" i="94"/>
  <c r="CF50" i="94" s="1"/>
  <c r="T50" i="94"/>
  <c r="V50" i="94" s="1"/>
  <c r="BV50" i="94"/>
  <c r="BO50" i="94"/>
  <c r="BP50" i="94"/>
  <c r="BR50" i="94"/>
  <c r="BC50" i="94"/>
  <c r="F15" i="83"/>
  <c r="AQ16" i="32"/>
  <c r="W16" i="32"/>
  <c r="R16" i="32"/>
  <c r="S16" i="32"/>
  <c r="P16" i="32"/>
  <c r="N16" i="32"/>
  <c r="J16" i="32"/>
  <c r="K16" i="32"/>
  <c r="L16" i="32"/>
  <c r="I15" i="94" l="1"/>
  <c r="C14" i="83"/>
  <c r="B14" i="83"/>
  <c r="AG16" i="32"/>
  <c r="AL16" i="32"/>
  <c r="T14" i="83" s="1"/>
  <c r="AM16" i="32"/>
  <c r="AK16" i="32"/>
  <c r="S14" i="83" s="1"/>
  <c r="AI16" i="32"/>
  <c r="Q14" i="83" s="1"/>
  <c r="AN16" i="32"/>
  <c r="AJ16" i="32"/>
  <c r="R14" i="83" s="1"/>
  <c r="AH16" i="32"/>
  <c r="AF16" i="32"/>
  <c r="BF13" i="32"/>
  <c r="BE13" i="32"/>
  <c r="BD13" i="32"/>
  <c r="BC13" i="32"/>
  <c r="BB13" i="32"/>
  <c r="BA13" i="32"/>
  <c r="BG15" i="94" l="1"/>
  <c r="F49" i="94"/>
  <c r="BX15" i="94"/>
  <c r="CC15" i="94"/>
  <c r="BM15" i="94"/>
  <c r="AT15" i="94"/>
  <c r="BF15" i="94"/>
  <c r="S15" i="94"/>
  <c r="BA15" i="94"/>
  <c r="CE15" i="94"/>
  <c r="CG15" i="94" s="1"/>
  <c r="BH15" i="94"/>
  <c r="AD15" i="94"/>
  <c r="AN15" i="94"/>
  <c r="AF15" i="94"/>
  <c r="AB15" i="94"/>
  <c r="AH15" i="94"/>
  <c r="BP15" i="94"/>
  <c r="CA15" i="94"/>
  <c r="BC15" i="94"/>
  <c r="BL15" i="94"/>
  <c r="X15" i="94"/>
  <c r="Z15" i="94" s="1"/>
  <c r="AX15" i="94"/>
  <c r="AZ15" i="94" s="1"/>
  <c r="BO15" i="94"/>
  <c r="AA15" i="94"/>
  <c r="AC15" i="94" s="1"/>
  <c r="AL15" i="94"/>
  <c r="BE15" i="94"/>
  <c r="BB15" i="94"/>
  <c r="BD15" i="94" s="1"/>
  <c r="AQ15" i="94"/>
  <c r="AS15" i="94" s="1"/>
  <c r="CI15" i="94"/>
  <c r="AP15" i="94"/>
  <c r="BT15" i="94"/>
  <c r="AM15" i="94"/>
  <c r="AR15" i="94"/>
  <c r="AJ15" i="94"/>
  <c r="AU15" i="94"/>
  <c r="AW15" i="94" s="1"/>
  <c r="BI15" i="94"/>
  <c r="AO15" i="94"/>
  <c r="BJ15" i="94"/>
  <c r="CF15" i="94"/>
  <c r="CB15" i="94"/>
  <c r="AI15" i="94"/>
  <c r="BU15" i="94"/>
  <c r="CH15" i="94"/>
  <c r="CJ15" i="94" s="1"/>
  <c r="BK15" i="94"/>
  <c r="BQ15" i="94"/>
  <c r="BW15" i="94"/>
  <c r="AV15" i="94"/>
  <c r="BR15" i="94"/>
  <c r="BY15" i="94"/>
  <c r="BS15" i="94"/>
  <c r="AK15" i="94"/>
  <c r="CD15" i="94"/>
  <c r="BZ15" i="94"/>
  <c r="CK15" i="94"/>
  <c r="BN15" i="94"/>
  <c r="Y15" i="94"/>
  <c r="BV15" i="94"/>
  <c r="AE15" i="94"/>
  <c r="AG15" i="94" s="1"/>
  <c r="AY15" i="94"/>
  <c r="D14" i="83"/>
  <c r="AY13" i="32"/>
  <c r="AZ13" i="32"/>
  <c r="AX13" i="32"/>
  <c r="AW13" i="32"/>
  <c r="AV13" i="32"/>
  <c r="BI49" i="94" l="1"/>
  <c r="AG49" i="94"/>
  <c r="CG49" i="94"/>
  <c r="BH49" i="94"/>
  <c r="U49" i="94"/>
  <c r="BT49" i="94"/>
  <c r="BY49" i="94"/>
  <c r="BE49" i="94"/>
  <c r="BW49" i="94"/>
  <c r="BA49" i="94"/>
  <c r="AW49" i="94"/>
  <c r="BQ49" i="94"/>
  <c r="BO49" i="94"/>
  <c r="AQ49" i="94"/>
  <c r="AS49" i="94" s="1"/>
  <c r="BM49" i="94"/>
  <c r="AK49" i="94"/>
  <c r="AX49" i="94"/>
  <c r="AZ49" i="94" s="1"/>
  <c r="P49" i="94"/>
  <c r="BN49" i="94"/>
  <c r="AI49" i="94"/>
  <c r="AB49" i="94"/>
  <c r="BF49" i="94"/>
  <c r="BP49" i="94"/>
  <c r="AD49" i="94"/>
  <c r="W49" i="94"/>
  <c r="Y49" i="94" s="1"/>
  <c r="BV49" i="94"/>
  <c r="BG49" i="94"/>
  <c r="AJ49" i="94"/>
  <c r="CB49" i="94"/>
  <c r="CA49" i="94"/>
  <c r="CC49" i="94" s="1"/>
  <c r="AT49" i="94"/>
  <c r="AV49" i="94" s="1"/>
  <c r="AE49" i="94"/>
  <c r="X49" i="94"/>
  <c r="AR49" i="94"/>
  <c r="BB49" i="94"/>
  <c r="AM49" i="94"/>
  <c r="AO49" i="94" s="1"/>
  <c r="AF49" i="94"/>
  <c r="CE49" i="94"/>
  <c r="BJ49" i="94"/>
  <c r="AU49" i="94"/>
  <c r="AN49" i="94"/>
  <c r="BU49" i="94"/>
  <c r="AP49" i="94"/>
  <c r="AY49" i="94"/>
  <c r="BR49" i="94"/>
  <c r="BK49" i="94"/>
  <c r="BD49" i="94"/>
  <c r="Z49" i="94"/>
  <c r="BX49" i="94"/>
  <c r="AA49" i="94"/>
  <c r="AC49" i="94" s="1"/>
  <c r="BC49" i="94"/>
  <c r="T49" i="94"/>
  <c r="V49" i="94" s="1"/>
  <c r="CD49" i="94"/>
  <c r="CF49" i="94" s="1"/>
  <c r="BZ49" i="94"/>
  <c r="BS49" i="94"/>
  <c r="BL49" i="94"/>
  <c r="AH49" i="94"/>
  <c r="AL49" i="94"/>
  <c r="E14" i="83"/>
  <c r="F14" i="83"/>
  <c r="U18" i="32"/>
  <c r="AQ18" i="32"/>
  <c r="W18" i="32"/>
  <c r="R18" i="32"/>
  <c r="S18" i="32"/>
  <c r="P18" i="32"/>
  <c r="N18" i="32"/>
  <c r="J18" i="32"/>
  <c r="K18" i="32"/>
  <c r="L18" i="32"/>
  <c r="AQ22" i="32"/>
  <c r="W22" i="32"/>
  <c r="R22" i="32"/>
  <c r="S22" i="32"/>
  <c r="P22" i="32"/>
  <c r="N22" i="32"/>
  <c r="J22" i="32"/>
  <c r="N20" i="83" s="1"/>
  <c r="K22" i="32"/>
  <c r="L22" i="32"/>
  <c r="U21" i="32"/>
  <c r="AQ21" i="32"/>
  <c r="W21" i="32"/>
  <c r="R21" i="32"/>
  <c r="S21" i="32"/>
  <c r="P21" i="32"/>
  <c r="N21" i="32"/>
  <c r="J21" i="32"/>
  <c r="K21" i="32"/>
  <c r="L21" i="32"/>
  <c r="AQ19" i="32"/>
  <c r="AQ20" i="32"/>
  <c r="U20" i="32"/>
  <c r="W20" i="32"/>
  <c r="R20" i="32"/>
  <c r="S20" i="32"/>
  <c r="P20" i="32"/>
  <c r="N20" i="32"/>
  <c r="J20" i="32"/>
  <c r="K20" i="32"/>
  <c r="L20" i="32"/>
  <c r="I17" i="94" l="1"/>
  <c r="I19" i="94"/>
  <c r="I20" i="94"/>
  <c r="I21" i="94"/>
  <c r="B16" i="83"/>
  <c r="C16" i="83"/>
  <c r="C18" i="83"/>
  <c r="B18" i="83"/>
  <c r="C19" i="83"/>
  <c r="B19" i="83"/>
  <c r="B20" i="83"/>
  <c r="C20" i="83"/>
  <c r="AF21" i="32"/>
  <c r="AF22" i="32"/>
  <c r="AG20" i="32"/>
  <c r="AG18" i="32"/>
  <c r="AI18" i="32"/>
  <c r="Q16" i="83" s="1"/>
  <c r="AL18" i="32"/>
  <c r="T16" i="83" s="1"/>
  <c r="AK18" i="32"/>
  <c r="S16" i="83" s="1"/>
  <c r="AN18" i="32"/>
  <c r="AM18" i="32"/>
  <c r="AJ18" i="32"/>
  <c r="R16" i="83" s="1"/>
  <c r="AH18" i="32"/>
  <c r="AF18" i="32"/>
  <c r="AN22" i="32"/>
  <c r="AM22" i="32"/>
  <c r="AL22" i="32"/>
  <c r="T20" i="83" s="1"/>
  <c r="AK22" i="32"/>
  <c r="S20" i="83" s="1"/>
  <c r="AJ22" i="32"/>
  <c r="R20" i="83" s="1"/>
  <c r="AI22" i="32"/>
  <c r="Q20" i="83" s="1"/>
  <c r="AH22" i="32"/>
  <c r="AG22" i="32"/>
  <c r="AN21" i="32"/>
  <c r="AL21" i="32"/>
  <c r="T19" i="83" s="1"/>
  <c r="AM21" i="32"/>
  <c r="AK21" i="32"/>
  <c r="S19" i="83" s="1"/>
  <c r="AJ21" i="32"/>
  <c r="R19" i="83" s="1"/>
  <c r="AI21" i="32"/>
  <c r="Q19" i="83" s="1"/>
  <c r="AH21" i="32"/>
  <c r="AG21" i="32"/>
  <c r="AN20" i="32"/>
  <c r="AM20" i="32"/>
  <c r="AL20" i="32"/>
  <c r="T18" i="83" s="1"/>
  <c r="AK20" i="32"/>
  <c r="S18" i="83" s="1"/>
  <c r="AI20" i="32"/>
  <c r="Q18" i="83" s="1"/>
  <c r="AJ20" i="32"/>
  <c r="R18" i="83" s="1"/>
  <c r="AH20" i="32"/>
  <c r="AF20" i="32"/>
  <c r="W19" i="32"/>
  <c r="R19" i="32"/>
  <c r="S19" i="32"/>
  <c r="N19" i="32"/>
  <c r="J19" i="32"/>
  <c r="N17" i="83" s="1"/>
  <c r="K19" i="32"/>
  <c r="L19" i="32"/>
  <c r="AQ13" i="32"/>
  <c r="W13" i="32"/>
  <c r="U13" i="32"/>
  <c r="R13" i="32"/>
  <c r="S13" i="32"/>
  <c r="P13" i="32"/>
  <c r="N13" i="32"/>
  <c r="J13" i="32"/>
  <c r="K13" i="32"/>
  <c r="L13" i="32"/>
  <c r="X4" i="32"/>
  <c r="B26" i="49"/>
  <c r="BE21" i="94" l="1"/>
  <c r="F55" i="94"/>
  <c r="AB20" i="94"/>
  <c r="F54" i="94"/>
  <c r="AO19" i="94"/>
  <c r="F53" i="94"/>
  <c r="BX17" i="94"/>
  <c r="F51" i="94"/>
  <c r="BE19" i="94"/>
  <c r="BK19" i="94"/>
  <c r="BI19" i="94"/>
  <c r="BN19" i="94"/>
  <c r="AH19" i="94"/>
  <c r="CH19" i="94"/>
  <c r="CJ19" i="94" s="1"/>
  <c r="Y19" i="94"/>
  <c r="BF19" i="94"/>
  <c r="BM19" i="94"/>
  <c r="AI19" i="94"/>
  <c r="CE19" i="94"/>
  <c r="CG19" i="94" s="1"/>
  <c r="AR19" i="94"/>
  <c r="BY19" i="94"/>
  <c r="AB19" i="94"/>
  <c r="BJ19" i="94"/>
  <c r="S19" i="94"/>
  <c r="CI19" i="94"/>
  <c r="AV19" i="94"/>
  <c r="AF19" i="94"/>
  <c r="AM19" i="94"/>
  <c r="BZ19" i="94"/>
  <c r="BW19" i="94"/>
  <c r="BB19" i="94"/>
  <c r="BD19" i="94" s="1"/>
  <c r="AE19" i="94"/>
  <c r="AG19" i="94" s="1"/>
  <c r="AY19" i="94"/>
  <c r="AT19" i="94"/>
  <c r="BL19" i="94"/>
  <c r="CB19" i="94"/>
  <c r="AA19" i="94"/>
  <c r="AC19" i="94" s="1"/>
  <c r="BP19" i="94"/>
  <c r="CC19" i="94"/>
  <c r="BU19" i="94"/>
  <c r="BQ19" i="94"/>
  <c r="CA19" i="94"/>
  <c r="AU19" i="94"/>
  <c r="AW19" i="94" s="1"/>
  <c r="AP19" i="94"/>
  <c r="AJ19" i="94"/>
  <c r="AX19" i="94"/>
  <c r="AZ19" i="94" s="1"/>
  <c r="CF19" i="94"/>
  <c r="BX19" i="94"/>
  <c r="BA19" i="94"/>
  <c r="BH19" i="94"/>
  <c r="BT19" i="94"/>
  <c r="BG19" i="94"/>
  <c r="BO19" i="94"/>
  <c r="BC19" i="94"/>
  <c r="AQ19" i="94"/>
  <c r="AS19" i="94" s="1"/>
  <c r="AN19" i="94"/>
  <c r="X19" i="94"/>
  <c r="Z19" i="94" s="1"/>
  <c r="BR19" i="94"/>
  <c r="CK19" i="94"/>
  <c r="BT20" i="94"/>
  <c r="AK19" i="94"/>
  <c r="AD19" i="94"/>
  <c r="AL19" i="94"/>
  <c r="CD19" i="94"/>
  <c r="AX20" i="94"/>
  <c r="AZ20" i="94" s="1"/>
  <c r="Y20" i="94"/>
  <c r="AY20" i="94"/>
  <c r="BV19" i="94"/>
  <c r="BQ20" i="94"/>
  <c r="CH20" i="94"/>
  <c r="CJ20" i="94" s="1"/>
  <c r="BE20" i="94"/>
  <c r="BO20" i="94"/>
  <c r="BS19" i="94"/>
  <c r="BI20" i="94"/>
  <c r="CF20" i="94"/>
  <c r="AV20" i="94"/>
  <c r="CI17" i="94"/>
  <c r="AL20" i="94"/>
  <c r="BB20" i="94"/>
  <c r="BD20" i="94" s="1"/>
  <c r="AF20" i="94"/>
  <c r="BK20" i="94"/>
  <c r="AI20" i="94"/>
  <c r="AD20" i="94"/>
  <c r="BJ20" i="94"/>
  <c r="BC20" i="94"/>
  <c r="AE17" i="94"/>
  <c r="AG17" i="94" s="1"/>
  <c r="BS20" i="94"/>
  <c r="BG20" i="94"/>
  <c r="CI20" i="94"/>
  <c r="CH17" i="94"/>
  <c r="CJ17" i="94" s="1"/>
  <c r="BG17" i="94"/>
  <c r="AR17" i="94"/>
  <c r="AH21" i="94"/>
  <c r="AP17" i="94"/>
  <c r="AK21" i="94"/>
  <c r="AX17" i="94"/>
  <c r="AZ17" i="94" s="1"/>
  <c r="AI17" i="94"/>
  <c r="BU17" i="94"/>
  <c r="AT21" i="94"/>
  <c r="X21" i="94"/>
  <c r="Z21" i="94" s="1"/>
  <c r="BI21" i="94"/>
  <c r="BC21" i="94"/>
  <c r="AX21" i="94"/>
  <c r="AZ21" i="94" s="1"/>
  <c r="CH21" i="94"/>
  <c r="CJ21" i="94" s="1"/>
  <c r="BY21" i="94"/>
  <c r="AE21" i="94"/>
  <c r="AG21" i="94" s="1"/>
  <c r="AP21" i="94"/>
  <c r="BG21" i="94"/>
  <c r="CB21" i="94"/>
  <c r="AM21" i="94"/>
  <c r="BU21" i="94"/>
  <c r="CA17" i="94"/>
  <c r="AJ17" i="94"/>
  <c r="Y21" i="94"/>
  <c r="AA21" i="94"/>
  <c r="AC21" i="94" s="1"/>
  <c r="AB21" i="94"/>
  <c r="AY17" i="94"/>
  <c r="BR17" i="94"/>
  <c r="BR21" i="94"/>
  <c r="BB21" i="94"/>
  <c r="BD21" i="94" s="1"/>
  <c r="AV21" i="94"/>
  <c r="AP20" i="94"/>
  <c r="BM20" i="94"/>
  <c r="CC20" i="94"/>
  <c r="AT20" i="94"/>
  <c r="AM20" i="94"/>
  <c r="BA20" i="94"/>
  <c r="BZ20" i="94"/>
  <c r="AN20" i="94"/>
  <c r="BT21" i="94"/>
  <c r="BL21" i="94"/>
  <c r="BM21" i="94"/>
  <c r="BP21" i="94"/>
  <c r="BZ21" i="94"/>
  <c r="AD21" i="94"/>
  <c r="CC21" i="94"/>
  <c r="BA17" i="94"/>
  <c r="AM17" i="94"/>
  <c r="BH17" i="94"/>
  <c r="AB17" i="94"/>
  <c r="BJ17" i="94"/>
  <c r="AD17" i="94"/>
  <c r="AN17" i="94"/>
  <c r="AU20" i="94"/>
  <c r="AW20" i="94" s="1"/>
  <c r="BR20" i="94"/>
  <c r="BY20" i="94"/>
  <c r="AR20" i="94"/>
  <c r="BP20" i="94"/>
  <c r="BV20" i="94"/>
  <c r="AO20" i="94"/>
  <c r="BK21" i="94"/>
  <c r="BA21" i="94"/>
  <c r="AR21" i="94"/>
  <c r="AI21" i="94"/>
  <c r="AN21" i="94"/>
  <c r="AJ21" i="94"/>
  <c r="BF21" i="94"/>
  <c r="BS21" i="94"/>
  <c r="CE17" i="94"/>
  <c r="CG17" i="94" s="1"/>
  <c r="AQ17" i="94"/>
  <c r="AS17" i="94" s="1"/>
  <c r="S17" i="94"/>
  <c r="AA17" i="94"/>
  <c r="AC17" i="94" s="1"/>
  <c r="CC17" i="94"/>
  <c r="AO17" i="94"/>
  <c r="BS17" i="94"/>
  <c r="I18" i="94"/>
  <c r="AH17" i="94"/>
  <c r="CB17" i="94"/>
  <c r="BT17" i="94"/>
  <c r="BF17" i="94"/>
  <c r="CD17" i="94"/>
  <c r="BK17" i="94"/>
  <c r="AU21" i="94"/>
  <c r="AW21" i="94" s="1"/>
  <c r="BW20" i="94"/>
  <c r="BH20" i="94"/>
  <c r="AE20" i="94"/>
  <c r="AG20" i="94" s="1"/>
  <c r="BU20" i="94"/>
  <c r="AK20" i="94"/>
  <c r="AH20" i="94"/>
  <c r="AA20" i="94"/>
  <c r="AC20" i="94" s="1"/>
  <c r="AL21" i="94"/>
  <c r="CI21" i="94"/>
  <c r="AQ21" i="94"/>
  <c r="AS21" i="94" s="1"/>
  <c r="BW21" i="94"/>
  <c r="CD21" i="94"/>
  <c r="BX21" i="94"/>
  <c r="CF21" i="94"/>
  <c r="X17" i="94"/>
  <c r="Z17" i="94" s="1"/>
  <c r="BM17" i="94"/>
  <c r="BE17" i="94"/>
  <c r="AV17" i="94"/>
  <c r="CK17" i="94"/>
  <c r="BQ17" i="94"/>
  <c r="BC17" i="94"/>
  <c r="I12" i="94"/>
  <c r="AA12" i="94" s="1"/>
  <c r="AC12" i="94" s="1"/>
  <c r="CE20" i="94"/>
  <c r="CG20" i="94" s="1"/>
  <c r="BL20" i="94"/>
  <c r="BN20" i="94"/>
  <c r="BF20" i="94"/>
  <c r="S20" i="94"/>
  <c r="CK20" i="94"/>
  <c r="AJ20" i="94"/>
  <c r="CE21" i="94"/>
  <c r="CG21" i="94" s="1"/>
  <c r="S21" i="94"/>
  <c r="BH21" i="94"/>
  <c r="BQ21" i="94"/>
  <c r="BO21" i="94"/>
  <c r="AF21" i="94"/>
  <c r="BN21" i="94"/>
  <c r="BP17" i="94"/>
  <c r="AL17" i="94"/>
  <c r="AF17" i="94"/>
  <c r="BN17" i="94"/>
  <c r="BV17" i="94"/>
  <c r="BB17" i="94"/>
  <c r="BD17" i="94" s="1"/>
  <c r="AU17" i="94"/>
  <c r="AW17" i="94" s="1"/>
  <c r="X20" i="94"/>
  <c r="Z20" i="94" s="1"/>
  <c r="CB20" i="94"/>
  <c r="BX20" i="94"/>
  <c r="AQ20" i="94"/>
  <c r="AS20" i="94" s="1"/>
  <c r="CD20" i="94"/>
  <c r="CA20" i="94"/>
  <c r="BJ21" i="94"/>
  <c r="CK21" i="94"/>
  <c r="CA21" i="94"/>
  <c r="AO21" i="94"/>
  <c r="AY21" i="94"/>
  <c r="BV21" i="94"/>
  <c r="BW17" i="94"/>
  <c r="Y17" i="94"/>
  <c r="BO17" i="94"/>
  <c r="BY17" i="94"/>
  <c r="BL17" i="94"/>
  <c r="BI17" i="94"/>
  <c r="AK17" i="94"/>
  <c r="CF17" i="94"/>
  <c r="AT17" i="94"/>
  <c r="BZ17" i="94"/>
  <c r="D20" i="83"/>
  <c r="E20" i="83" s="1"/>
  <c r="D16" i="83"/>
  <c r="E16" i="83" s="1"/>
  <c r="B17" i="83"/>
  <c r="C17" i="83"/>
  <c r="D19" i="83"/>
  <c r="C11" i="83"/>
  <c r="B11" i="83"/>
  <c r="D18" i="83"/>
  <c r="AF13" i="32"/>
  <c r="AF19" i="32"/>
  <c r="AN19" i="32"/>
  <c r="AI19" i="32"/>
  <c r="Q17" i="83" s="1"/>
  <c r="AM19" i="32"/>
  <c r="AL19" i="32"/>
  <c r="T17" i="83" s="1"/>
  <c r="AK19" i="32"/>
  <c r="S17" i="83" s="1"/>
  <c r="AJ19" i="32"/>
  <c r="R17" i="83" s="1"/>
  <c r="AH19" i="32"/>
  <c r="AG19" i="32"/>
  <c r="AI13" i="32"/>
  <c r="Q11" i="83" s="1"/>
  <c r="AN13" i="32"/>
  <c r="AL13" i="32"/>
  <c r="T11" i="83" s="1"/>
  <c r="AJ13" i="32"/>
  <c r="R11" i="83" s="1"/>
  <c r="AM13" i="32"/>
  <c r="AK13" i="32"/>
  <c r="S11" i="83" s="1"/>
  <c r="AH13" i="32"/>
  <c r="AG13" i="32"/>
  <c r="AQ51" i="94" l="1"/>
  <c r="AS51" i="94" s="1"/>
  <c r="AY51" i="94"/>
  <c r="AI51" i="94"/>
  <c r="AA51" i="94"/>
  <c r="AC51" i="94" s="1"/>
  <c r="U51" i="94"/>
  <c r="BK51" i="94"/>
  <c r="BD51" i="94"/>
  <c r="BT51" i="94"/>
  <c r="BC51" i="94"/>
  <c r="W51" i="94"/>
  <c r="Y51" i="94" s="1"/>
  <c r="AN51" i="94"/>
  <c r="BQ51" i="94"/>
  <c r="AX51" i="94"/>
  <c r="AZ51" i="94" s="1"/>
  <c r="BH51" i="94"/>
  <c r="CD51" i="94"/>
  <c r="CF51" i="94" s="1"/>
  <c r="AH51" i="94"/>
  <c r="T51" i="94"/>
  <c r="V51" i="94" s="1"/>
  <c r="BZ51" i="94"/>
  <c r="AD51" i="94"/>
  <c r="AE51" i="94"/>
  <c r="BA51" i="94"/>
  <c r="BM51" i="94"/>
  <c r="CG51" i="94"/>
  <c r="AR51" i="94"/>
  <c r="CA51" i="94"/>
  <c r="CC51" i="94" s="1"/>
  <c r="AB51" i="94"/>
  <c r="AT51" i="94"/>
  <c r="AV51" i="94" s="1"/>
  <c r="AM51" i="94"/>
  <c r="AO51" i="94" s="1"/>
  <c r="BP51" i="94"/>
  <c r="AG51" i="94"/>
  <c r="AW51" i="94"/>
  <c r="AJ51" i="94"/>
  <c r="BG51" i="94"/>
  <c r="AU51" i="94"/>
  <c r="BV51" i="94"/>
  <c r="Z51" i="94"/>
  <c r="CB51" i="94"/>
  <c r="BO51" i="94"/>
  <c r="BB51" i="94"/>
  <c r="BJ51" i="94"/>
  <c r="BF51" i="94"/>
  <c r="AP51" i="94"/>
  <c r="AL51" i="94"/>
  <c r="BI51" i="94"/>
  <c r="BY51" i="94"/>
  <c r="BW51" i="94"/>
  <c r="CE51" i="94"/>
  <c r="P51" i="94"/>
  <c r="BU51" i="94"/>
  <c r="BR51" i="94"/>
  <c r="BN51" i="94"/>
  <c r="AK51" i="94"/>
  <c r="BX51" i="94"/>
  <c r="BE51" i="94"/>
  <c r="X51" i="94"/>
  <c r="BL51" i="94"/>
  <c r="BS51" i="94"/>
  <c r="AF51" i="94"/>
  <c r="BM53" i="94"/>
  <c r="CA53" i="94"/>
  <c r="CC53" i="94" s="1"/>
  <c r="BH53" i="94"/>
  <c r="AG53" i="94"/>
  <c r="AB53" i="94"/>
  <c r="AW53" i="94"/>
  <c r="AK53" i="94"/>
  <c r="T53" i="94"/>
  <c r="V53" i="94" s="1"/>
  <c r="CG53" i="94"/>
  <c r="BT53" i="94"/>
  <c r="AM53" i="94"/>
  <c r="AO53" i="94" s="1"/>
  <c r="BC53" i="94"/>
  <c r="BF53" i="94"/>
  <c r="CE53" i="94"/>
  <c r="BU53" i="94"/>
  <c r="AE53" i="94"/>
  <c r="BN53" i="94"/>
  <c r="BS53" i="94"/>
  <c r="CB53" i="94"/>
  <c r="BP53" i="94"/>
  <c r="BJ53" i="94"/>
  <c r="AY53" i="94"/>
  <c r="BL53" i="94"/>
  <c r="W53" i="94"/>
  <c r="Y53" i="94" s="1"/>
  <c r="Z53" i="94"/>
  <c r="BW53" i="94"/>
  <c r="BO53" i="94"/>
  <c r="BY53" i="94"/>
  <c r="CD53" i="94"/>
  <c r="CF53" i="94" s="1"/>
  <c r="BG53" i="94"/>
  <c r="AN53" i="94"/>
  <c r="BB53" i="94"/>
  <c r="AD53" i="94"/>
  <c r="BD53" i="94"/>
  <c r="AH53" i="94"/>
  <c r="AQ53" i="94"/>
  <c r="AS53" i="94" s="1"/>
  <c r="BX53" i="94"/>
  <c r="P53" i="94"/>
  <c r="AI53" i="94"/>
  <c r="AF53" i="94"/>
  <c r="AT53" i="94"/>
  <c r="AV53" i="94" s="1"/>
  <c r="BR53" i="94"/>
  <c r="AP53" i="94"/>
  <c r="AJ53" i="94"/>
  <c r="AX53" i="94"/>
  <c r="AZ53" i="94" s="1"/>
  <c r="AR53" i="94"/>
  <c r="BA53" i="94"/>
  <c r="AA53" i="94"/>
  <c r="AC53" i="94" s="1"/>
  <c r="X53" i="94"/>
  <c r="BQ53" i="94"/>
  <c r="BZ53" i="94"/>
  <c r="BE53" i="94"/>
  <c r="BI53" i="94"/>
  <c r="BV53" i="94"/>
  <c r="BK53" i="94"/>
  <c r="U53" i="94"/>
  <c r="AU53" i="94"/>
  <c r="AL53" i="94"/>
  <c r="BS54" i="94"/>
  <c r="BC54" i="94"/>
  <c r="W54" i="94"/>
  <c r="Y54" i="94" s="1"/>
  <c r="BL54" i="94"/>
  <c r="AW54" i="94"/>
  <c r="BN54" i="94"/>
  <c r="BG54" i="94"/>
  <c r="CG54" i="94"/>
  <c r="AE54" i="94"/>
  <c r="CB54" i="94"/>
  <c r="BF54" i="94"/>
  <c r="CE54" i="94"/>
  <c r="BD54" i="94"/>
  <c r="BE54" i="94"/>
  <c r="BV54" i="94"/>
  <c r="BO54" i="94"/>
  <c r="AD54" i="94"/>
  <c r="BJ54" i="94"/>
  <c r="BX54" i="94"/>
  <c r="AN54" i="94"/>
  <c r="BM54" i="94"/>
  <c r="CD54" i="94"/>
  <c r="CF54" i="94" s="1"/>
  <c r="BW54" i="94"/>
  <c r="AT54" i="94"/>
  <c r="AV54" i="94" s="1"/>
  <c r="AB54" i="94"/>
  <c r="AG54" i="94"/>
  <c r="BP54" i="94"/>
  <c r="AF54" i="94"/>
  <c r="BU54" i="94"/>
  <c r="Z54" i="94"/>
  <c r="BR54" i="94"/>
  <c r="CA54" i="94"/>
  <c r="CC54" i="94" s="1"/>
  <c r="BI54" i="94"/>
  <c r="BH54" i="94"/>
  <c r="X54" i="94"/>
  <c r="AH54" i="94"/>
  <c r="AA54" i="94"/>
  <c r="AC54" i="94" s="1"/>
  <c r="BY54" i="94"/>
  <c r="AK54" i="94"/>
  <c r="U54" i="94"/>
  <c r="BZ54" i="94"/>
  <c r="AU54" i="94"/>
  <c r="AR54" i="94"/>
  <c r="P54" i="94"/>
  <c r="AP54" i="94"/>
  <c r="AI54" i="94"/>
  <c r="T54" i="94"/>
  <c r="V54" i="94" s="1"/>
  <c r="BA54" i="94"/>
  <c r="BK54" i="94"/>
  <c r="AY54" i="94"/>
  <c r="BB54" i="94"/>
  <c r="AM54" i="94"/>
  <c r="AO54" i="94" s="1"/>
  <c r="AJ54" i="94"/>
  <c r="AL54" i="94"/>
  <c r="BT54" i="94"/>
  <c r="AX54" i="94"/>
  <c r="AZ54" i="94" s="1"/>
  <c r="AQ54" i="94"/>
  <c r="AS54" i="94" s="1"/>
  <c r="BQ54" i="94"/>
  <c r="AQ12" i="94"/>
  <c r="AS12" i="94" s="1"/>
  <c r="F46" i="94"/>
  <c r="AL18" i="94"/>
  <c r="F52" i="94"/>
  <c r="Z55" i="94"/>
  <c r="BF55" i="94"/>
  <c r="CD55" i="94"/>
  <c r="CF55" i="94" s="1"/>
  <c r="BV55" i="94"/>
  <c r="BN55" i="94"/>
  <c r="AX55" i="94"/>
  <c r="AZ55" i="94" s="1"/>
  <c r="AH55" i="94"/>
  <c r="BD55" i="94"/>
  <c r="AL55" i="94"/>
  <c r="BE55" i="94"/>
  <c r="BM55" i="94"/>
  <c r="BH55" i="94"/>
  <c r="BP55" i="94"/>
  <c r="AM55" i="94"/>
  <c r="AO55" i="94" s="1"/>
  <c r="AR55" i="94"/>
  <c r="AW55" i="94"/>
  <c r="BW55" i="94"/>
  <c r="AA55" i="94"/>
  <c r="AC55" i="94" s="1"/>
  <c r="BX55" i="94"/>
  <c r="AU55" i="94"/>
  <c r="P55" i="94"/>
  <c r="AK55" i="94"/>
  <c r="CB55" i="94"/>
  <c r="BU55" i="94"/>
  <c r="AG55" i="94"/>
  <c r="AI55" i="94"/>
  <c r="BS55" i="94"/>
  <c r="X55" i="94"/>
  <c r="AP55" i="94"/>
  <c r="U55" i="94"/>
  <c r="BC55" i="94"/>
  <c r="AQ55" i="94"/>
  <c r="AS55" i="94" s="1"/>
  <c r="BA55" i="94"/>
  <c r="AT55" i="94"/>
  <c r="AV55" i="94" s="1"/>
  <c r="CA55" i="94"/>
  <c r="CC55" i="94" s="1"/>
  <c r="AF55" i="94"/>
  <c r="BK55" i="94"/>
  <c r="BZ55" i="94"/>
  <c r="AY55" i="94"/>
  <c r="T55" i="94"/>
  <c r="V55" i="94" s="1"/>
  <c r="BI55" i="94"/>
  <c r="BB55" i="94"/>
  <c r="AN55" i="94"/>
  <c r="CE55" i="94"/>
  <c r="AE55" i="94"/>
  <c r="BR55" i="94"/>
  <c r="BG55" i="94"/>
  <c r="AB55" i="94"/>
  <c r="BQ55" i="94"/>
  <c r="BJ55" i="94"/>
  <c r="BL55" i="94"/>
  <c r="AD55" i="94"/>
  <c r="BO55" i="94"/>
  <c r="AJ55" i="94"/>
  <c r="BY55" i="94"/>
  <c r="W55" i="94"/>
  <c r="Y55" i="94" s="1"/>
  <c r="BT55" i="94"/>
  <c r="CG55" i="94"/>
  <c r="F20" i="83"/>
  <c r="BJ12" i="94"/>
  <c r="BV18" i="94"/>
  <c r="BL18" i="94"/>
  <c r="AK12" i="94"/>
  <c r="BI18" i="94"/>
  <c r="AT12" i="94"/>
  <c r="CC12" i="94"/>
  <c r="BP18" i="94"/>
  <c r="AF18" i="94"/>
  <c r="BW12" i="94"/>
  <c r="BU12" i="94"/>
  <c r="CF12" i="94"/>
  <c r="BX12" i="94"/>
  <c r="AV18" i="94"/>
  <c r="BI12" i="94"/>
  <c r="AY18" i="94"/>
  <c r="CB18" i="94"/>
  <c r="CD12" i="94"/>
  <c r="AE12" i="94"/>
  <c r="AG12" i="94" s="1"/>
  <c r="BK18" i="94"/>
  <c r="BX18" i="94"/>
  <c r="BH18" i="94"/>
  <c r="BH12" i="94"/>
  <c r="BP12" i="94"/>
  <c r="BF18" i="94"/>
  <c r="BB18" i="94"/>
  <c r="BD18" i="94" s="1"/>
  <c r="BM18" i="94"/>
  <c r="AD12" i="94"/>
  <c r="AI12" i="94"/>
  <c r="BO18" i="94"/>
  <c r="BS18" i="94"/>
  <c r="S18" i="94"/>
  <c r="BE18" i="94"/>
  <c r="AX18" i="94"/>
  <c r="AZ18" i="94" s="1"/>
  <c r="AJ18" i="94"/>
  <c r="AM18" i="94"/>
  <c r="AH12" i="94"/>
  <c r="BG12" i="94"/>
  <c r="BM12" i="94"/>
  <c r="CK12" i="94"/>
  <c r="AF12" i="94"/>
  <c r="BT12" i="94"/>
  <c r="AR12" i="94"/>
  <c r="Y12" i="94"/>
  <c r="CE18" i="94"/>
  <c r="CG18" i="94" s="1"/>
  <c r="BC18" i="94"/>
  <c r="AT18" i="94"/>
  <c r="AK18" i="94"/>
  <c r="BC12" i="94"/>
  <c r="BF12" i="94"/>
  <c r="CF18" i="94"/>
  <c r="CD18" i="94"/>
  <c r="AN18" i="94"/>
  <c r="AR18" i="94"/>
  <c r="CI18" i="94"/>
  <c r="BA18" i="94"/>
  <c r="BQ18" i="94"/>
  <c r="BR12" i="94"/>
  <c r="AV12" i="94"/>
  <c r="BA12" i="94"/>
  <c r="AX12" i="94"/>
  <c r="AZ12" i="94" s="1"/>
  <c r="X12" i="94"/>
  <c r="Z12" i="94" s="1"/>
  <c r="BS12" i="94"/>
  <c r="AB12" i="94"/>
  <c r="AA18" i="94"/>
  <c r="AC18" i="94" s="1"/>
  <c r="CA12" i="94"/>
  <c r="BB12" i="94"/>
  <c r="BD12" i="94" s="1"/>
  <c r="BG18" i="94"/>
  <c r="CH18" i="94"/>
  <c r="CJ18" i="94" s="1"/>
  <c r="AI18" i="94"/>
  <c r="BZ18" i="94"/>
  <c r="AU18" i="94"/>
  <c r="AW18" i="94" s="1"/>
  <c r="BU18" i="94"/>
  <c r="Y18" i="94"/>
  <c r="CH12" i="94"/>
  <c r="CJ12" i="94" s="1"/>
  <c r="AL12" i="94"/>
  <c r="CE12" i="94"/>
  <c r="CG12" i="94" s="1"/>
  <c r="BY12" i="94"/>
  <c r="BE12" i="94"/>
  <c r="BK12" i="94"/>
  <c r="BO12" i="94"/>
  <c r="AO18" i="94"/>
  <c r="CA18" i="94"/>
  <c r="CB12" i="94"/>
  <c r="AJ12" i="94"/>
  <c r="AP18" i="94"/>
  <c r="BW18" i="94"/>
  <c r="AB18" i="94"/>
  <c r="BN18" i="94"/>
  <c r="AH18" i="94"/>
  <c r="BY18" i="94"/>
  <c r="X18" i="94"/>
  <c r="Z18" i="94" s="1"/>
  <c r="BR18" i="94"/>
  <c r="AP12" i="94"/>
  <c r="CI12" i="94"/>
  <c r="S12" i="94"/>
  <c r="AO12" i="94"/>
  <c r="BZ12" i="94"/>
  <c r="AU12" i="94"/>
  <c r="AW12" i="94" s="1"/>
  <c r="AY12" i="94"/>
  <c r="AD18" i="94"/>
  <c r="BT18" i="94"/>
  <c r="AQ18" i="94"/>
  <c r="AS18" i="94" s="1"/>
  <c r="AE18" i="94"/>
  <c r="AG18" i="94" s="1"/>
  <c r="CC18" i="94"/>
  <c r="BJ18" i="94"/>
  <c r="CK18" i="94"/>
  <c r="BQ12" i="94"/>
  <c r="BL12" i="94"/>
  <c r="BN12" i="94"/>
  <c r="BV12" i="94"/>
  <c r="AN12" i="94"/>
  <c r="AM12" i="94"/>
  <c r="D11" i="83"/>
  <c r="E11" i="83" s="1"/>
  <c r="F16" i="83"/>
  <c r="D17" i="83"/>
  <c r="E17" i="83" s="1"/>
  <c r="E19" i="83"/>
  <c r="F19" i="83"/>
  <c r="E18" i="83"/>
  <c r="F18" i="83"/>
  <c r="L37" i="49"/>
  <c r="BP46" i="94" l="1"/>
  <c r="AN46" i="94"/>
  <c r="P46" i="94"/>
  <c r="BD46" i="94"/>
  <c r="BN46" i="94"/>
  <c r="AJ46" i="94"/>
  <c r="CE46" i="94"/>
  <c r="BF46" i="94"/>
  <c r="X46" i="94"/>
  <c r="BL46" i="94"/>
  <c r="AH46" i="94"/>
  <c r="CA46" i="94"/>
  <c r="CC46" i="94" s="1"/>
  <c r="AB46" i="94"/>
  <c r="BX46" i="94"/>
  <c r="CD46" i="94"/>
  <c r="CF46" i="94" s="1"/>
  <c r="BH46" i="94"/>
  <c r="AF46" i="94"/>
  <c r="CB46" i="94"/>
  <c r="BV46" i="94"/>
  <c r="AX46" i="94"/>
  <c r="AZ46" i="94" s="1"/>
  <c r="BT46" i="94"/>
  <c r="AR46" i="94"/>
  <c r="U46" i="94"/>
  <c r="AD46" i="94"/>
  <c r="BE46" i="94"/>
  <c r="AM46" i="94"/>
  <c r="AO46" i="94" s="1"/>
  <c r="AA46" i="94"/>
  <c r="AC46" i="94" s="1"/>
  <c r="BW46" i="94"/>
  <c r="CG46" i="94"/>
  <c r="AU46" i="94"/>
  <c r="AI46" i="94"/>
  <c r="BM46" i="94"/>
  <c r="T46" i="94"/>
  <c r="V46" i="94" s="1"/>
  <c r="BJ46" i="94"/>
  <c r="BA46" i="94"/>
  <c r="BK46" i="94"/>
  <c r="AY46" i="94"/>
  <c r="AW46" i="94"/>
  <c r="AP46" i="94"/>
  <c r="BY46" i="94"/>
  <c r="BI46" i="94"/>
  <c r="AT46" i="94"/>
  <c r="AV46" i="94" s="1"/>
  <c r="BG46" i="94"/>
  <c r="BU46" i="94"/>
  <c r="AG46" i="94"/>
  <c r="Z46" i="94"/>
  <c r="BQ46" i="94"/>
  <c r="BB46" i="94"/>
  <c r="AK46" i="94"/>
  <c r="BC46" i="94"/>
  <c r="BR46" i="94"/>
  <c r="AQ46" i="94"/>
  <c r="AS46" i="94" s="1"/>
  <c r="BS46" i="94"/>
  <c r="BZ46" i="94"/>
  <c r="BO46" i="94"/>
  <c r="W46" i="94"/>
  <c r="Y46" i="94" s="1"/>
  <c r="AE46" i="94"/>
  <c r="AL46" i="94"/>
  <c r="AD52" i="94"/>
  <c r="CD52" i="94"/>
  <c r="CF52" i="94" s="1"/>
  <c r="BF52" i="94"/>
  <c r="BU52" i="94"/>
  <c r="BJ52" i="94"/>
  <c r="BN52" i="94"/>
  <c r="BE52" i="94"/>
  <c r="AX52" i="94"/>
  <c r="AZ52" i="94" s="1"/>
  <c r="AT52" i="94"/>
  <c r="AV52" i="94" s="1"/>
  <c r="BB52" i="94"/>
  <c r="AE52" i="94"/>
  <c r="AI52" i="94"/>
  <c r="BR52" i="94"/>
  <c r="AY52" i="94"/>
  <c r="BT52" i="94"/>
  <c r="CB52" i="94"/>
  <c r="U52" i="94"/>
  <c r="BV52" i="94"/>
  <c r="BL52" i="94"/>
  <c r="W52" i="94"/>
  <c r="Y52" i="94" s="1"/>
  <c r="AA52" i="94"/>
  <c r="AC52" i="94" s="1"/>
  <c r="BC52" i="94"/>
  <c r="BO52" i="94"/>
  <c r="BI52" i="94"/>
  <c r="BS52" i="94"/>
  <c r="AK52" i="94"/>
  <c r="AN52" i="94"/>
  <c r="BQ52" i="94"/>
  <c r="AP52" i="94"/>
  <c r="CG52" i="94"/>
  <c r="CE52" i="94"/>
  <c r="BY52" i="94"/>
  <c r="BX52" i="94"/>
  <c r="AH52" i="94"/>
  <c r="AF52" i="94"/>
  <c r="BA52" i="94"/>
  <c r="BH52" i="94"/>
  <c r="AM52" i="94"/>
  <c r="AO52" i="94" s="1"/>
  <c r="BM52" i="94"/>
  <c r="BZ52" i="94"/>
  <c r="X52" i="94"/>
  <c r="BP52" i="94"/>
  <c r="BW52" i="94"/>
  <c r="AG52" i="94"/>
  <c r="BG52" i="94"/>
  <c r="CA52" i="94"/>
  <c r="CC52" i="94" s="1"/>
  <c r="BK52" i="94"/>
  <c r="AJ52" i="94"/>
  <c r="AW52" i="94"/>
  <c r="BD52" i="94"/>
  <c r="P52" i="94"/>
  <c r="AR52" i="94"/>
  <c r="AU52" i="94"/>
  <c r="AB52" i="94"/>
  <c r="Z52" i="94"/>
  <c r="T52" i="94"/>
  <c r="V52" i="94" s="1"/>
  <c r="AQ52" i="94"/>
  <c r="AS52" i="94" s="1"/>
  <c r="AL52" i="94"/>
  <c r="F11" i="83"/>
  <c r="F17" i="83"/>
  <c r="O36" i="49"/>
  <c r="O20" i="49"/>
  <c r="AD4" i="32" l="1"/>
  <c r="AD26" i="32" l="1"/>
  <c r="AD12" i="32"/>
  <c r="AD9" i="32"/>
  <c r="AD6" i="32"/>
  <c r="Q8" i="94" l="1"/>
  <c r="N42" i="94" s="1"/>
  <c r="O9" i="86"/>
  <c r="Y9" i="86" s="1"/>
  <c r="Q5" i="94"/>
  <c r="N39" i="94" s="1"/>
  <c r="O6" i="86"/>
  <c r="O12" i="86"/>
  <c r="Y12" i="86" s="1"/>
  <c r="Q11" i="94"/>
  <c r="N45" i="94" s="1"/>
  <c r="O26" i="86"/>
  <c r="Q25" i="94"/>
  <c r="N59" i="94" s="1"/>
  <c r="AD8" i="32"/>
  <c r="Y6" i="86" l="1"/>
  <c r="AF6" i="86" s="1"/>
  <c r="Y26" i="86"/>
  <c r="AF26" i="86" s="1"/>
  <c r="AK39" i="94"/>
  <c r="S39" i="94"/>
  <c r="R39" i="94"/>
  <c r="P39" i="94"/>
  <c r="Q39" i="94"/>
  <c r="Q45" i="94"/>
  <c r="S45" i="94"/>
  <c r="AK45" i="94"/>
  <c r="P45" i="94"/>
  <c r="S59" i="94"/>
  <c r="AK59" i="94"/>
  <c r="P59" i="94"/>
  <c r="Q59" i="94"/>
  <c r="P42" i="94"/>
  <c r="AK42" i="94"/>
  <c r="S42" i="94"/>
  <c r="R42" i="94"/>
  <c r="Q42" i="94"/>
  <c r="V25" i="94"/>
  <c r="AO25" i="94"/>
  <c r="T25" i="94"/>
  <c r="S25" i="94"/>
  <c r="W25" i="94"/>
  <c r="V5" i="94"/>
  <c r="U5" i="94"/>
  <c r="S5" i="94"/>
  <c r="W5" i="94"/>
  <c r="AO5" i="94"/>
  <c r="T5" i="94"/>
  <c r="AO11" i="94"/>
  <c r="V11" i="94"/>
  <c r="S11" i="94"/>
  <c r="T11" i="94"/>
  <c r="W11" i="94"/>
  <c r="AF9" i="86"/>
  <c r="AD2" i="32"/>
  <c r="O8" i="86"/>
  <c r="Y8" i="86" s="1"/>
  <c r="Q7" i="94"/>
  <c r="N41" i="94" s="1"/>
  <c r="AF12" i="86"/>
  <c r="V8" i="94"/>
  <c r="W8" i="94" s="1"/>
  <c r="S8" i="94"/>
  <c r="U8" i="94"/>
  <c r="T8" i="94"/>
  <c r="AO8" i="94"/>
  <c r="Z23" i="32"/>
  <c r="Z24" i="32"/>
  <c r="Z4" i="32"/>
  <c r="AK41" i="94" l="1"/>
  <c r="S41" i="94"/>
  <c r="Q41" i="94"/>
  <c r="P41" i="94"/>
  <c r="M7" i="94"/>
  <c r="J41" i="94" s="1"/>
  <c r="K8" i="86"/>
  <c r="M8" i="94"/>
  <c r="J42" i="94" s="1"/>
  <c r="K9" i="86"/>
  <c r="M23" i="94"/>
  <c r="J57" i="94" s="1"/>
  <c r="K24" i="86"/>
  <c r="T7" i="94"/>
  <c r="V7" i="94"/>
  <c r="S7" i="94"/>
  <c r="AO7" i="94"/>
  <c r="W7" i="94"/>
  <c r="M22" i="94"/>
  <c r="J56" i="94" s="1"/>
  <c r="K23" i="86"/>
  <c r="U23" i="86" s="1"/>
  <c r="AB23" i="86" s="1"/>
  <c r="AF8" i="86"/>
  <c r="AA27" i="32"/>
  <c r="AA26" i="32"/>
  <c r="AA10" i="32"/>
  <c r="AA8" i="32"/>
  <c r="AA4" i="32"/>
  <c r="U9" i="86" l="1"/>
  <c r="AB9" i="86" s="1"/>
  <c r="U24" i="86"/>
  <c r="AB24" i="86" s="1"/>
  <c r="U8" i="86"/>
  <c r="AB8" i="86" s="1"/>
  <c r="BZ42" i="94"/>
  <c r="BR42" i="94"/>
  <c r="BW42" i="94"/>
  <c r="AD42" i="94"/>
  <c r="Z42" i="94"/>
  <c r="CG42" i="94"/>
  <c r="BM42" i="94"/>
  <c r="BH42" i="94"/>
  <c r="AP42" i="94"/>
  <c r="AW42" i="94"/>
  <c r="AG42" i="94"/>
  <c r="BC42" i="94"/>
  <c r="CG56" i="94"/>
  <c r="AG56" i="94"/>
  <c r="BR56" i="94"/>
  <c r="AW56" i="94"/>
  <c r="BW56" i="94"/>
  <c r="BC56" i="94"/>
  <c r="BZ56" i="94"/>
  <c r="Z56" i="94"/>
  <c r="BM56" i="94"/>
  <c r="BH56" i="94"/>
  <c r="AD56" i="94"/>
  <c r="AP56" i="94"/>
  <c r="AD57" i="94"/>
  <c r="CG57" i="94"/>
  <c r="BM57" i="94"/>
  <c r="BH57" i="94"/>
  <c r="AW57" i="94"/>
  <c r="BW57" i="94"/>
  <c r="AG57" i="94"/>
  <c r="BC57" i="94"/>
  <c r="Z57" i="94"/>
  <c r="BZ57" i="94"/>
  <c r="BR57" i="94"/>
  <c r="AP57" i="94"/>
  <c r="AD41" i="94"/>
  <c r="BR41" i="94"/>
  <c r="AG41" i="94"/>
  <c r="Z41" i="94"/>
  <c r="AW41" i="94"/>
  <c r="AP41" i="94"/>
  <c r="BH41" i="94"/>
  <c r="CG41" i="94"/>
  <c r="BM41" i="94"/>
  <c r="BC41" i="94"/>
  <c r="BW41" i="94"/>
  <c r="BZ41" i="94"/>
  <c r="L27" i="86"/>
  <c r="V27" i="86" s="1"/>
  <c r="N26" i="94"/>
  <c r="K60" i="94" s="1"/>
  <c r="BG7" i="94"/>
  <c r="BL7" i="94"/>
  <c r="CK7" i="94"/>
  <c r="AT7" i="94"/>
  <c r="AD7" i="94"/>
  <c r="AH7" i="94"/>
  <c r="BQ7" i="94"/>
  <c r="BA7" i="94"/>
  <c r="CD7" i="94"/>
  <c r="CA7" i="94"/>
  <c r="AK7" i="94"/>
  <c r="BV7" i="94"/>
  <c r="AK22" i="94"/>
  <c r="BQ22" i="94"/>
  <c r="BV22" i="94"/>
  <c r="BG22" i="94"/>
  <c r="AH22" i="94"/>
  <c r="CK22" i="94"/>
  <c r="BA22" i="94"/>
  <c r="BL22" i="94"/>
  <c r="CD22" i="94"/>
  <c r="CA22" i="94"/>
  <c r="AT22" i="94"/>
  <c r="AD22" i="94"/>
  <c r="BG23" i="94"/>
  <c r="BQ23" i="94"/>
  <c r="AT23" i="94"/>
  <c r="CK23" i="94"/>
  <c r="BV23" i="94"/>
  <c r="BL23" i="94"/>
  <c r="CD23" i="94"/>
  <c r="CA23" i="94"/>
  <c r="AK23" i="94"/>
  <c r="AD23" i="94"/>
  <c r="BA23" i="94"/>
  <c r="AH23" i="94"/>
  <c r="N7" i="94"/>
  <c r="K41" i="94" s="1"/>
  <c r="L8" i="86"/>
  <c r="V8" i="86" s="1"/>
  <c r="N9" i="94"/>
  <c r="K43" i="94" s="1"/>
  <c r="L10" i="86"/>
  <c r="V10" i="86" s="1"/>
  <c r="L26" i="86"/>
  <c r="V26" i="86" s="1"/>
  <c r="N25" i="94"/>
  <c r="K59" i="94" s="1"/>
  <c r="BA8" i="94"/>
  <c r="AD8" i="94"/>
  <c r="BV8" i="94"/>
  <c r="AT8" i="94"/>
  <c r="AH8" i="94"/>
  <c r="CK8" i="94"/>
  <c r="BG8" i="94"/>
  <c r="AK8" i="94"/>
  <c r="BQ8" i="94"/>
  <c r="CD8" i="94"/>
  <c r="BL8" i="94"/>
  <c r="CA8" i="94"/>
  <c r="Y27" i="32"/>
  <c r="Y26" i="32"/>
  <c r="Y10" i="32"/>
  <c r="Y23" i="32"/>
  <c r="Y24" i="32"/>
  <c r="Y8" i="32"/>
  <c r="Y11" i="32"/>
  <c r="BI60" i="94" l="1"/>
  <c r="BS60" i="94"/>
  <c r="AH60" i="94"/>
  <c r="BD60" i="94"/>
  <c r="BX60" i="94"/>
  <c r="BN60" i="94"/>
  <c r="CA60" i="94"/>
  <c r="CC60" i="94" s="1"/>
  <c r="CD60" i="94"/>
  <c r="CF60" i="94" s="1"/>
  <c r="BI59" i="94"/>
  <c r="BD59" i="94"/>
  <c r="AH59" i="94"/>
  <c r="BN59" i="94"/>
  <c r="BX59" i="94"/>
  <c r="BS59" i="94"/>
  <c r="CA59" i="94"/>
  <c r="CC59" i="94" s="1"/>
  <c r="CD59" i="94"/>
  <c r="CF59" i="94" s="1"/>
  <c r="AH41" i="94"/>
  <c r="BN43" i="94"/>
  <c r="AH43" i="94"/>
  <c r="BS43" i="94"/>
  <c r="BD43" i="94"/>
  <c r="BI43" i="94"/>
  <c r="BX43" i="94"/>
  <c r="CA43" i="94"/>
  <c r="CC43" i="94" s="1"/>
  <c r="CD43" i="94"/>
  <c r="CF43" i="94" s="1"/>
  <c r="J23" i="86"/>
  <c r="T23" i="86" s="1"/>
  <c r="AA23" i="86" s="1"/>
  <c r="L22" i="94"/>
  <c r="I56" i="94" s="1"/>
  <c r="AL7" i="94"/>
  <c r="J10" i="86"/>
  <c r="T10" i="86" s="1"/>
  <c r="L9" i="94"/>
  <c r="I43" i="94" s="1"/>
  <c r="J27" i="86"/>
  <c r="T27" i="86" s="1"/>
  <c r="L26" i="94"/>
  <c r="I60" i="94" s="1"/>
  <c r="AC27" i="86"/>
  <c r="AC10" i="86"/>
  <c r="J26" i="86"/>
  <c r="L25" i="94"/>
  <c r="I59" i="94" s="1"/>
  <c r="CE25" i="94"/>
  <c r="CG25" i="94" s="1"/>
  <c r="BW25" i="94"/>
  <c r="CH25" i="94"/>
  <c r="CJ25" i="94" s="1"/>
  <c r="AL25" i="94"/>
  <c r="BR25" i="94"/>
  <c r="BH25" i="94"/>
  <c r="BM25" i="94"/>
  <c r="CB25" i="94"/>
  <c r="J11" i="86"/>
  <c r="L10" i="94"/>
  <c r="I44" i="94" s="1"/>
  <c r="L7" i="94"/>
  <c r="I41" i="94" s="1"/>
  <c r="J8" i="86"/>
  <c r="AC8" i="86"/>
  <c r="AL26" i="94"/>
  <c r="CH26" i="94"/>
  <c r="CJ26" i="94" s="1"/>
  <c r="CE26" i="94"/>
  <c r="CG26" i="94" s="1"/>
  <c r="CB26" i="94"/>
  <c r="BR26" i="94"/>
  <c r="BH26" i="94"/>
  <c r="BW26" i="94"/>
  <c r="BM26" i="94"/>
  <c r="AC26" i="86"/>
  <c r="BM9" i="94"/>
  <c r="BH9" i="94"/>
  <c r="AL9" i="94"/>
  <c r="CH9" i="94"/>
  <c r="CJ9" i="94" s="1"/>
  <c r="CE9" i="94"/>
  <c r="CG9" i="94" s="1"/>
  <c r="BR9" i="94"/>
  <c r="CB9" i="94"/>
  <c r="BW9" i="94"/>
  <c r="J24" i="86"/>
  <c r="T24" i="86" s="1"/>
  <c r="L23" i="94"/>
  <c r="I57" i="94" s="1"/>
  <c r="Y12" i="32"/>
  <c r="T8" i="86" l="1"/>
  <c r="AA8" i="86" s="1"/>
  <c r="AA11" i="86"/>
  <c r="T11" i="86"/>
  <c r="T26" i="86"/>
  <c r="AA26" i="86" s="1"/>
  <c r="BQ43" i="94"/>
  <c r="BP43" i="94"/>
  <c r="AF43" i="94"/>
  <c r="AM43" i="94"/>
  <c r="AO43" i="94" s="1"/>
  <c r="AN43" i="94"/>
  <c r="BK43" i="94"/>
  <c r="BF43" i="94"/>
  <c r="AE43" i="94"/>
  <c r="BL43" i="94"/>
  <c r="BU43" i="94"/>
  <c r="BV43" i="94"/>
  <c r="BA43" i="94"/>
  <c r="AB43" i="94"/>
  <c r="BB43" i="94"/>
  <c r="AA43" i="94"/>
  <c r="AC43" i="94" s="1"/>
  <c r="AU43" i="94"/>
  <c r="AI43" i="94"/>
  <c r="AJ43" i="94"/>
  <c r="X43" i="94"/>
  <c r="R43" i="94"/>
  <c r="BG43" i="94"/>
  <c r="W43" i="94"/>
  <c r="Y43" i="94" s="1"/>
  <c r="AT43" i="94"/>
  <c r="AV43" i="94" s="1"/>
  <c r="T43" i="94"/>
  <c r="V43" i="94" s="1"/>
  <c r="U43" i="94"/>
  <c r="O43" i="94"/>
  <c r="AL43" i="94" s="1"/>
  <c r="BV59" i="94"/>
  <c r="AA59" i="94"/>
  <c r="AC59" i="94" s="1"/>
  <c r="AI59" i="94"/>
  <c r="AM59" i="94"/>
  <c r="AO59" i="94" s="1"/>
  <c r="BU59" i="94"/>
  <c r="AB59" i="94"/>
  <c r="BQ59" i="94"/>
  <c r="AJ59" i="94"/>
  <c r="BK59" i="94"/>
  <c r="BG59" i="94"/>
  <c r="BB59" i="94"/>
  <c r="BL59" i="94"/>
  <c r="AE59" i="94"/>
  <c r="BA59" i="94"/>
  <c r="AT59" i="94"/>
  <c r="AV59" i="94" s="1"/>
  <c r="X59" i="94"/>
  <c r="BP59" i="94"/>
  <c r="W59" i="94"/>
  <c r="Y59" i="94" s="1"/>
  <c r="BF59" i="94"/>
  <c r="AU59" i="94"/>
  <c r="AF59" i="94"/>
  <c r="AN59" i="94"/>
  <c r="O59" i="94"/>
  <c r="AL59" i="94" s="1"/>
  <c r="T59" i="94"/>
  <c r="V59" i="94" s="1"/>
  <c r="U59" i="94"/>
  <c r="R59" i="94"/>
  <c r="BV57" i="94"/>
  <c r="AI57" i="94"/>
  <c r="BP57" i="94"/>
  <c r="W57" i="94"/>
  <c r="Y57" i="94" s="1"/>
  <c r="BG57" i="94"/>
  <c r="AT57" i="94"/>
  <c r="AV57" i="94" s="1"/>
  <c r="AM57" i="94"/>
  <c r="AO57" i="94" s="1"/>
  <c r="BU57" i="94"/>
  <c r="AB57" i="94"/>
  <c r="BB57" i="94"/>
  <c r="AJ57" i="94"/>
  <c r="AE57" i="94"/>
  <c r="X57" i="94"/>
  <c r="BQ57" i="94"/>
  <c r="AA57" i="94"/>
  <c r="AC57" i="94" s="1"/>
  <c r="AU57" i="94"/>
  <c r="AF57" i="94"/>
  <c r="BK57" i="94"/>
  <c r="AN57" i="94"/>
  <c r="BA57" i="94"/>
  <c r="BL57" i="94"/>
  <c r="U57" i="94"/>
  <c r="BF57" i="94"/>
  <c r="R57" i="94"/>
  <c r="T57" i="94"/>
  <c r="V57" i="94" s="1"/>
  <c r="AM41" i="94"/>
  <c r="AO41" i="94" s="1"/>
  <c r="BK41" i="94"/>
  <c r="AE41" i="94"/>
  <c r="AB41" i="94"/>
  <c r="BB41" i="94"/>
  <c r="BQ41" i="94"/>
  <c r="AU41" i="94"/>
  <c r="AN41" i="94"/>
  <c r="R41" i="94"/>
  <c r="AA41" i="94"/>
  <c r="AC41" i="94" s="1"/>
  <c r="BL41" i="94"/>
  <c r="AI41" i="94"/>
  <c r="BA41" i="94"/>
  <c r="BF41" i="94"/>
  <c r="AJ41" i="94"/>
  <c r="W41" i="94"/>
  <c r="Y41" i="94" s="1"/>
  <c r="BU41" i="94"/>
  <c r="BV41" i="94"/>
  <c r="BG41" i="94"/>
  <c r="AT41" i="94"/>
  <c r="AV41" i="94" s="1"/>
  <c r="BP41" i="94"/>
  <c r="X41" i="94"/>
  <c r="AF41" i="94"/>
  <c r="T41" i="94"/>
  <c r="V41" i="94" s="1"/>
  <c r="U41" i="94"/>
  <c r="W56" i="94"/>
  <c r="Y56" i="94" s="1"/>
  <c r="AI56" i="94"/>
  <c r="BL56" i="94"/>
  <c r="AA56" i="94"/>
  <c r="AC56" i="94" s="1"/>
  <c r="BV56" i="94"/>
  <c r="BK56" i="94"/>
  <c r="R56" i="94"/>
  <c r="AT56" i="94"/>
  <c r="AV56" i="94" s="1"/>
  <c r="AU56" i="94"/>
  <c r="BQ56" i="94"/>
  <c r="X56" i="94"/>
  <c r="BF56" i="94"/>
  <c r="AE56" i="94"/>
  <c r="BP56" i="94"/>
  <c r="BA56" i="94"/>
  <c r="BG56" i="94"/>
  <c r="BU56" i="94"/>
  <c r="AB56" i="94"/>
  <c r="AJ56" i="94"/>
  <c r="AM56" i="94"/>
  <c r="AO56" i="94" s="1"/>
  <c r="BB56" i="94"/>
  <c r="AF56" i="94"/>
  <c r="AN56" i="94"/>
  <c r="O56" i="94"/>
  <c r="AL56" i="94" s="1"/>
  <c r="T56" i="94"/>
  <c r="V56" i="94" s="1"/>
  <c r="U56" i="94"/>
  <c r="BK44" i="94"/>
  <c r="BG44" i="94"/>
  <c r="AE44" i="94"/>
  <c r="AA44" i="94"/>
  <c r="AC44" i="94" s="1"/>
  <c r="BU44" i="94"/>
  <c r="AT44" i="94"/>
  <c r="AV44" i="94" s="1"/>
  <c r="BQ44" i="94"/>
  <c r="BA44" i="94"/>
  <c r="BL44" i="94"/>
  <c r="AJ44" i="94"/>
  <c r="AB44" i="94"/>
  <c r="AU44" i="94"/>
  <c r="AM44" i="94"/>
  <c r="AO44" i="94" s="1"/>
  <c r="BP44" i="94"/>
  <c r="X44" i="94"/>
  <c r="BV44" i="94"/>
  <c r="AN44" i="94"/>
  <c r="W44" i="94"/>
  <c r="Y44" i="94" s="1"/>
  <c r="AI44" i="94"/>
  <c r="BF44" i="94"/>
  <c r="R44" i="94"/>
  <c r="BB44" i="94"/>
  <c r="AF44" i="94"/>
  <c r="U44" i="94"/>
  <c r="O44" i="94"/>
  <c r="AL44" i="94" s="1"/>
  <c r="T44" i="94"/>
  <c r="V44" i="94" s="1"/>
  <c r="BK60" i="94"/>
  <c r="AT60" i="94"/>
  <c r="AV60" i="94" s="1"/>
  <c r="AF60" i="94"/>
  <c r="BU60" i="94"/>
  <c r="AN60" i="94"/>
  <c r="AU60" i="94"/>
  <c r="BB60" i="94"/>
  <c r="AM60" i="94"/>
  <c r="AO60" i="94" s="1"/>
  <c r="BL60" i="94"/>
  <c r="AA60" i="94"/>
  <c r="AC60" i="94" s="1"/>
  <c r="AJ60" i="94"/>
  <c r="AI60" i="94"/>
  <c r="R60" i="94"/>
  <c r="BQ60" i="94"/>
  <c r="BA60" i="94"/>
  <c r="AE60" i="94"/>
  <c r="BF60" i="94"/>
  <c r="BG60" i="94"/>
  <c r="AB60" i="94"/>
  <c r="W60" i="94"/>
  <c r="Y60" i="94" s="1"/>
  <c r="X60" i="94"/>
  <c r="BV60" i="94"/>
  <c r="BP60" i="94"/>
  <c r="U60" i="94"/>
  <c r="T60" i="94"/>
  <c r="V60" i="94" s="1"/>
  <c r="O60" i="94"/>
  <c r="AL60" i="94" s="1"/>
  <c r="BJ10" i="94"/>
  <c r="AX10" i="94"/>
  <c r="AZ10" i="94" s="1"/>
  <c r="BP10" i="94"/>
  <c r="AA10" i="94"/>
  <c r="AC10" i="94" s="1"/>
  <c r="BZ10" i="94"/>
  <c r="AM10" i="94"/>
  <c r="AF10" i="94"/>
  <c r="AI10" i="94"/>
  <c r="BE10" i="94"/>
  <c r="AN10" i="94"/>
  <c r="AQ10" i="94"/>
  <c r="AS10" i="94" s="1"/>
  <c r="BU10" i="94"/>
  <c r="AE10" i="94"/>
  <c r="AG10" i="94" s="1"/>
  <c r="AY10" i="94"/>
  <c r="BF10" i="94"/>
  <c r="BT10" i="94"/>
  <c r="BO10" i="94"/>
  <c r="AB10" i="94"/>
  <c r="AJ10" i="94"/>
  <c r="BY10" i="94"/>
  <c r="R10" i="94"/>
  <c r="AP10" i="94" s="1"/>
  <c r="Y10" i="94"/>
  <c r="U10" i="94"/>
  <c r="AR10" i="94"/>
  <c r="BK10" i="94"/>
  <c r="X10" i="94"/>
  <c r="Z10" i="94" s="1"/>
  <c r="BU9" i="94"/>
  <c r="Y9" i="94"/>
  <c r="AN9" i="94"/>
  <c r="AB9" i="94"/>
  <c r="U9" i="94"/>
  <c r="AA9" i="94"/>
  <c r="AC9" i="94" s="1"/>
  <c r="R9" i="94"/>
  <c r="AP9" i="94" s="1"/>
  <c r="X9" i="94"/>
  <c r="Z9" i="94" s="1"/>
  <c r="BY9" i="94"/>
  <c r="AI9" i="94"/>
  <c r="AX9" i="94"/>
  <c r="AZ9" i="94" s="1"/>
  <c r="BP9" i="94"/>
  <c r="AM9" i="94"/>
  <c r="AY9" i="94"/>
  <c r="AJ9" i="94"/>
  <c r="AR9" i="94"/>
  <c r="AE9" i="94"/>
  <c r="AG9" i="94" s="1"/>
  <c r="BE9" i="94"/>
  <c r="BK9" i="94"/>
  <c r="BJ9" i="94"/>
  <c r="AF9" i="94"/>
  <c r="BZ9" i="94"/>
  <c r="BF9" i="94"/>
  <c r="BT9" i="94"/>
  <c r="AQ9" i="94"/>
  <c r="AS9" i="94" s="1"/>
  <c r="BO9" i="94"/>
  <c r="AA10" i="86"/>
  <c r="BF25" i="94"/>
  <c r="X25" i="94"/>
  <c r="Z25" i="94" s="1"/>
  <c r="BU25" i="94"/>
  <c r="BJ25" i="94"/>
  <c r="AX25" i="94"/>
  <c r="AZ25" i="94" s="1"/>
  <c r="R25" i="94"/>
  <c r="AP25" i="94" s="1"/>
  <c r="AF25" i="94"/>
  <c r="BT25" i="94"/>
  <c r="BZ25" i="94"/>
  <c r="BE25" i="94"/>
  <c r="AN25" i="94"/>
  <c r="AA25" i="94"/>
  <c r="AC25" i="94" s="1"/>
  <c r="BK25" i="94"/>
  <c r="Y25" i="94"/>
  <c r="AQ25" i="94"/>
  <c r="AS25" i="94" s="1"/>
  <c r="AB25" i="94"/>
  <c r="AY25" i="94"/>
  <c r="AI25" i="94"/>
  <c r="AJ25" i="94"/>
  <c r="AM25" i="94"/>
  <c r="BY25" i="94"/>
  <c r="BP25" i="94"/>
  <c r="AE25" i="94"/>
  <c r="AG25" i="94" s="1"/>
  <c r="BO25" i="94"/>
  <c r="AR25" i="94"/>
  <c r="U25" i="94"/>
  <c r="BE26" i="94"/>
  <c r="AR26" i="94"/>
  <c r="BJ26" i="94"/>
  <c r="BZ26" i="94"/>
  <c r="AM26" i="94"/>
  <c r="AA26" i="94"/>
  <c r="AC26" i="94" s="1"/>
  <c r="R26" i="94"/>
  <c r="AP26" i="94" s="1"/>
  <c r="X26" i="94"/>
  <c r="Z26" i="94" s="1"/>
  <c r="AI26" i="94"/>
  <c r="AX26" i="94"/>
  <c r="AZ26" i="94" s="1"/>
  <c r="Y26" i="94"/>
  <c r="AQ26" i="94"/>
  <c r="AS26" i="94" s="1"/>
  <c r="BT26" i="94"/>
  <c r="U26" i="94"/>
  <c r="AE26" i="94"/>
  <c r="AG26" i="94" s="1"/>
  <c r="AY26" i="94"/>
  <c r="BK26" i="94"/>
  <c r="BY26" i="94"/>
  <c r="BO26" i="94"/>
  <c r="AJ26" i="94"/>
  <c r="AF26" i="94"/>
  <c r="BP26" i="94"/>
  <c r="BU26" i="94"/>
  <c r="AN26" i="94"/>
  <c r="AB26" i="94"/>
  <c r="BF26" i="94"/>
  <c r="AN22" i="94"/>
  <c r="U22" i="94"/>
  <c r="AA22" i="94"/>
  <c r="AC22" i="94" s="1"/>
  <c r="BO22" i="94"/>
  <c r="BY22" i="94"/>
  <c r="AE22" i="94"/>
  <c r="AG22" i="94" s="1"/>
  <c r="AY22" i="94"/>
  <c r="AF22" i="94"/>
  <c r="AM22" i="94"/>
  <c r="BZ22" i="94"/>
  <c r="BE22" i="94"/>
  <c r="X22" i="94"/>
  <c r="Z22" i="94" s="1"/>
  <c r="BP22" i="94"/>
  <c r="AJ22" i="94"/>
  <c r="Y22" i="94"/>
  <c r="AX22" i="94"/>
  <c r="AZ22" i="94" s="1"/>
  <c r="BU22" i="94"/>
  <c r="AB22" i="94"/>
  <c r="BK22" i="94"/>
  <c r="AQ22" i="94"/>
  <c r="AS22" i="94" s="1"/>
  <c r="BF22" i="94"/>
  <c r="BJ22" i="94"/>
  <c r="BT22" i="94"/>
  <c r="R22" i="94"/>
  <c r="AP22" i="94" s="1"/>
  <c r="AR22" i="94"/>
  <c r="AI22" i="94"/>
  <c r="AA27" i="86"/>
  <c r="Y2" i="32"/>
  <c r="J12" i="86"/>
  <c r="T12" i="86" s="1"/>
  <c r="L11" i="94"/>
  <c r="I45" i="94" s="1"/>
  <c r="U23" i="94"/>
  <c r="AF23" i="94"/>
  <c r="X23" i="94"/>
  <c r="Z23" i="94" s="1"/>
  <c r="AE23" i="94"/>
  <c r="AG23" i="94" s="1"/>
  <c r="AJ23" i="94"/>
  <c r="AX23" i="94"/>
  <c r="AZ23" i="94" s="1"/>
  <c r="AY23" i="94"/>
  <c r="BY23" i="94"/>
  <c r="BU23" i="94"/>
  <c r="BP23" i="94"/>
  <c r="BE23" i="94"/>
  <c r="AN23" i="94"/>
  <c r="BO23" i="94"/>
  <c r="AA23" i="94"/>
  <c r="AC23" i="94" s="1"/>
  <c r="AR23" i="94"/>
  <c r="BZ23" i="94"/>
  <c r="AQ23" i="94"/>
  <c r="AS23" i="94" s="1"/>
  <c r="Y23" i="94"/>
  <c r="BT23" i="94"/>
  <c r="AB23" i="94"/>
  <c r="AI23" i="94"/>
  <c r="AM23" i="94"/>
  <c r="BK23" i="94"/>
  <c r="BJ23" i="94"/>
  <c r="BF23" i="94"/>
  <c r="AA24" i="86"/>
  <c r="AA7" i="94"/>
  <c r="AC7" i="94" s="1"/>
  <c r="Y7" i="94"/>
  <c r="BP7" i="94"/>
  <c r="AB7" i="94"/>
  <c r="AJ7" i="94"/>
  <c r="BT7" i="94"/>
  <c r="AY7" i="94"/>
  <c r="BO7" i="94"/>
  <c r="AN7" i="94"/>
  <c r="BF7" i="94"/>
  <c r="AQ7" i="94"/>
  <c r="AS7" i="94" s="1"/>
  <c r="U7" i="94"/>
  <c r="AE7" i="94"/>
  <c r="AG7" i="94" s="1"/>
  <c r="BY7" i="94"/>
  <c r="AM7" i="94"/>
  <c r="AR7" i="94"/>
  <c r="BK7" i="94"/>
  <c r="BZ7" i="94"/>
  <c r="AI7" i="94"/>
  <c r="BE7" i="94"/>
  <c r="BJ7" i="94"/>
  <c r="X7" i="94"/>
  <c r="Z7" i="94" s="1"/>
  <c r="BU7" i="94"/>
  <c r="AF7" i="94"/>
  <c r="AX7" i="94"/>
  <c r="AZ7" i="94" s="1"/>
  <c r="B21" i="3"/>
  <c r="B20" i="3"/>
  <c r="B19" i="3"/>
  <c r="B18" i="3"/>
  <c r="C16" i="3"/>
  <c r="C18" i="3" s="1"/>
  <c r="AJ45" i="94" l="1"/>
  <c r="BU45" i="94"/>
  <c r="W45" i="94"/>
  <c r="Y45" i="94" s="1"/>
  <c r="AB45" i="94"/>
  <c r="BA45" i="94"/>
  <c r="AM45" i="94"/>
  <c r="AO45" i="94" s="1"/>
  <c r="BL45" i="94"/>
  <c r="BG45" i="94"/>
  <c r="AE45" i="94"/>
  <c r="AN45" i="94"/>
  <c r="AI45" i="94"/>
  <c r="AF45" i="94"/>
  <c r="AA45" i="94"/>
  <c r="AC45" i="94" s="1"/>
  <c r="BQ45" i="94"/>
  <c r="BB45" i="94"/>
  <c r="BV45" i="94"/>
  <c r="AU45" i="94"/>
  <c r="BF45" i="94"/>
  <c r="R45" i="94"/>
  <c r="X45" i="94"/>
  <c r="BK45" i="94"/>
  <c r="AT45" i="94"/>
  <c r="AV45" i="94" s="1"/>
  <c r="BP45" i="94"/>
  <c r="T45" i="94"/>
  <c r="V45" i="94" s="1"/>
  <c r="U45" i="94"/>
  <c r="AA12" i="86"/>
  <c r="AI11" i="94"/>
  <c r="BO11" i="94"/>
  <c r="BZ11" i="94"/>
  <c r="AF11" i="94"/>
  <c r="AJ11" i="94"/>
  <c r="AN11" i="94"/>
  <c r="BJ11" i="94"/>
  <c r="BT11" i="94"/>
  <c r="AY11" i="94"/>
  <c r="AQ11" i="94"/>
  <c r="AS11" i="94" s="1"/>
  <c r="BU11" i="94"/>
  <c r="AX11" i="94"/>
  <c r="AZ11" i="94" s="1"/>
  <c r="BP11" i="94"/>
  <c r="AM11" i="94"/>
  <c r="BF11" i="94"/>
  <c r="AE11" i="94"/>
  <c r="AG11" i="94" s="1"/>
  <c r="BK11" i="94"/>
  <c r="Y11" i="94"/>
  <c r="BY11" i="94"/>
  <c r="BE11" i="94"/>
  <c r="AB11" i="94"/>
  <c r="U11" i="94"/>
  <c r="AR11" i="94"/>
  <c r="AA11" i="94"/>
  <c r="AC11" i="94" s="1"/>
  <c r="X11" i="94"/>
  <c r="Z11" i="94" s="1"/>
  <c r="D16" i="3"/>
  <c r="C21" i="3"/>
  <c r="C19" i="3"/>
  <c r="C20" i="3"/>
  <c r="E16" i="3" l="1"/>
  <c r="D18" i="3"/>
  <c r="D20" i="3"/>
  <c r="D21" i="3"/>
  <c r="D19" i="3"/>
  <c r="P4" i="32"/>
  <c r="I3" i="94" l="1"/>
  <c r="F37" i="94" s="1"/>
  <c r="F16" i="3"/>
  <c r="E18" i="3"/>
  <c r="E20" i="3"/>
  <c r="E21" i="3"/>
  <c r="E19" i="3"/>
  <c r="G16" i="3" l="1"/>
  <c r="F21" i="3"/>
  <c r="F18" i="3"/>
  <c r="F20" i="3"/>
  <c r="F19" i="3"/>
  <c r="H16" i="3" l="1"/>
  <c r="G19" i="3"/>
  <c r="G21" i="3"/>
  <c r="G18" i="3"/>
  <c r="G20" i="3"/>
  <c r="L12" i="111"/>
  <c r="R12" i="111" s="1"/>
  <c r="A12" i="111"/>
  <c r="B12" i="111"/>
  <c r="C12" i="111"/>
  <c r="E12" i="111"/>
  <c r="F12" i="111"/>
  <c r="G12" i="111"/>
  <c r="H12" i="111"/>
  <c r="I12" i="111"/>
  <c r="J12" i="111"/>
  <c r="K12" i="111"/>
  <c r="S12" i="111"/>
  <c r="W12" i="111"/>
  <c r="L7" i="110"/>
  <c r="U7" i="110" s="1"/>
  <c r="N23" i="110"/>
  <c r="T23" i="110"/>
  <c r="U23" i="110"/>
  <c r="V23" i="110"/>
  <c r="W23" i="110"/>
  <c r="X23" i="110"/>
  <c r="A7" i="110"/>
  <c r="B7" i="110"/>
  <c r="C7" i="110"/>
  <c r="E7" i="110"/>
  <c r="F7" i="110"/>
  <c r="G7" i="110"/>
  <c r="H7" i="110"/>
  <c r="I7" i="110"/>
  <c r="J7" i="110"/>
  <c r="K7" i="110"/>
  <c r="L7" i="107"/>
  <c r="T7" i="107" s="1"/>
  <c r="M23" i="107"/>
  <c r="N23" i="107"/>
  <c r="P23" i="107"/>
  <c r="Q23" i="107"/>
  <c r="R23" i="107"/>
  <c r="S23" i="107"/>
  <c r="T23" i="107"/>
  <c r="U23" i="107"/>
  <c r="V23" i="107"/>
  <c r="W23" i="107"/>
  <c r="X23" i="107"/>
  <c r="M7" i="107"/>
  <c r="Q7" i="107"/>
  <c r="R7" i="107"/>
  <c r="S7" i="107"/>
  <c r="U7" i="107"/>
  <c r="Z7" i="107" s="1"/>
  <c r="V7" i="107"/>
  <c r="A7" i="107"/>
  <c r="B7" i="107"/>
  <c r="C7" i="107"/>
  <c r="E7" i="107"/>
  <c r="F7" i="107"/>
  <c r="G7" i="107"/>
  <c r="H7" i="107"/>
  <c r="I7" i="107"/>
  <c r="J7" i="107"/>
  <c r="K7" i="107"/>
  <c r="L9" i="108"/>
  <c r="P9" i="108" s="1"/>
  <c r="A9" i="108"/>
  <c r="B9" i="108"/>
  <c r="C9" i="108"/>
  <c r="E9" i="108"/>
  <c r="F9" i="108"/>
  <c r="G9" i="108"/>
  <c r="H9" i="108"/>
  <c r="I9" i="108"/>
  <c r="J9" i="108"/>
  <c r="K9" i="108"/>
  <c r="T7" i="110" l="1"/>
  <c r="T9" i="108"/>
  <c r="W7" i="110"/>
  <c r="Z7" i="110" s="1"/>
  <c r="N9" i="108"/>
  <c r="S9" i="108"/>
  <c r="U12" i="111"/>
  <c r="Z12" i="111" s="1"/>
  <c r="R9" i="108"/>
  <c r="Q9" i="108"/>
  <c r="X7" i="107"/>
  <c r="P7" i="107"/>
  <c r="N12" i="111"/>
  <c r="O9" i="108"/>
  <c r="W7" i="107"/>
  <c r="N7" i="107"/>
  <c r="X7" i="110"/>
  <c r="V9" i="108"/>
  <c r="U9" i="108"/>
  <c r="Z9" i="108" s="1"/>
  <c r="N7" i="110"/>
  <c r="X12" i="111"/>
  <c r="M12" i="111"/>
  <c r="V12" i="111"/>
  <c r="I16" i="3"/>
  <c r="H19" i="3"/>
  <c r="H21" i="3"/>
  <c r="H18" i="3"/>
  <c r="H20" i="3"/>
  <c r="Y12" i="111"/>
  <c r="AA12" i="111" s="1"/>
  <c r="V7" i="110"/>
  <c r="AA7" i="107"/>
  <c r="Y7" i="107"/>
  <c r="L13" i="111"/>
  <c r="L12" i="110"/>
  <c r="L15" i="107"/>
  <c r="L19" i="108"/>
  <c r="N19" i="108" s="1"/>
  <c r="L15" i="111"/>
  <c r="L15" i="110"/>
  <c r="L17" i="107"/>
  <c r="L10" i="108"/>
  <c r="L17" i="111"/>
  <c r="L13" i="110"/>
  <c r="L18" i="107"/>
  <c r="L18" i="108"/>
  <c r="N18" i="108" s="1"/>
  <c r="L19" i="111"/>
  <c r="L18" i="110"/>
  <c r="L16" i="107"/>
  <c r="L4" i="108"/>
  <c r="N4" i="108" s="1"/>
  <c r="L9" i="111"/>
  <c r="L9" i="110"/>
  <c r="L8" i="107"/>
  <c r="L13" i="108"/>
  <c r="N13" i="108" s="1"/>
  <c r="L6" i="111"/>
  <c r="L10" i="110"/>
  <c r="L10" i="107"/>
  <c r="L14" i="108"/>
  <c r="L16" i="111"/>
  <c r="L4" i="110"/>
  <c r="L6" i="107"/>
  <c r="L17" i="108"/>
  <c r="N17" i="108" s="1"/>
  <c r="L4" i="111"/>
  <c r="L16" i="110"/>
  <c r="L12" i="107"/>
  <c r="L6" i="108"/>
  <c r="N6" i="108" s="1"/>
  <c r="L8" i="111"/>
  <c r="L11" i="110"/>
  <c r="L11" i="107"/>
  <c r="L5" i="108"/>
  <c r="N5" i="108" s="1"/>
  <c r="L7" i="108"/>
  <c r="N7" i="108" s="1"/>
  <c r="L8" i="108"/>
  <c r="L11" i="111"/>
  <c r="L6" i="110"/>
  <c r="L4" i="107"/>
  <c r="L15" i="108"/>
  <c r="N15" i="108" s="1"/>
  <c r="Y14" i="111"/>
  <c r="L14" i="111"/>
  <c r="L5" i="110"/>
  <c r="L5" i="107"/>
  <c r="Z12" i="108"/>
  <c r="L12" i="108"/>
  <c r="L10" i="111"/>
  <c r="L8" i="110"/>
  <c r="L9" i="107"/>
  <c r="L16" i="108"/>
  <c r="N16" i="108" s="1"/>
  <c r="L5" i="111"/>
  <c r="Z19" i="110"/>
  <c r="L19" i="110"/>
  <c r="L13" i="107"/>
  <c r="L7" i="111"/>
  <c r="Z17" i="110"/>
  <c r="Y17" i="110"/>
  <c r="L17" i="110"/>
  <c r="L14" i="107"/>
  <c r="L11" i="108"/>
  <c r="L18" i="111"/>
  <c r="Y18" i="111" s="1"/>
  <c r="Z14" i="110"/>
  <c r="Y14" i="110"/>
  <c r="Z19" i="107"/>
  <c r="Y19" i="107"/>
  <c r="M23" i="111"/>
  <c r="N23" i="111"/>
  <c r="R23" i="111"/>
  <c r="S23" i="111"/>
  <c r="U23" i="111"/>
  <c r="V23" i="111"/>
  <c r="W23" i="111"/>
  <c r="X23" i="111"/>
  <c r="A20" i="111"/>
  <c r="B20" i="111"/>
  <c r="C20" i="111"/>
  <c r="A15" i="111"/>
  <c r="B15" i="111"/>
  <c r="C15" i="111"/>
  <c r="A4" i="111"/>
  <c r="B4" i="111"/>
  <c r="C4" i="111"/>
  <c r="A7" i="111"/>
  <c r="B7" i="111"/>
  <c r="C7" i="111"/>
  <c r="A5" i="111"/>
  <c r="B5" i="111"/>
  <c r="C5" i="111"/>
  <c r="A21" i="111"/>
  <c r="B21" i="111"/>
  <c r="C21" i="111"/>
  <c r="A8" i="111"/>
  <c r="B8" i="111"/>
  <c r="C8" i="111"/>
  <c r="A9" i="111"/>
  <c r="B9" i="111"/>
  <c r="C9" i="111"/>
  <c r="A6" i="111"/>
  <c r="B6" i="111"/>
  <c r="C6" i="111"/>
  <c r="A11" i="111"/>
  <c r="B11" i="111"/>
  <c r="C11" i="111"/>
  <c r="A10" i="111"/>
  <c r="B10" i="111"/>
  <c r="C10" i="111"/>
  <c r="A19" i="111"/>
  <c r="B19" i="111"/>
  <c r="C19" i="111"/>
  <c r="A14" i="111"/>
  <c r="B14" i="111"/>
  <c r="C14" i="111"/>
  <c r="A22" i="111"/>
  <c r="B22" i="111"/>
  <c r="C22" i="111"/>
  <c r="A23" i="111"/>
  <c r="B23" i="111"/>
  <c r="C23" i="111"/>
  <c r="A16" i="111"/>
  <c r="B16" i="111"/>
  <c r="C16" i="111"/>
  <c r="A13" i="111"/>
  <c r="B13" i="111"/>
  <c r="C13" i="111"/>
  <c r="A17" i="111"/>
  <c r="B17" i="111"/>
  <c r="C17" i="111"/>
  <c r="E20" i="111"/>
  <c r="G20" i="111"/>
  <c r="H20" i="111"/>
  <c r="J20" i="111"/>
  <c r="E15" i="111"/>
  <c r="G15" i="111"/>
  <c r="E4" i="111"/>
  <c r="F4" i="111"/>
  <c r="G4" i="111"/>
  <c r="H4" i="111"/>
  <c r="E7" i="111"/>
  <c r="G7" i="111"/>
  <c r="E5" i="111"/>
  <c r="G5" i="111"/>
  <c r="H5" i="111"/>
  <c r="E21" i="111"/>
  <c r="G21" i="111"/>
  <c r="E8" i="111"/>
  <c r="F8" i="111"/>
  <c r="G8" i="111"/>
  <c r="H8" i="111"/>
  <c r="E9" i="111"/>
  <c r="G9" i="111"/>
  <c r="E6" i="111"/>
  <c r="G6" i="111"/>
  <c r="E11" i="111"/>
  <c r="F11" i="111"/>
  <c r="G11" i="111"/>
  <c r="E10" i="111"/>
  <c r="G10" i="111"/>
  <c r="H10" i="111"/>
  <c r="E19" i="111"/>
  <c r="F19" i="111"/>
  <c r="G19" i="111"/>
  <c r="J19" i="111"/>
  <c r="E14" i="111"/>
  <c r="G14" i="111"/>
  <c r="E22" i="111"/>
  <c r="G22" i="111"/>
  <c r="E23" i="111"/>
  <c r="G23" i="111"/>
  <c r="H23" i="111"/>
  <c r="E16" i="111"/>
  <c r="G16" i="111"/>
  <c r="E13" i="111"/>
  <c r="F13" i="111"/>
  <c r="G13" i="111"/>
  <c r="H13" i="111"/>
  <c r="J13" i="111"/>
  <c r="E17" i="111"/>
  <c r="F17" i="111"/>
  <c r="G17" i="111"/>
  <c r="F18" i="111"/>
  <c r="G18" i="111"/>
  <c r="C18" i="111"/>
  <c r="B18" i="111"/>
  <c r="A18" i="111"/>
  <c r="E3" i="111"/>
  <c r="D3" i="111"/>
  <c r="C3" i="111"/>
  <c r="B3" i="111"/>
  <c r="A20" i="110"/>
  <c r="B20" i="110"/>
  <c r="C20" i="110"/>
  <c r="E20" i="110"/>
  <c r="G20" i="110"/>
  <c r="H20" i="110"/>
  <c r="J20" i="110"/>
  <c r="A15" i="110"/>
  <c r="B15" i="110"/>
  <c r="C15" i="110"/>
  <c r="E15" i="110"/>
  <c r="G15" i="110"/>
  <c r="A16" i="110"/>
  <c r="B16" i="110"/>
  <c r="C16" i="110"/>
  <c r="E16" i="110"/>
  <c r="F16" i="110"/>
  <c r="G16" i="110"/>
  <c r="H16" i="110"/>
  <c r="A17" i="110"/>
  <c r="B17" i="110"/>
  <c r="C17" i="110"/>
  <c r="E17" i="110"/>
  <c r="G17" i="110"/>
  <c r="A19" i="110"/>
  <c r="B19" i="110"/>
  <c r="C19" i="110"/>
  <c r="E19" i="110"/>
  <c r="G19" i="110"/>
  <c r="H19" i="110"/>
  <c r="A21" i="110"/>
  <c r="B21" i="110"/>
  <c r="C21" i="110"/>
  <c r="E21" i="110"/>
  <c r="G21" i="110"/>
  <c r="A11" i="110"/>
  <c r="B11" i="110"/>
  <c r="C11" i="110"/>
  <c r="E11" i="110"/>
  <c r="F11" i="110"/>
  <c r="G11" i="110"/>
  <c r="H11" i="110"/>
  <c r="A9" i="110"/>
  <c r="B9" i="110"/>
  <c r="C9" i="110"/>
  <c r="E9" i="110"/>
  <c r="G9" i="110"/>
  <c r="A10" i="110"/>
  <c r="B10" i="110"/>
  <c r="C10" i="110"/>
  <c r="E10" i="110"/>
  <c r="G10" i="110"/>
  <c r="A6" i="110"/>
  <c r="B6" i="110"/>
  <c r="C6" i="110"/>
  <c r="E6" i="110"/>
  <c r="F6" i="110"/>
  <c r="G6" i="110"/>
  <c r="A8" i="110"/>
  <c r="B8" i="110"/>
  <c r="C8" i="110"/>
  <c r="E8" i="110"/>
  <c r="G8" i="110"/>
  <c r="H8" i="110"/>
  <c r="A18" i="110"/>
  <c r="B18" i="110"/>
  <c r="C18" i="110"/>
  <c r="E18" i="110"/>
  <c r="F18" i="110"/>
  <c r="G18" i="110"/>
  <c r="J18" i="110"/>
  <c r="A5" i="110"/>
  <c r="B5" i="110"/>
  <c r="C5" i="110"/>
  <c r="E5" i="110"/>
  <c r="G5" i="110"/>
  <c r="A22" i="110"/>
  <c r="B22" i="110"/>
  <c r="C22" i="110"/>
  <c r="E22" i="110"/>
  <c r="G22" i="110"/>
  <c r="A23" i="110"/>
  <c r="B23" i="110"/>
  <c r="C23" i="110"/>
  <c r="E23" i="110"/>
  <c r="G23" i="110"/>
  <c r="H23" i="110"/>
  <c r="A4" i="110"/>
  <c r="B4" i="110"/>
  <c r="C4" i="110"/>
  <c r="E4" i="110"/>
  <c r="G4" i="110"/>
  <c r="A12" i="110"/>
  <c r="B12" i="110"/>
  <c r="C12" i="110"/>
  <c r="E12" i="110"/>
  <c r="F12" i="110"/>
  <c r="G12" i="110"/>
  <c r="H12" i="110"/>
  <c r="J12" i="110"/>
  <c r="A13" i="110"/>
  <c r="B13" i="110"/>
  <c r="C13" i="110"/>
  <c r="E13" i="110"/>
  <c r="F13" i="110"/>
  <c r="G13" i="110"/>
  <c r="F14" i="110"/>
  <c r="G14" i="110"/>
  <c r="C14" i="110"/>
  <c r="B14" i="110"/>
  <c r="A14" i="110"/>
  <c r="E3" i="110"/>
  <c r="D3" i="110"/>
  <c r="C3" i="110"/>
  <c r="B3" i="110"/>
  <c r="E20" i="107"/>
  <c r="G20" i="107"/>
  <c r="H20" i="107"/>
  <c r="J20" i="107"/>
  <c r="E17" i="107"/>
  <c r="G17" i="107"/>
  <c r="E12" i="107"/>
  <c r="F12" i="107"/>
  <c r="G12" i="107"/>
  <c r="H12" i="107"/>
  <c r="E14" i="107"/>
  <c r="G14" i="107"/>
  <c r="E13" i="107"/>
  <c r="G13" i="107"/>
  <c r="H13" i="107"/>
  <c r="E21" i="107"/>
  <c r="G21" i="107"/>
  <c r="E11" i="107"/>
  <c r="F11" i="107"/>
  <c r="G11" i="107"/>
  <c r="H11" i="107"/>
  <c r="E8" i="107"/>
  <c r="G8" i="107"/>
  <c r="E10" i="107"/>
  <c r="G10" i="107"/>
  <c r="E4" i="107"/>
  <c r="F4" i="107"/>
  <c r="G4" i="107"/>
  <c r="E9" i="107"/>
  <c r="G9" i="107"/>
  <c r="H9" i="107"/>
  <c r="E16" i="107"/>
  <c r="F16" i="107"/>
  <c r="G16" i="107"/>
  <c r="J16" i="107"/>
  <c r="E5" i="107"/>
  <c r="G5" i="107"/>
  <c r="E22" i="107"/>
  <c r="G22" i="107"/>
  <c r="E23" i="107"/>
  <c r="G23" i="107"/>
  <c r="H23" i="107"/>
  <c r="E6" i="107"/>
  <c r="G6" i="107"/>
  <c r="E15" i="107"/>
  <c r="F15" i="107"/>
  <c r="G15" i="107"/>
  <c r="H15" i="107"/>
  <c r="J15" i="107"/>
  <c r="E18" i="107"/>
  <c r="F18" i="107"/>
  <c r="G18" i="107"/>
  <c r="F19" i="107"/>
  <c r="G19" i="107"/>
  <c r="A15" i="107"/>
  <c r="A18" i="107"/>
  <c r="B18" i="107"/>
  <c r="C18" i="107"/>
  <c r="B20" i="107"/>
  <c r="C20" i="107"/>
  <c r="B17" i="107"/>
  <c r="C17" i="107"/>
  <c r="B12" i="107"/>
  <c r="C12" i="107"/>
  <c r="B14" i="107"/>
  <c r="C14" i="107"/>
  <c r="B13" i="107"/>
  <c r="C13" i="107"/>
  <c r="B21" i="107"/>
  <c r="C21" i="107"/>
  <c r="B11" i="107"/>
  <c r="C11" i="107"/>
  <c r="B8" i="107"/>
  <c r="C8" i="107"/>
  <c r="B10" i="107"/>
  <c r="C10" i="107"/>
  <c r="B4" i="107"/>
  <c r="C4" i="107"/>
  <c r="B9" i="107"/>
  <c r="C9" i="107"/>
  <c r="B16" i="107"/>
  <c r="C16" i="107"/>
  <c r="B5" i="107"/>
  <c r="C5" i="107"/>
  <c r="B22" i="107"/>
  <c r="C22" i="107"/>
  <c r="B23" i="107"/>
  <c r="C23" i="107"/>
  <c r="B6" i="107"/>
  <c r="C6" i="107"/>
  <c r="B15" i="107"/>
  <c r="C15" i="107"/>
  <c r="C19" i="107"/>
  <c r="B19" i="107"/>
  <c r="A20" i="107"/>
  <c r="A17" i="107"/>
  <c r="A12" i="107"/>
  <c r="A14" i="107"/>
  <c r="A13" i="107"/>
  <c r="A21" i="107"/>
  <c r="A11" i="107"/>
  <c r="A8" i="107"/>
  <c r="A10" i="107"/>
  <c r="A4" i="107"/>
  <c r="A9" i="107"/>
  <c r="A16" i="107"/>
  <c r="A5" i="107"/>
  <c r="A22" i="107"/>
  <c r="A23" i="107"/>
  <c r="A6" i="107"/>
  <c r="A19" i="107"/>
  <c r="N12" i="108"/>
  <c r="N8" i="108"/>
  <c r="N14" i="108"/>
  <c r="N20" i="108"/>
  <c r="N21" i="108"/>
  <c r="N22" i="108"/>
  <c r="N10" i="108"/>
  <c r="N23" i="108"/>
  <c r="A19" i="108"/>
  <c r="A23" i="108"/>
  <c r="A22" i="108"/>
  <c r="A18" i="108"/>
  <c r="A17" i="108"/>
  <c r="A21" i="108"/>
  <c r="A20" i="108"/>
  <c r="A16" i="108"/>
  <c r="A15" i="108"/>
  <c r="A13" i="108"/>
  <c r="A14" i="108"/>
  <c r="A11" i="108"/>
  <c r="A12" i="108"/>
  <c r="A10" i="108"/>
  <c r="A8" i="108"/>
  <c r="A5" i="108"/>
  <c r="A6" i="108"/>
  <c r="A7" i="108"/>
  <c r="A4" i="108"/>
  <c r="Y7" i="110" l="1"/>
  <c r="AA7" i="110" s="1"/>
  <c r="Y9" i="108"/>
  <c r="AA9" i="108" s="1"/>
  <c r="J16" i="3"/>
  <c r="I19" i="3"/>
  <c r="I21" i="3"/>
  <c r="I20" i="3"/>
  <c r="I18" i="3"/>
  <c r="Z18" i="111"/>
  <c r="K16" i="3" l="1"/>
  <c r="J20" i="3"/>
  <c r="J19" i="3"/>
  <c r="J21" i="3"/>
  <c r="J18" i="3"/>
  <c r="M12" i="86" l="1"/>
  <c r="O11" i="94"/>
  <c r="L45" i="94" s="1"/>
  <c r="L16" i="3"/>
  <c r="K18" i="3"/>
  <c r="K20" i="3"/>
  <c r="K19" i="3"/>
  <c r="K21" i="3"/>
  <c r="I6" i="110"/>
  <c r="I11" i="111"/>
  <c r="I4" i="107"/>
  <c r="I22" i="110"/>
  <c r="I22" i="111"/>
  <c r="I22" i="107"/>
  <c r="I14" i="107"/>
  <c r="I7" i="111"/>
  <c r="I17" i="110"/>
  <c r="I15" i="111"/>
  <c r="I17" i="107"/>
  <c r="I15" i="110"/>
  <c r="I10" i="111"/>
  <c r="I8" i="110"/>
  <c r="I9" i="107"/>
  <c r="I6" i="107"/>
  <c r="I16" i="111"/>
  <c r="I4" i="110"/>
  <c r="I18" i="111"/>
  <c r="I14" i="110"/>
  <c r="I19" i="107"/>
  <c r="I8" i="111"/>
  <c r="I11" i="110"/>
  <c r="I11" i="107"/>
  <c r="I8" i="107"/>
  <c r="I9" i="111"/>
  <c r="I9" i="110"/>
  <c r="I18" i="110"/>
  <c r="I16" i="107"/>
  <c r="I19" i="111"/>
  <c r="I5" i="107"/>
  <c r="I5" i="110"/>
  <c r="I14" i="111"/>
  <c r="I15" i="107"/>
  <c r="I12" i="110"/>
  <c r="I13" i="111"/>
  <c r="W12" i="86" l="1"/>
  <c r="AD12" i="86" s="1"/>
  <c r="BY45" i="94"/>
  <c r="AX45" i="94"/>
  <c r="AZ45" i="94" s="1"/>
  <c r="AQ45" i="94"/>
  <c r="AS45" i="94" s="1"/>
  <c r="BO45" i="94"/>
  <c r="O45" i="94"/>
  <c r="AL45" i="94" s="1"/>
  <c r="BT45" i="94"/>
  <c r="CB45" i="94"/>
  <c r="BJ45" i="94"/>
  <c r="CE45" i="94"/>
  <c r="BI45" i="94"/>
  <c r="AR45" i="94"/>
  <c r="AY45" i="94"/>
  <c r="BD45" i="94"/>
  <c r="BE45" i="94"/>
  <c r="CA45" i="94"/>
  <c r="CC45" i="94" s="1"/>
  <c r="BS45" i="94"/>
  <c r="BX45" i="94"/>
  <c r="CD45" i="94"/>
  <c r="CF45" i="94" s="1"/>
  <c r="BN45" i="94"/>
  <c r="BX11" i="94"/>
  <c r="BS11" i="94"/>
  <c r="BM11" i="94"/>
  <c r="CF11" i="94"/>
  <c r="BH11" i="94"/>
  <c r="R11" i="94"/>
  <c r="AP11" i="94" s="1"/>
  <c r="BB11" i="94"/>
  <c r="BD11" i="94" s="1"/>
  <c r="AU11" i="94"/>
  <c r="AW11" i="94" s="1"/>
  <c r="CE11" i="94"/>
  <c r="CG11" i="94" s="1"/>
  <c r="CB11" i="94"/>
  <c r="CH11" i="94"/>
  <c r="CJ11" i="94" s="1"/>
  <c r="CI11" i="94"/>
  <c r="AV11" i="94"/>
  <c r="BN11" i="94"/>
  <c r="BI11" i="94"/>
  <c r="BW11" i="94"/>
  <c r="CC11" i="94"/>
  <c r="BR11" i="94"/>
  <c r="BC11" i="94"/>
  <c r="M16" i="3"/>
  <c r="L18" i="3"/>
  <c r="L20" i="3"/>
  <c r="L19" i="3"/>
  <c r="L21" i="3"/>
  <c r="I13" i="107"/>
  <c r="I19" i="110"/>
  <c r="I5" i="111"/>
  <c r="AB24" i="32"/>
  <c r="O23" i="94" l="1"/>
  <c r="L57" i="94" s="1"/>
  <c r="M24" i="86"/>
  <c r="N16" i="3"/>
  <c r="M20" i="3"/>
  <c r="M18" i="3"/>
  <c r="M19" i="3"/>
  <c r="M21" i="3"/>
  <c r="I23" i="111"/>
  <c r="I23" i="110"/>
  <c r="I23" i="107"/>
  <c r="I10" i="107"/>
  <c r="I10" i="110"/>
  <c r="I6" i="111"/>
  <c r="W24" i="86" l="1"/>
  <c r="AD24" i="86" s="1"/>
  <c r="BN57" i="94"/>
  <c r="O57" i="94"/>
  <c r="AL57" i="94" s="1"/>
  <c r="AQ57" i="94"/>
  <c r="AS57" i="94" s="1"/>
  <c r="BE57" i="94"/>
  <c r="BY57" i="94"/>
  <c r="BO57" i="94"/>
  <c r="AX57" i="94"/>
  <c r="AZ57" i="94" s="1"/>
  <c r="BJ57" i="94"/>
  <c r="BT57" i="94"/>
  <c r="CB57" i="94"/>
  <c r="CE57" i="94"/>
  <c r="AR57" i="94"/>
  <c r="CA57" i="94"/>
  <c r="CC57" i="94" s="1"/>
  <c r="BD57" i="94"/>
  <c r="BX57" i="94"/>
  <c r="BS57" i="94"/>
  <c r="AY57" i="94"/>
  <c r="BI57" i="94"/>
  <c r="CD57" i="94"/>
  <c r="CF57" i="94" s="1"/>
  <c r="CF23" i="94"/>
  <c r="CC23" i="94"/>
  <c r="BW23" i="94"/>
  <c r="BM23" i="94"/>
  <c r="BH23" i="94"/>
  <c r="R23" i="94"/>
  <c r="AP23" i="94" s="1"/>
  <c r="BR23" i="94"/>
  <c r="BX23" i="94"/>
  <c r="AU23" i="94"/>
  <c r="AW23" i="94" s="1"/>
  <c r="CH23" i="94"/>
  <c r="CJ23" i="94" s="1"/>
  <c r="BI23" i="94"/>
  <c r="CI23" i="94"/>
  <c r="BB23" i="94"/>
  <c r="BD23" i="94" s="1"/>
  <c r="BC23" i="94"/>
  <c r="BS23" i="94"/>
  <c r="CE23" i="94"/>
  <c r="CG23" i="94" s="1"/>
  <c r="AV23" i="94"/>
  <c r="CB23" i="94"/>
  <c r="BN23" i="94"/>
  <c r="O16" i="3"/>
  <c r="N19" i="3"/>
  <c r="N18" i="3"/>
  <c r="N20" i="3"/>
  <c r="N21" i="3"/>
  <c r="AM9" i="32"/>
  <c r="AN9" i="32"/>
  <c r="AM11" i="32"/>
  <c r="AN11" i="32"/>
  <c r="AM7" i="32"/>
  <c r="AN7" i="32"/>
  <c r="AM25" i="32"/>
  <c r="AN25" i="32"/>
  <c r="AM24" i="32"/>
  <c r="AN24" i="32"/>
  <c r="AM10" i="32"/>
  <c r="AN10" i="32"/>
  <c r="AM6" i="32"/>
  <c r="AN6" i="32"/>
  <c r="AM27" i="32"/>
  <c r="AN27" i="32"/>
  <c r="AN4" i="32"/>
  <c r="AM4" i="32"/>
  <c r="AM23" i="32"/>
  <c r="AN23" i="32"/>
  <c r="AN26" i="32"/>
  <c r="AM26" i="32"/>
  <c r="K13" i="110"/>
  <c r="K18" i="107"/>
  <c r="K17" i="111"/>
  <c r="K5" i="111"/>
  <c r="K19" i="110"/>
  <c r="K13" i="107"/>
  <c r="K14" i="111"/>
  <c r="K5" i="107"/>
  <c r="K5" i="110"/>
  <c r="K13" i="111"/>
  <c r="K15" i="107"/>
  <c r="K12" i="110"/>
  <c r="K14" i="107"/>
  <c r="K7" i="111"/>
  <c r="K17" i="110"/>
  <c r="K9" i="107"/>
  <c r="K8" i="110"/>
  <c r="K10" i="111"/>
  <c r="K11" i="107"/>
  <c r="K11" i="110"/>
  <c r="K8" i="111"/>
  <c r="K15" i="110"/>
  <c r="K17" i="107"/>
  <c r="K15" i="111"/>
  <c r="K6" i="111"/>
  <c r="K10" i="110"/>
  <c r="K10" i="107"/>
  <c r="K6" i="110"/>
  <c r="K4" i="107"/>
  <c r="K11" i="111"/>
  <c r="K19" i="111"/>
  <c r="K18" i="110"/>
  <c r="K16" i="107"/>
  <c r="K14" i="110"/>
  <c r="K18" i="111"/>
  <c r="K19" i="107"/>
  <c r="K12" i="107"/>
  <c r="K4" i="111"/>
  <c r="K16" i="110"/>
  <c r="K8" i="107"/>
  <c r="K9" i="111"/>
  <c r="K9" i="110"/>
  <c r="K16" i="111"/>
  <c r="K4" i="110"/>
  <c r="K6" i="107"/>
  <c r="P16" i="3" l="1"/>
  <c r="O19" i="3"/>
  <c r="O21" i="3"/>
  <c r="O18" i="3"/>
  <c r="O20" i="3"/>
  <c r="Q16" i="3" l="1"/>
  <c r="P19" i="3"/>
  <c r="P21" i="3"/>
  <c r="P18" i="3"/>
  <c r="P20" i="3"/>
  <c r="A18" i="85"/>
  <c r="R16" i="3" l="1"/>
  <c r="Q19" i="3"/>
  <c r="Q21" i="3"/>
  <c r="Q18" i="3"/>
  <c r="Q20" i="3"/>
  <c r="I4" i="111"/>
  <c r="I16" i="110"/>
  <c r="I12" i="107"/>
  <c r="I17" i="111"/>
  <c r="I13" i="110"/>
  <c r="I18" i="107"/>
  <c r="O13" i="85"/>
  <c r="S16" i="3" l="1"/>
  <c r="R19" i="3"/>
  <c r="R21" i="3"/>
  <c r="R18" i="3"/>
  <c r="R20" i="3"/>
  <c r="O6" i="76"/>
  <c r="V6" i="76" s="1"/>
  <c r="P6" i="76"/>
  <c r="W6" i="76" s="1"/>
  <c r="O4" i="76"/>
  <c r="V4" i="76" s="1"/>
  <c r="P4" i="76"/>
  <c r="W4" i="76" s="1"/>
  <c r="V7" i="76"/>
  <c r="O11" i="76"/>
  <c r="V11" i="76" s="1"/>
  <c r="P11" i="76"/>
  <c r="W11" i="76" s="1"/>
  <c r="O8" i="76"/>
  <c r="V8" i="76" s="1"/>
  <c r="O10" i="76"/>
  <c r="V10" i="76" s="1"/>
  <c r="R10" i="76"/>
  <c r="Y10" i="76" s="1"/>
  <c r="O5" i="76"/>
  <c r="V5" i="76" s="1"/>
  <c r="P5" i="76"/>
  <c r="W5" i="76" s="1"/>
  <c r="O9" i="76"/>
  <c r="V9" i="76" s="1"/>
  <c r="R9" i="76"/>
  <c r="Y9" i="76" s="1"/>
  <c r="O13" i="76"/>
  <c r="V13" i="76" s="1"/>
  <c r="O12" i="76"/>
  <c r="V12" i="76" s="1"/>
  <c r="R12" i="76"/>
  <c r="Y12" i="76" s="1"/>
  <c r="D3" i="76"/>
  <c r="C3" i="76"/>
  <c r="G3" i="76" s="1"/>
  <c r="R3" i="76" s="1"/>
  <c r="B3" i="76"/>
  <c r="A3" i="76"/>
  <c r="O3" i="76" s="1"/>
  <c r="V3" i="76" s="1"/>
  <c r="T16" i="3" l="1"/>
  <c r="S18" i="3"/>
  <c r="S20" i="3"/>
  <c r="S19" i="3"/>
  <c r="S21" i="3"/>
  <c r="F7" i="111"/>
  <c r="F17" i="110"/>
  <c r="F14" i="107"/>
  <c r="F9" i="111"/>
  <c r="F9" i="110"/>
  <c r="F8" i="107"/>
  <c r="F10" i="107"/>
  <c r="F10" i="110"/>
  <c r="F6" i="111"/>
  <c r="S4" i="76"/>
  <c r="Z4" i="76" s="1"/>
  <c r="R4" i="76"/>
  <c r="Y4" i="76" s="1"/>
  <c r="S5" i="76"/>
  <c r="Z5" i="76" s="1"/>
  <c r="R5" i="76"/>
  <c r="Y5" i="76" s="1"/>
  <c r="S6" i="76"/>
  <c r="Z6" i="76" s="1"/>
  <c r="R6" i="76"/>
  <c r="Y6" i="76" s="1"/>
  <c r="S13" i="76"/>
  <c r="Z13" i="76" s="1"/>
  <c r="R13" i="76"/>
  <c r="Y13" i="76" s="1"/>
  <c r="S8" i="76"/>
  <c r="Z8" i="76" s="1"/>
  <c r="R8" i="76"/>
  <c r="Y8" i="76" s="1"/>
  <c r="S11" i="76"/>
  <c r="Z11" i="76" s="1"/>
  <c r="R11" i="76"/>
  <c r="Y11" i="76" s="1"/>
  <c r="Z7" i="76"/>
  <c r="Y7" i="76"/>
  <c r="P18" i="76"/>
  <c r="Y3" i="76"/>
  <c r="Q12" i="76"/>
  <c r="X12" i="76" s="1"/>
  <c r="P12" i="76"/>
  <c r="W12" i="76" s="1"/>
  <c r="Q9" i="76"/>
  <c r="X9" i="76" s="1"/>
  <c r="P9" i="76"/>
  <c r="W9" i="76" s="1"/>
  <c r="Q8" i="76"/>
  <c r="X8" i="76" s="1"/>
  <c r="P8" i="76"/>
  <c r="W8" i="76" s="1"/>
  <c r="X7" i="76"/>
  <c r="W7" i="76"/>
  <c r="Q13" i="76"/>
  <c r="X13" i="76" s="1"/>
  <c r="P13" i="76"/>
  <c r="W13" i="76" s="1"/>
  <c r="Q10" i="76"/>
  <c r="X10" i="76" s="1"/>
  <c r="P10" i="76"/>
  <c r="W10" i="76" s="1"/>
  <c r="Q5" i="76"/>
  <c r="X5" i="76" s="1"/>
  <c r="U16" i="3" l="1"/>
  <c r="T18" i="3"/>
  <c r="T20" i="3"/>
  <c r="T21" i="3"/>
  <c r="T19" i="3"/>
  <c r="Q6" i="76"/>
  <c r="X6" i="76" s="1"/>
  <c r="S10" i="76"/>
  <c r="Z10" i="76" s="1"/>
  <c r="S12" i="76"/>
  <c r="Z12" i="76" s="1"/>
  <c r="S9" i="76"/>
  <c r="Z9" i="76" s="1"/>
  <c r="Q4" i="76"/>
  <c r="X4" i="76" s="1"/>
  <c r="Q11" i="76"/>
  <c r="X11" i="76" s="1"/>
  <c r="V16" i="3" l="1"/>
  <c r="U18" i="3"/>
  <c r="U20" i="3"/>
  <c r="U21" i="3"/>
  <c r="U19" i="3"/>
  <c r="AM12" i="32"/>
  <c r="AN12" i="32"/>
  <c r="AM8" i="32"/>
  <c r="AN8" i="32"/>
  <c r="K22" i="110"/>
  <c r="K22" i="107"/>
  <c r="K22" i="111"/>
  <c r="K21" i="110"/>
  <c r="K21" i="107"/>
  <c r="K21" i="111"/>
  <c r="J7" i="111"/>
  <c r="J17" i="110"/>
  <c r="J14" i="107"/>
  <c r="O11" i="49"/>
  <c r="W16" i="3" l="1"/>
  <c r="V21" i="3"/>
  <c r="V18" i="3"/>
  <c r="V20" i="3"/>
  <c r="V19" i="3"/>
  <c r="X16" i="3" l="1"/>
  <c r="W19" i="3"/>
  <c r="W21" i="3"/>
  <c r="W18" i="3"/>
  <c r="W20" i="3"/>
  <c r="AB8" i="32"/>
  <c r="AB2" i="32" l="1"/>
  <c r="M8" i="86"/>
  <c r="W8" i="86" s="1"/>
  <c r="O7" i="94"/>
  <c r="L41" i="94" s="1"/>
  <c r="Y16" i="3"/>
  <c r="X19" i="3"/>
  <c r="X21" i="3"/>
  <c r="X18" i="3"/>
  <c r="X20" i="3"/>
  <c r="I20" i="107"/>
  <c r="I20" i="110"/>
  <c r="I20" i="111"/>
  <c r="I21" i="111"/>
  <c r="I21" i="110"/>
  <c r="I21" i="107"/>
  <c r="BI41" i="94" l="1"/>
  <c r="BT41" i="94"/>
  <c r="O41" i="94"/>
  <c r="AL41" i="94" s="1"/>
  <c r="BY41" i="94"/>
  <c r="BO41" i="94"/>
  <c r="AQ41" i="94"/>
  <c r="AS41" i="94" s="1"/>
  <c r="BJ41" i="94"/>
  <c r="AX41" i="94"/>
  <c r="AZ41" i="94" s="1"/>
  <c r="BE41" i="94"/>
  <c r="CB41" i="94"/>
  <c r="AY41" i="94"/>
  <c r="CE41" i="94"/>
  <c r="AR41" i="94"/>
  <c r="BS41" i="94"/>
  <c r="BD41" i="94"/>
  <c r="BN41" i="94"/>
  <c r="BX41" i="94"/>
  <c r="CA41" i="94"/>
  <c r="CC41" i="94" s="1"/>
  <c r="CD41" i="94"/>
  <c r="CF41" i="94" s="1"/>
  <c r="AD8" i="86"/>
  <c r="BX7" i="94"/>
  <c r="AU7" i="94"/>
  <c r="AW7" i="94" s="1"/>
  <c r="AV7" i="94"/>
  <c r="CF7" i="94"/>
  <c r="R7" i="94"/>
  <c r="AP7" i="94" s="1"/>
  <c r="BB7" i="94"/>
  <c r="BD7" i="94" s="1"/>
  <c r="BC7" i="94"/>
  <c r="BI7" i="94"/>
  <c r="BN7" i="94"/>
  <c r="CI7" i="94"/>
  <c r="CC7" i="94"/>
  <c r="BS7" i="94"/>
  <c r="BW7" i="94"/>
  <c r="BM7" i="94"/>
  <c r="CB7" i="94"/>
  <c r="BR7" i="94"/>
  <c r="BH7" i="94"/>
  <c r="CH7" i="94"/>
  <c r="CJ7" i="94" s="1"/>
  <c r="CE7" i="94"/>
  <c r="CG7" i="94" s="1"/>
  <c r="Z16" i="3"/>
  <c r="Y19" i="3"/>
  <c r="Y18" i="3"/>
  <c r="Y21" i="3"/>
  <c r="Y20" i="3"/>
  <c r="F20" i="107"/>
  <c r="F20" i="110"/>
  <c r="F20" i="111"/>
  <c r="F14" i="111"/>
  <c r="F5" i="107"/>
  <c r="F5" i="110"/>
  <c r="F23" i="111"/>
  <c r="F23" i="110"/>
  <c r="F23" i="107"/>
  <c r="F15" i="110"/>
  <c r="F17" i="107"/>
  <c r="F15" i="111"/>
  <c r="F9" i="107"/>
  <c r="F10" i="111"/>
  <c r="F8" i="110"/>
  <c r="F5" i="111"/>
  <c r="F13" i="107"/>
  <c r="F19" i="110"/>
  <c r="F22" i="110"/>
  <c r="F22" i="107"/>
  <c r="F22" i="111"/>
  <c r="F21" i="110"/>
  <c r="F21" i="107"/>
  <c r="F21" i="111"/>
  <c r="F16" i="111"/>
  <c r="F4" i="110"/>
  <c r="F6" i="107"/>
  <c r="AA16" i="3" l="1"/>
  <c r="Z18" i="3"/>
  <c r="Z19" i="3"/>
  <c r="Z21" i="3"/>
  <c r="Z20" i="3"/>
  <c r="E14" i="110"/>
  <c r="E19" i="107"/>
  <c r="E18" i="111"/>
  <c r="H14" i="107"/>
  <c r="H7" i="111"/>
  <c r="H17" i="110"/>
  <c r="H6" i="107"/>
  <c r="H16" i="111"/>
  <c r="H4" i="110"/>
  <c r="N13" i="85"/>
  <c r="V2" i="85"/>
  <c r="AB16" i="3" l="1"/>
  <c r="AA18" i="3"/>
  <c r="AA20" i="3"/>
  <c r="AA19" i="3"/>
  <c r="AA21" i="3"/>
  <c r="AC16" i="3" l="1"/>
  <c r="AB21" i="3"/>
  <c r="AB18" i="3"/>
  <c r="AB20" i="3"/>
  <c r="AB19" i="3"/>
  <c r="J11" i="107"/>
  <c r="J8" i="111"/>
  <c r="J11" i="110"/>
  <c r="J13" i="107"/>
  <c r="J5" i="111"/>
  <c r="J19" i="110"/>
  <c r="J6" i="110"/>
  <c r="J4" i="107"/>
  <c r="J11" i="111"/>
  <c r="J9" i="111"/>
  <c r="J9" i="110"/>
  <c r="J8" i="107"/>
  <c r="J16" i="111"/>
  <c r="J4" i="110"/>
  <c r="J6" i="107"/>
  <c r="J18" i="111"/>
  <c r="J14" i="110"/>
  <c r="J19" i="107"/>
  <c r="J5" i="107"/>
  <c r="J5" i="110"/>
  <c r="J14" i="111"/>
  <c r="J6" i="111"/>
  <c r="J10" i="107"/>
  <c r="J10" i="110"/>
  <c r="J15" i="110"/>
  <c r="J17" i="107"/>
  <c r="J15" i="111"/>
  <c r="J4" i="111"/>
  <c r="J16" i="110"/>
  <c r="J12" i="107"/>
  <c r="J10" i="111"/>
  <c r="J9" i="107"/>
  <c r="J8" i="110"/>
  <c r="J13" i="110"/>
  <c r="J18" i="107"/>
  <c r="J17" i="111"/>
  <c r="AD16" i="3" l="1"/>
  <c r="AC18" i="3"/>
  <c r="AC20" i="3"/>
  <c r="AC19" i="3"/>
  <c r="AC21" i="3"/>
  <c r="H17" i="111"/>
  <c r="H13" i="110"/>
  <c r="H18" i="107"/>
  <c r="H15" i="111"/>
  <c r="H15" i="110"/>
  <c r="H17" i="107"/>
  <c r="H8" i="107"/>
  <c r="H9" i="111"/>
  <c r="H9" i="110"/>
  <c r="H16" i="107"/>
  <c r="H19" i="111"/>
  <c r="H18" i="110"/>
  <c r="H5" i="110"/>
  <c r="H14" i="111"/>
  <c r="H5" i="107"/>
  <c r="H14" i="110"/>
  <c r="H19" i="107"/>
  <c r="H18" i="111"/>
  <c r="H10" i="110"/>
  <c r="H6" i="111"/>
  <c r="H10" i="107"/>
  <c r="H21" i="111"/>
  <c r="H21" i="110"/>
  <c r="H21" i="107"/>
  <c r="H11" i="111"/>
  <c r="H6" i="110"/>
  <c r="H4" i="107"/>
  <c r="AD18" i="3" l="1"/>
  <c r="AD20" i="3"/>
  <c r="AD19" i="3"/>
  <c r="AD21" i="3"/>
  <c r="H22" i="111"/>
  <c r="H22" i="110"/>
  <c r="H22" i="107"/>
  <c r="J5" i="32"/>
  <c r="J6" i="32"/>
  <c r="J7" i="32"/>
  <c r="J8" i="32"/>
  <c r="J9" i="32"/>
  <c r="J23" i="32"/>
  <c r="J24" i="32"/>
  <c r="J10" i="32"/>
  <c r="J11" i="32"/>
  <c r="J25" i="32"/>
  <c r="J12" i="32"/>
  <c r="J26" i="32"/>
  <c r="J27" i="32"/>
  <c r="J4" i="32"/>
  <c r="C3" i="83" l="1"/>
  <c r="B3" i="83"/>
  <c r="B6" i="83"/>
  <c r="C6" i="83"/>
  <c r="D6" i="83" s="1"/>
  <c r="C9" i="83"/>
  <c r="B9" i="83"/>
  <c r="C21" i="83"/>
  <c r="B21" i="83"/>
  <c r="B7" i="83"/>
  <c r="C7" i="83"/>
  <c r="C5" i="83"/>
  <c r="B5" i="83"/>
  <c r="C8" i="83"/>
  <c r="B8" i="83"/>
  <c r="B22" i="83"/>
  <c r="C22" i="83"/>
  <c r="D22" i="83" s="1"/>
  <c r="C25" i="83"/>
  <c r="B25" i="83"/>
  <c r="C24" i="83"/>
  <c r="B24" i="83"/>
  <c r="B10" i="83"/>
  <c r="C10" i="83"/>
  <c r="B23" i="83"/>
  <c r="C23" i="83"/>
  <c r="D23" i="83" s="1"/>
  <c r="B4" i="83"/>
  <c r="C4" i="83"/>
  <c r="B2" i="83"/>
  <c r="C2" i="83"/>
  <c r="AG12" i="32"/>
  <c r="AH12" i="32"/>
  <c r="AF12" i="32"/>
  <c r="AL12" i="32"/>
  <c r="AH8" i="32"/>
  <c r="AF8" i="32"/>
  <c r="AG8" i="32"/>
  <c r="AL8" i="32"/>
  <c r="AK27" i="32"/>
  <c r="AG27" i="32"/>
  <c r="AL27" i="32"/>
  <c r="AJ27" i="32"/>
  <c r="R25" i="83" s="1"/>
  <c r="AI27" i="32"/>
  <c r="Q25" i="83" s="1"/>
  <c r="AH27" i="32"/>
  <c r="AF27" i="32"/>
  <c r="AK26" i="32"/>
  <c r="AG26" i="32"/>
  <c r="AJ26" i="32"/>
  <c r="R24" i="83" s="1"/>
  <c r="AH26" i="32"/>
  <c r="AI26" i="32"/>
  <c r="Q24" i="83" s="1"/>
  <c r="AL26" i="32"/>
  <c r="AF26" i="32"/>
  <c r="AH10" i="32"/>
  <c r="AF10" i="32"/>
  <c r="AL10" i="32"/>
  <c r="AJ10" i="32"/>
  <c r="R8" i="83" s="1"/>
  <c r="AI10" i="32"/>
  <c r="Q8" i="83" s="1"/>
  <c r="AG10" i="32"/>
  <c r="AK10" i="32"/>
  <c r="AF5" i="32"/>
  <c r="AH5" i="32"/>
  <c r="AG5" i="32"/>
  <c r="AH25" i="32"/>
  <c r="AF25" i="32"/>
  <c r="AK25" i="32"/>
  <c r="AL25" i="32"/>
  <c r="AJ25" i="32"/>
  <c r="AI25" i="32"/>
  <c r="AG25" i="32"/>
  <c r="AI23" i="32"/>
  <c r="AK23" i="32"/>
  <c r="AG23" i="32"/>
  <c r="AJ23" i="32"/>
  <c r="AF23" i="32"/>
  <c r="AL23" i="32"/>
  <c r="AH23" i="32"/>
  <c r="AL24" i="32"/>
  <c r="AK24" i="32"/>
  <c r="AJ24" i="32"/>
  <c r="AH24" i="32"/>
  <c r="AF24" i="32"/>
  <c r="AI24" i="32"/>
  <c r="AG24" i="32"/>
  <c r="AK9" i="32"/>
  <c r="AG9" i="32"/>
  <c r="AF9" i="32"/>
  <c r="AJ9" i="32"/>
  <c r="AH9" i="32"/>
  <c r="AI9" i="32"/>
  <c r="AL9" i="32"/>
  <c r="AL11" i="32"/>
  <c r="AJ11" i="32"/>
  <c r="AI11" i="32"/>
  <c r="AG11" i="32"/>
  <c r="AK11" i="32"/>
  <c r="AH11" i="32"/>
  <c r="AF11" i="32"/>
  <c r="AJ7" i="32"/>
  <c r="R5" i="83" s="1"/>
  <c r="AG7" i="32"/>
  <c r="AF7" i="32"/>
  <c r="AK7" i="32"/>
  <c r="S5" i="83" s="1"/>
  <c r="AH7" i="32"/>
  <c r="AL7" i="32"/>
  <c r="AI7" i="32"/>
  <c r="Q5" i="83" s="1"/>
  <c r="AH6" i="32"/>
  <c r="AF6" i="32"/>
  <c r="AI6" i="32"/>
  <c r="Q4" i="83" s="1"/>
  <c r="AG6" i="32"/>
  <c r="AL6" i="32"/>
  <c r="AK6" i="32"/>
  <c r="S4" i="83" s="1"/>
  <c r="AJ6" i="32"/>
  <c r="R4" i="83" s="1"/>
  <c r="AF4" i="32"/>
  <c r="AI4" i="32"/>
  <c r="Q2" i="83" s="1"/>
  <c r="AG4" i="32"/>
  <c r="AH4" i="32"/>
  <c r="AL4" i="32"/>
  <c r="T2" i="83" s="1"/>
  <c r="AK4" i="32"/>
  <c r="S2" i="83" s="1"/>
  <c r="AJ4" i="32"/>
  <c r="R2" i="83" s="1"/>
  <c r="D9" i="83" l="1"/>
  <c r="B32" i="83" s="1"/>
  <c r="H32" i="83" s="1"/>
  <c r="D5" i="83"/>
  <c r="B33" i="83" s="1"/>
  <c r="D4" i="83"/>
  <c r="B30" i="83" s="1"/>
  <c r="H30" i="83" s="1"/>
  <c r="D7" i="83"/>
  <c r="B29" i="83" s="1"/>
  <c r="H29" i="83" s="1"/>
  <c r="D24" i="83"/>
  <c r="D8" i="83"/>
  <c r="B31" i="83" s="1"/>
  <c r="H31" i="83" s="1"/>
  <c r="D25" i="83"/>
  <c r="D21" i="83"/>
  <c r="D10" i="83"/>
  <c r="D3" i="83"/>
  <c r="D2" i="83"/>
  <c r="M25" i="96" l="1"/>
  <c r="M19" i="96"/>
  <c r="AA19" i="111"/>
  <c r="AA22" i="111"/>
  <c r="AA23" i="111"/>
  <c r="AH4" i="111"/>
  <c r="AA18" i="110"/>
  <c r="AA23" i="110"/>
  <c r="AA22" i="110"/>
  <c r="AH4" i="110"/>
  <c r="AA22" i="107"/>
  <c r="AA23" i="107"/>
  <c r="AH4" i="107"/>
  <c r="B15" i="108"/>
  <c r="AH4" i="108"/>
  <c r="B16" i="108"/>
  <c r="B14" i="108"/>
  <c r="AA20" i="108"/>
  <c r="AA21" i="108"/>
  <c r="AA17" i="108"/>
  <c r="AA18" i="108"/>
  <c r="AA22" i="108"/>
  <c r="AA23" i="108"/>
  <c r="AA19" i="108"/>
  <c r="C5" i="106"/>
  <c r="AG27" i="96" l="1"/>
  <c r="AG21" i="96"/>
  <c r="AG15" i="96"/>
  <c r="AG9" i="96"/>
  <c r="AE27" i="96"/>
  <c r="AE21" i="96"/>
  <c r="AE15" i="96"/>
  <c r="AE9" i="96"/>
  <c r="AC25" i="96"/>
  <c r="AC13" i="96"/>
  <c r="AC19" i="96"/>
  <c r="AC7" i="96"/>
  <c r="AA25" i="96"/>
  <c r="AA24" i="96"/>
  <c r="AA19" i="96"/>
  <c r="AA18" i="96"/>
  <c r="AA13" i="96"/>
  <c r="AA12" i="96"/>
  <c r="AA7" i="96"/>
  <c r="AA6" i="96"/>
  <c r="Y25" i="96"/>
  <c r="Y24" i="96"/>
  <c r="Y19" i="96"/>
  <c r="Y18" i="96"/>
  <c r="Y13" i="96"/>
  <c r="Y12" i="96"/>
  <c r="Y7" i="96"/>
  <c r="Y6" i="96"/>
  <c r="W23" i="96"/>
  <c r="W17" i="96"/>
  <c r="W11" i="96"/>
  <c r="W5" i="96"/>
  <c r="U22" i="96"/>
  <c r="S22" i="96"/>
  <c r="Q22" i="96"/>
  <c r="U16" i="96"/>
  <c r="S16" i="96"/>
  <c r="Q16" i="96"/>
  <c r="U10" i="96"/>
  <c r="S10" i="96"/>
  <c r="Q10" i="96"/>
  <c r="U4" i="96"/>
  <c r="S4" i="96"/>
  <c r="Q4" i="96"/>
  <c r="U3" i="96"/>
  <c r="S3" i="96"/>
  <c r="Q3" i="96"/>
  <c r="N10" i="110" l="1"/>
  <c r="W10" i="110"/>
  <c r="Q9" i="107"/>
  <c r="Q10" i="108"/>
  <c r="T9" i="107" l="1"/>
  <c r="X9" i="107"/>
  <c r="W9" i="107"/>
  <c r="P9" i="107"/>
  <c r="S9" i="107"/>
  <c r="V9" i="107"/>
  <c r="N9" i="107"/>
  <c r="AS19" i="86"/>
  <c r="U10" i="110"/>
  <c r="X10" i="110"/>
  <c r="T10" i="110"/>
  <c r="V10" i="110"/>
  <c r="R9" i="107"/>
  <c r="M9" i="107"/>
  <c r="U9" i="107"/>
  <c r="S10" i="108"/>
  <c r="O10" i="108"/>
  <c r="P10" i="108"/>
  <c r="V10" i="108"/>
  <c r="R10" i="108"/>
  <c r="T10" i="108"/>
  <c r="U10" i="108"/>
  <c r="AS5" i="86"/>
  <c r="AM5" i="32" l="1"/>
  <c r="AN5" i="32"/>
  <c r="AL5" i="32"/>
  <c r="T3" i="83" s="1"/>
  <c r="AI5" i="32"/>
  <c r="AJ5" i="32"/>
  <c r="AK5" i="32"/>
  <c r="K20" i="111"/>
  <c r="K20" i="110"/>
  <c r="K20" i="107"/>
  <c r="K23" i="107"/>
  <c r="K23" i="110"/>
  <c r="K23" i="111"/>
  <c r="Z10" i="110"/>
  <c r="Y10" i="110"/>
  <c r="Z9" i="107"/>
  <c r="Y9" i="107"/>
  <c r="Z10" i="108"/>
  <c r="AA10" i="108" s="1"/>
  <c r="Y10" i="108"/>
  <c r="AK8" i="32" l="1"/>
  <c r="AI8" i="32"/>
  <c r="AJ8" i="32"/>
  <c r="AI12" i="32"/>
  <c r="Q10" i="83" s="1"/>
  <c r="AK12" i="32"/>
  <c r="AJ12" i="32"/>
  <c r="R10" i="83" s="1"/>
  <c r="J23" i="111"/>
  <c r="J23" i="110"/>
  <c r="J23" i="107"/>
  <c r="J22" i="110"/>
  <c r="J22" i="107"/>
  <c r="J22" i="111"/>
  <c r="J21" i="110"/>
  <c r="J21" i="107"/>
  <c r="J21" i="111"/>
  <c r="AA9" i="107"/>
  <c r="AA10" i="110"/>
  <c r="U5" i="32" l="1"/>
  <c r="U6" i="32"/>
  <c r="U7" i="32"/>
  <c r="U8" i="32"/>
  <c r="U9" i="32"/>
  <c r="U23" i="32"/>
  <c r="U2" i="32" s="1"/>
  <c r="U24" i="32"/>
  <c r="U10" i="32"/>
  <c r="U11" i="32"/>
  <c r="U25" i="32"/>
  <c r="U12" i="32"/>
  <c r="U26" i="32"/>
  <c r="U27" i="32"/>
  <c r="U4" i="32"/>
  <c r="U28" i="32" l="1"/>
  <c r="I13" i="85" l="1"/>
  <c r="J13" i="85"/>
  <c r="T13" i="85"/>
  <c r="U13" i="85" l="1"/>
  <c r="R13" i="85"/>
  <c r="X11" i="107" l="1"/>
  <c r="X4" i="107"/>
  <c r="X8" i="107"/>
  <c r="X22" i="107"/>
  <c r="X21" i="107"/>
  <c r="X14" i="107"/>
  <c r="X13" i="107"/>
  <c r="X20" i="107"/>
  <c r="X17" i="107"/>
  <c r="X10" i="107"/>
  <c r="X19" i="107"/>
  <c r="X16" i="107"/>
  <c r="X15" i="107"/>
  <c r="X12" i="107"/>
  <c r="X18" i="107"/>
  <c r="X5" i="107"/>
  <c r="X6" i="107"/>
  <c r="X16" i="111"/>
  <c r="X13" i="111"/>
  <c r="X15" i="111"/>
  <c r="X5" i="111"/>
  <c r="X20" i="111"/>
  <c r="X19" i="111"/>
  <c r="X9" i="111"/>
  <c r="X7" i="111"/>
  <c r="X4" i="111"/>
  <c r="X18" i="111"/>
  <c r="X8" i="111"/>
  <c r="X21" i="111"/>
  <c r="X10" i="111"/>
  <c r="X11" i="111"/>
  <c r="X14" i="111"/>
  <c r="X17" i="111"/>
  <c r="X6" i="111"/>
  <c r="X22" i="111"/>
  <c r="W16" i="111"/>
  <c r="Y16" i="111" s="1"/>
  <c r="AA16" i="111" s="1"/>
  <c r="W13" i="111"/>
  <c r="W15" i="111"/>
  <c r="W5" i="111"/>
  <c r="W20" i="111"/>
  <c r="W19" i="111"/>
  <c r="W9" i="111"/>
  <c r="W7" i="111"/>
  <c r="W4" i="111"/>
  <c r="W18" i="111"/>
  <c r="W8" i="111"/>
  <c r="W21" i="111"/>
  <c r="W10" i="111"/>
  <c r="W11" i="111"/>
  <c r="W14" i="111"/>
  <c r="Z14" i="111" s="1"/>
  <c r="AA14" i="111" s="1"/>
  <c r="W17" i="111"/>
  <c r="AA17" i="111" s="1"/>
  <c r="W6" i="111"/>
  <c r="W22" i="111"/>
  <c r="V16" i="111"/>
  <c r="V13" i="111"/>
  <c r="V15" i="111"/>
  <c r="V5" i="111"/>
  <c r="V20" i="111"/>
  <c r="V19" i="111"/>
  <c r="V9" i="111"/>
  <c r="V7" i="111"/>
  <c r="V4" i="111"/>
  <c r="V18" i="111"/>
  <c r="V8" i="111"/>
  <c r="V21" i="111"/>
  <c r="V10" i="111"/>
  <c r="V11" i="111"/>
  <c r="V14" i="111"/>
  <c r="V17" i="111"/>
  <c r="V6" i="111"/>
  <c r="V22" i="111"/>
  <c r="U16" i="111"/>
  <c r="U13" i="111"/>
  <c r="U15" i="111"/>
  <c r="U5" i="111"/>
  <c r="U20" i="111"/>
  <c r="U19" i="111"/>
  <c r="U9" i="111"/>
  <c r="U7" i="111"/>
  <c r="U4" i="111"/>
  <c r="U18" i="111"/>
  <c r="U8" i="111"/>
  <c r="U21" i="111"/>
  <c r="U10" i="111"/>
  <c r="U11" i="111"/>
  <c r="U14" i="111"/>
  <c r="U17" i="111"/>
  <c r="U6" i="111"/>
  <c r="U22" i="111"/>
  <c r="S16" i="111"/>
  <c r="S13" i="111"/>
  <c r="S15" i="111"/>
  <c r="S5" i="111"/>
  <c r="S20" i="111"/>
  <c r="S19" i="111"/>
  <c r="S9" i="111"/>
  <c r="S7" i="111"/>
  <c r="S4" i="111"/>
  <c r="S18" i="111"/>
  <c r="S8" i="111"/>
  <c r="S21" i="111"/>
  <c r="S10" i="111"/>
  <c r="S11" i="111"/>
  <c r="S14" i="111"/>
  <c r="S17" i="111"/>
  <c r="S6" i="111"/>
  <c r="S22" i="111"/>
  <c r="R16" i="111"/>
  <c r="R13" i="111"/>
  <c r="R15" i="111"/>
  <c r="R5" i="111"/>
  <c r="R20" i="111"/>
  <c r="AA20" i="111" s="1"/>
  <c r="R19" i="111"/>
  <c r="R9" i="111"/>
  <c r="R7" i="111"/>
  <c r="R4" i="111"/>
  <c r="Z4" i="111" s="1"/>
  <c r="R18" i="111"/>
  <c r="R8" i="111"/>
  <c r="R21" i="111"/>
  <c r="R10" i="111"/>
  <c r="R11" i="111"/>
  <c r="R14" i="111"/>
  <c r="R17" i="111"/>
  <c r="R6" i="111"/>
  <c r="R22" i="111"/>
  <c r="N16" i="111"/>
  <c r="N13" i="111"/>
  <c r="N15" i="111"/>
  <c r="N5" i="111"/>
  <c r="N20" i="111"/>
  <c r="N19" i="111"/>
  <c r="N9" i="111"/>
  <c r="N7" i="111"/>
  <c r="N4" i="111"/>
  <c r="N18" i="111"/>
  <c r="N8" i="111"/>
  <c r="N21" i="111"/>
  <c r="N10" i="111"/>
  <c r="N11" i="111"/>
  <c r="N14" i="111"/>
  <c r="N17" i="111"/>
  <c r="N6" i="111"/>
  <c r="N22" i="111"/>
  <c r="M16" i="111"/>
  <c r="M13" i="111"/>
  <c r="M15" i="111"/>
  <c r="M5" i="111"/>
  <c r="M20" i="111"/>
  <c r="M19" i="111"/>
  <c r="M9" i="111"/>
  <c r="M7" i="111"/>
  <c r="M4" i="111"/>
  <c r="M18" i="111"/>
  <c r="M8" i="111"/>
  <c r="M21" i="111"/>
  <c r="M10" i="111"/>
  <c r="M11" i="111"/>
  <c r="M14" i="111"/>
  <c r="M17" i="111"/>
  <c r="M6" i="111"/>
  <c r="M22" i="111"/>
  <c r="K3" i="111"/>
  <c r="J3" i="111"/>
  <c r="I3" i="111"/>
  <c r="H3" i="111"/>
  <c r="G3" i="111"/>
  <c r="F3" i="111"/>
  <c r="X9" i="110"/>
  <c r="X14" i="110"/>
  <c r="X21" i="110"/>
  <c r="X20" i="110"/>
  <c r="W8" i="110"/>
  <c r="X4" i="110"/>
  <c r="X12" i="110"/>
  <c r="X6" i="110"/>
  <c r="X11" i="110"/>
  <c r="X8" i="110"/>
  <c r="X22" i="110"/>
  <c r="X19" i="110"/>
  <c r="X16" i="110"/>
  <c r="X17" i="110"/>
  <c r="X18" i="110"/>
  <c r="X13" i="110"/>
  <c r="X15" i="110"/>
  <c r="X5" i="110"/>
  <c r="W17" i="110"/>
  <c r="W16" i="110"/>
  <c r="W19" i="110"/>
  <c r="W4" i="110"/>
  <c r="Y4" i="110" s="1"/>
  <c r="AA4" i="110" s="1"/>
  <c r="W12" i="110"/>
  <c r="W6" i="110"/>
  <c r="W11" i="110"/>
  <c r="W22" i="110"/>
  <c r="W21" i="110"/>
  <c r="W14" i="110"/>
  <c r="W20" i="110"/>
  <c r="W18" i="110"/>
  <c r="W13" i="110"/>
  <c r="AA13" i="110" s="1"/>
  <c r="W15" i="110"/>
  <c r="W5" i="110"/>
  <c r="Z5" i="110" s="1"/>
  <c r="V4" i="110"/>
  <c r="V12" i="110"/>
  <c r="V6" i="110"/>
  <c r="V11" i="110"/>
  <c r="V8" i="110"/>
  <c r="V22" i="110"/>
  <c r="V21" i="110"/>
  <c r="AA21" i="110" s="1"/>
  <c r="V19" i="110"/>
  <c r="V14" i="110"/>
  <c r="V16" i="110"/>
  <c r="V17" i="110"/>
  <c r="V9" i="110"/>
  <c r="V18" i="110"/>
  <c r="V13" i="110"/>
  <c r="V15" i="110"/>
  <c r="V5" i="110"/>
  <c r="U4" i="110"/>
  <c r="U12" i="110"/>
  <c r="U6" i="110"/>
  <c r="U11" i="110"/>
  <c r="U8" i="110"/>
  <c r="U22" i="110"/>
  <c r="U21" i="110"/>
  <c r="U19" i="110"/>
  <c r="U14" i="110"/>
  <c r="U16" i="110"/>
  <c r="U17" i="110"/>
  <c r="U9" i="110"/>
  <c r="U20" i="110"/>
  <c r="U18" i="110"/>
  <c r="U13" i="110"/>
  <c r="U15" i="110"/>
  <c r="U5" i="110"/>
  <c r="T4" i="110"/>
  <c r="T12" i="110"/>
  <c r="T6" i="110"/>
  <c r="T11" i="110"/>
  <c r="T8" i="110"/>
  <c r="T22" i="110"/>
  <c r="T21" i="110"/>
  <c r="T19" i="110"/>
  <c r="T14" i="110"/>
  <c r="T16" i="110"/>
  <c r="T17" i="110"/>
  <c r="T9" i="110"/>
  <c r="T20" i="110"/>
  <c r="AA20" i="110" s="1"/>
  <c r="T18" i="110"/>
  <c r="T13" i="110"/>
  <c r="T15" i="110"/>
  <c r="T5" i="110"/>
  <c r="Y5" i="110" s="1"/>
  <c r="N4" i="110"/>
  <c r="N12" i="110"/>
  <c r="N6" i="110"/>
  <c r="N11" i="110"/>
  <c r="N8" i="110"/>
  <c r="N21" i="110"/>
  <c r="N19" i="110"/>
  <c r="N16" i="110"/>
  <c r="N17" i="110"/>
  <c r="N9" i="110"/>
  <c r="N18" i="110"/>
  <c r="N13" i="110"/>
  <c r="N5" i="110"/>
  <c r="K3" i="110"/>
  <c r="J3" i="110"/>
  <c r="I3" i="110"/>
  <c r="H3" i="110"/>
  <c r="G3" i="110"/>
  <c r="F3" i="110"/>
  <c r="Z6" i="111" l="1"/>
  <c r="Y6" i="111"/>
  <c r="Z11" i="111"/>
  <c r="Y11" i="111"/>
  <c r="Z13" i="111"/>
  <c r="Y13" i="111"/>
  <c r="Z15" i="111"/>
  <c r="Y15" i="111"/>
  <c r="Y10" i="111"/>
  <c r="Z10" i="111"/>
  <c r="AA10" i="111" s="1"/>
  <c r="Z8" i="111"/>
  <c r="Y8" i="111"/>
  <c r="Y9" i="111"/>
  <c r="Z9" i="111"/>
  <c r="Y12" i="110"/>
  <c r="Z12" i="110"/>
  <c r="AA12" i="110" s="1"/>
  <c r="Z6" i="110"/>
  <c r="Y6" i="110"/>
  <c r="Y8" i="110"/>
  <c r="Z8" i="110"/>
  <c r="Z9" i="110"/>
  <c r="Y9" i="110"/>
  <c r="Y11" i="110"/>
  <c r="Z11" i="110"/>
  <c r="AA11" i="110" s="1"/>
  <c r="AA5" i="110"/>
  <c r="Z7" i="111"/>
  <c r="Y7" i="111"/>
  <c r="Z5" i="111"/>
  <c r="AA5" i="111" s="1"/>
  <c r="AA14" i="110"/>
  <c r="AA19" i="110"/>
  <c r="AA16" i="110"/>
  <c r="AA15" i="110"/>
  <c r="AA18" i="111"/>
  <c r="AA21" i="111"/>
  <c r="AA4" i="111"/>
  <c r="AA6" i="111"/>
  <c r="AA17" i="110"/>
  <c r="W9" i="110"/>
  <c r="V20" i="110"/>
  <c r="N15" i="110"/>
  <c r="N20" i="110"/>
  <c r="N14" i="110"/>
  <c r="N22" i="110"/>
  <c r="AA8" i="110" l="1"/>
  <c r="AA8" i="111"/>
  <c r="AA15" i="111"/>
  <c r="AA7" i="111"/>
  <c r="AA11" i="111"/>
  <c r="AA13" i="111"/>
  <c r="AA9" i="110"/>
  <c r="AA6" i="110"/>
  <c r="AA9" i="111"/>
  <c r="Z2" i="111"/>
  <c r="Z2" i="110"/>
  <c r="Y2" i="111" l="1"/>
  <c r="Y2" i="110"/>
  <c r="O6" i="108" l="1"/>
  <c r="O16" i="108"/>
  <c r="O18" i="108"/>
  <c r="O19" i="108"/>
  <c r="O23" i="108"/>
  <c r="O12" i="108"/>
  <c r="O15" i="108"/>
  <c r="Q8" i="108"/>
  <c r="O5" i="108"/>
  <c r="O7" i="108"/>
  <c r="R18" i="108"/>
  <c r="R21" i="108"/>
  <c r="O20" i="108"/>
  <c r="O4" i="108"/>
  <c r="O13" i="108"/>
  <c r="R14" i="108"/>
  <c r="V17" i="108"/>
  <c r="R22" i="108"/>
  <c r="R11" i="108"/>
  <c r="S6" i="108"/>
  <c r="S7" i="108"/>
  <c r="Y7" i="108" s="1"/>
  <c r="S5" i="108"/>
  <c r="S13" i="108"/>
  <c r="S15" i="108"/>
  <c r="S16" i="108"/>
  <c r="S4" i="108"/>
  <c r="S18" i="108"/>
  <c r="S11" i="108"/>
  <c r="R6" i="108"/>
  <c r="R7" i="108"/>
  <c r="Z7" i="108" s="1"/>
  <c r="R5" i="108"/>
  <c r="Z5" i="108" s="1"/>
  <c r="R13" i="108"/>
  <c r="R15" i="108"/>
  <c r="R16" i="108"/>
  <c r="R4" i="108"/>
  <c r="R23" i="108"/>
  <c r="Q6" i="108"/>
  <c r="Q7" i="108"/>
  <c r="Q13" i="108"/>
  <c r="Q15" i="108"/>
  <c r="Q16" i="108"/>
  <c r="Q4" i="108"/>
  <c r="Q18" i="108"/>
  <c r="P6" i="108"/>
  <c r="P7" i="108"/>
  <c r="P20" i="108"/>
  <c r="P15" i="108"/>
  <c r="P16" i="108"/>
  <c r="P4" i="108"/>
  <c r="P23" i="108"/>
  <c r="P19" i="108"/>
  <c r="P18" i="108"/>
  <c r="V6" i="108"/>
  <c r="V7" i="108"/>
  <c r="V13" i="108"/>
  <c r="V16" i="108"/>
  <c r="V4" i="108"/>
  <c r="V12" i="108"/>
  <c r="V18" i="108"/>
  <c r="U6" i="108"/>
  <c r="U7" i="108"/>
  <c r="U20" i="108"/>
  <c r="U15" i="108"/>
  <c r="U16" i="108"/>
  <c r="U4" i="108"/>
  <c r="U23" i="108"/>
  <c r="U17" i="108"/>
  <c r="U18" i="108"/>
  <c r="T6" i="108"/>
  <c r="T7" i="108"/>
  <c r="T13" i="108"/>
  <c r="T16" i="108"/>
  <c r="T4" i="108"/>
  <c r="T12" i="108"/>
  <c r="Y12" i="108" s="1"/>
  <c r="T18" i="108"/>
  <c r="K18" i="108"/>
  <c r="I18" i="108"/>
  <c r="H18" i="108"/>
  <c r="G18" i="108"/>
  <c r="F18" i="108"/>
  <c r="E18" i="108"/>
  <c r="C18" i="108"/>
  <c r="B18" i="108"/>
  <c r="K19" i="108"/>
  <c r="J19" i="108"/>
  <c r="I19" i="108"/>
  <c r="H19" i="108"/>
  <c r="G19" i="108"/>
  <c r="F19" i="108"/>
  <c r="E19" i="108"/>
  <c r="C19" i="108"/>
  <c r="B19" i="108"/>
  <c r="K17" i="108"/>
  <c r="J17" i="108"/>
  <c r="I17" i="108"/>
  <c r="H17" i="108"/>
  <c r="G17" i="108"/>
  <c r="F17" i="108"/>
  <c r="E17" i="108"/>
  <c r="C17" i="108"/>
  <c r="B17" i="108"/>
  <c r="K23" i="108"/>
  <c r="I23" i="108"/>
  <c r="H23" i="108"/>
  <c r="G23" i="108"/>
  <c r="F23" i="108"/>
  <c r="E23" i="108"/>
  <c r="C23" i="108"/>
  <c r="B23" i="108"/>
  <c r="K21" i="108"/>
  <c r="I21" i="108"/>
  <c r="H21" i="108"/>
  <c r="G21" i="108"/>
  <c r="F21" i="108"/>
  <c r="E21" i="108"/>
  <c r="C21" i="108"/>
  <c r="B21" i="108"/>
  <c r="K12" i="108"/>
  <c r="I12" i="108"/>
  <c r="H12" i="108"/>
  <c r="G12" i="108"/>
  <c r="F12" i="108"/>
  <c r="E12" i="108"/>
  <c r="C12" i="108"/>
  <c r="B12" i="108"/>
  <c r="K4" i="108"/>
  <c r="I4" i="108"/>
  <c r="H4" i="108"/>
  <c r="G4" i="108"/>
  <c r="F4" i="108"/>
  <c r="E4" i="108"/>
  <c r="C4" i="108"/>
  <c r="B4" i="108"/>
  <c r="K16" i="108"/>
  <c r="I16" i="108"/>
  <c r="H16" i="108"/>
  <c r="G16" i="108"/>
  <c r="F16" i="108"/>
  <c r="E16" i="108"/>
  <c r="C16" i="108"/>
  <c r="K15" i="108"/>
  <c r="I15" i="108"/>
  <c r="H15" i="108"/>
  <c r="G15" i="108"/>
  <c r="F15" i="108"/>
  <c r="E15" i="108"/>
  <c r="C15" i="108"/>
  <c r="K14" i="108"/>
  <c r="I14" i="108"/>
  <c r="H14" i="108"/>
  <c r="G14" i="108"/>
  <c r="F14" i="108"/>
  <c r="E14" i="108"/>
  <c r="C14" i="108"/>
  <c r="K13" i="108"/>
  <c r="I13" i="108"/>
  <c r="H13" i="108"/>
  <c r="G13" i="108"/>
  <c r="F13" i="108"/>
  <c r="E13" i="108"/>
  <c r="C13" i="108"/>
  <c r="B13" i="108"/>
  <c r="K8" i="108"/>
  <c r="I8" i="108"/>
  <c r="H8" i="108"/>
  <c r="G8" i="108"/>
  <c r="F8" i="108"/>
  <c r="E8" i="108"/>
  <c r="C8" i="108"/>
  <c r="B8" i="108"/>
  <c r="K10" i="108"/>
  <c r="I10" i="108"/>
  <c r="H10" i="108"/>
  <c r="G10" i="108"/>
  <c r="F10" i="108"/>
  <c r="E10" i="108"/>
  <c r="C10" i="108"/>
  <c r="B10" i="108"/>
  <c r="K20" i="108"/>
  <c r="I20" i="108"/>
  <c r="H20" i="108"/>
  <c r="G20" i="108"/>
  <c r="F20" i="108"/>
  <c r="E20" i="108"/>
  <c r="C20" i="108"/>
  <c r="B20" i="108"/>
  <c r="K5" i="108"/>
  <c r="I5" i="108"/>
  <c r="H5" i="108"/>
  <c r="G5" i="108"/>
  <c r="F5" i="108"/>
  <c r="E5" i="108"/>
  <c r="C5" i="108"/>
  <c r="B5" i="108"/>
  <c r="K7" i="108"/>
  <c r="I7" i="108"/>
  <c r="H7" i="108"/>
  <c r="G7" i="108"/>
  <c r="F7" i="108"/>
  <c r="E7" i="108"/>
  <c r="C7" i="108"/>
  <c r="B7" i="108"/>
  <c r="K6" i="108"/>
  <c r="I6" i="108"/>
  <c r="H6" i="108"/>
  <c r="G6" i="108"/>
  <c r="F6" i="108"/>
  <c r="E6" i="108"/>
  <c r="C6" i="108"/>
  <c r="B6" i="108"/>
  <c r="K22" i="108"/>
  <c r="I22" i="108"/>
  <c r="H22" i="108"/>
  <c r="G22" i="108"/>
  <c r="F22" i="108"/>
  <c r="E22" i="108"/>
  <c r="C22" i="108"/>
  <c r="B22" i="108"/>
  <c r="K11" i="108"/>
  <c r="I11" i="108"/>
  <c r="H11" i="108"/>
  <c r="G11" i="108"/>
  <c r="F11" i="108"/>
  <c r="E11" i="108"/>
  <c r="C11" i="108"/>
  <c r="B11" i="108"/>
  <c r="K3" i="108"/>
  <c r="J3" i="108"/>
  <c r="I3" i="108"/>
  <c r="H3" i="108"/>
  <c r="G3" i="108"/>
  <c r="F3" i="108"/>
  <c r="E3" i="108"/>
  <c r="D3" i="108"/>
  <c r="C3" i="108"/>
  <c r="B3" i="108"/>
  <c r="Y16" i="108" l="1"/>
  <c r="Z16" i="108"/>
  <c r="Y13" i="108"/>
  <c r="Z13" i="108"/>
  <c r="AA13" i="108" s="1"/>
  <c r="Y4" i="108"/>
  <c r="Z4" i="108"/>
  <c r="AA4" i="108" s="1"/>
  <c r="Z6" i="108"/>
  <c r="AA6" i="108" s="1"/>
  <c r="Z15" i="108"/>
  <c r="AA15" i="108" s="1"/>
  <c r="Y15" i="108"/>
  <c r="Q21" i="108"/>
  <c r="T19" i="108"/>
  <c r="U19" i="108"/>
  <c r="Q19" i="108"/>
  <c r="S19" i="108"/>
  <c r="V19" i="108"/>
  <c r="R19" i="108"/>
  <c r="AA7" i="108"/>
  <c r="T20" i="108"/>
  <c r="U5" i="108"/>
  <c r="V20" i="108"/>
  <c r="P5" i="108"/>
  <c r="Q12" i="108"/>
  <c r="S12" i="108"/>
  <c r="AA12" i="108"/>
  <c r="T17" i="108"/>
  <c r="T5" i="108"/>
  <c r="U21" i="108"/>
  <c r="V5" i="108"/>
  <c r="V11" i="108"/>
  <c r="Q20" i="108"/>
  <c r="R12" i="108"/>
  <c r="S8" i="108"/>
  <c r="Z8" i="108" s="1"/>
  <c r="N11" i="108"/>
  <c r="T23" i="108"/>
  <c r="T15" i="108"/>
  <c r="U12" i="108"/>
  <c r="U13" i="108"/>
  <c r="V23" i="108"/>
  <c r="V15" i="108"/>
  <c r="P11" i="108"/>
  <c r="P12" i="108"/>
  <c r="P13" i="108"/>
  <c r="Q23" i="108"/>
  <c r="Q5" i="108"/>
  <c r="R20" i="108"/>
  <c r="S23" i="108"/>
  <c r="S20" i="108"/>
  <c r="O8" i="108"/>
  <c r="T8" i="108"/>
  <c r="U14" i="108"/>
  <c r="U22" i="108"/>
  <c r="V8" i="108"/>
  <c r="Y8" i="108" s="1"/>
  <c r="P8" i="108"/>
  <c r="Q14" i="108"/>
  <c r="Q22" i="108"/>
  <c r="R8" i="108"/>
  <c r="S21" i="108"/>
  <c r="O21" i="108"/>
  <c r="AA5" i="108"/>
  <c r="T21" i="108"/>
  <c r="V21" i="108"/>
  <c r="P21" i="108"/>
  <c r="S14" i="108"/>
  <c r="S22" i="108"/>
  <c r="O17" i="108"/>
  <c r="O14" i="108"/>
  <c r="O22" i="108"/>
  <c r="T14" i="108"/>
  <c r="T22" i="108"/>
  <c r="U8" i="108"/>
  <c r="V14" i="108"/>
  <c r="V22" i="108"/>
  <c r="P14" i="108"/>
  <c r="P22" i="108"/>
  <c r="O11" i="108"/>
  <c r="P17" i="108"/>
  <c r="Q17" i="108"/>
  <c r="R17" i="108"/>
  <c r="S17" i="108"/>
  <c r="T11" i="108"/>
  <c r="Q11" i="108"/>
  <c r="U11" i="108"/>
  <c r="Y14" i="108" l="1"/>
  <c r="Z14" i="108"/>
  <c r="Z11" i="108"/>
  <c r="Y11" i="108"/>
  <c r="Y2" i="108" s="1"/>
  <c r="AA16" i="108"/>
  <c r="AA14" i="108"/>
  <c r="AA8" i="108" l="1"/>
  <c r="AA11" i="108"/>
  <c r="Z2" i="108"/>
  <c r="R8" i="107"/>
  <c r="R22" i="107"/>
  <c r="R20" i="107"/>
  <c r="R10" i="107"/>
  <c r="R19" i="107"/>
  <c r="R18" i="107"/>
  <c r="U4" i="107"/>
  <c r="U21" i="107"/>
  <c r="U14" i="107"/>
  <c r="U10" i="107"/>
  <c r="U18" i="107"/>
  <c r="U5" i="107"/>
  <c r="U6" i="107"/>
  <c r="V4" i="107"/>
  <c r="V21" i="107"/>
  <c r="V14" i="107"/>
  <c r="V10" i="107"/>
  <c r="V15" i="107"/>
  <c r="V18" i="107"/>
  <c r="V5" i="107"/>
  <c r="V6" i="107"/>
  <c r="N18" i="107"/>
  <c r="R5" i="107"/>
  <c r="W10" i="107"/>
  <c r="P14" i="107"/>
  <c r="Y14" i="107" s="1"/>
  <c r="N8" i="107"/>
  <c r="S6" i="107"/>
  <c r="N21" i="107"/>
  <c r="M20" i="107"/>
  <c r="S14" i="107"/>
  <c r="S13" i="107"/>
  <c r="Z13" i="107" s="1"/>
  <c r="S5" i="107"/>
  <c r="M4" i="107"/>
  <c r="N4" i="107"/>
  <c r="M14" i="107"/>
  <c r="N14" i="107"/>
  <c r="M19" i="107"/>
  <c r="N19" i="107"/>
  <c r="N15" i="107"/>
  <c r="M5" i="107"/>
  <c r="N5" i="107"/>
  <c r="M6" i="107"/>
  <c r="W6" i="107"/>
  <c r="Y6" i="107" s="1"/>
  <c r="AA6" i="107" s="1"/>
  <c r="T4" i="107"/>
  <c r="W4" i="107"/>
  <c r="T22" i="107"/>
  <c r="W22" i="107"/>
  <c r="T14" i="107"/>
  <c r="W14" i="107"/>
  <c r="Q14" i="107"/>
  <c r="Z14" i="107" s="1"/>
  <c r="T13" i="107"/>
  <c r="W13" i="107"/>
  <c r="T20" i="107"/>
  <c r="W20" i="107"/>
  <c r="Q20" i="107"/>
  <c r="W17" i="107"/>
  <c r="T19" i="107"/>
  <c r="AA19" i="107" s="1"/>
  <c r="Q19" i="107"/>
  <c r="T16" i="107"/>
  <c r="T15" i="107"/>
  <c r="W15" i="107"/>
  <c r="W12" i="107"/>
  <c r="T5" i="107"/>
  <c r="Y5" i="107" s="1"/>
  <c r="W5" i="107"/>
  <c r="Z5" i="107" s="1"/>
  <c r="P5" i="107"/>
  <c r="Q6" i="107"/>
  <c r="P6" i="107"/>
  <c r="T6" i="107"/>
  <c r="Z10" i="107" l="1"/>
  <c r="Y10" i="107"/>
  <c r="AA5" i="107"/>
  <c r="Y4" i="107"/>
  <c r="Z4" i="107"/>
  <c r="Y15" i="107"/>
  <c r="Z15" i="107"/>
  <c r="AA15" i="107" s="1"/>
  <c r="M17" i="107"/>
  <c r="R17" i="107"/>
  <c r="W11" i="107"/>
  <c r="R11" i="107"/>
  <c r="T11" i="107"/>
  <c r="N11" i="107"/>
  <c r="Q11" i="107"/>
  <c r="U12" i="107"/>
  <c r="V12" i="107"/>
  <c r="M12" i="107"/>
  <c r="Q12" i="107"/>
  <c r="N12" i="107"/>
  <c r="T12" i="107"/>
  <c r="M22" i="107"/>
  <c r="P22" i="107"/>
  <c r="U22" i="107"/>
  <c r="V22" i="107"/>
  <c r="S22" i="107"/>
  <c r="N22" i="107"/>
  <c r="Q22" i="107"/>
  <c r="S15" i="107"/>
  <c r="Q15" i="107"/>
  <c r="R15" i="107"/>
  <c r="U17" i="107"/>
  <c r="U11" i="107"/>
  <c r="R12" i="107"/>
  <c r="Z12" i="107" s="1"/>
  <c r="P12" i="107"/>
  <c r="M15" i="107"/>
  <c r="S12" i="107"/>
  <c r="U19" i="107"/>
  <c r="V19" i="107"/>
  <c r="W19" i="107"/>
  <c r="S19" i="107"/>
  <c r="P19" i="107"/>
  <c r="S4" i="107"/>
  <c r="P4" i="107"/>
  <c r="R4" i="107"/>
  <c r="Q4" i="107"/>
  <c r="U13" i="107"/>
  <c r="V13" i="107"/>
  <c r="AA13" i="107" s="1"/>
  <c r="M13" i="107"/>
  <c r="P13" i="107"/>
  <c r="N13" i="107"/>
  <c r="Q13" i="107"/>
  <c r="S16" i="107"/>
  <c r="N16" i="107"/>
  <c r="P16" i="107"/>
  <c r="U16" i="107"/>
  <c r="V16" i="107"/>
  <c r="Q16" i="107"/>
  <c r="V17" i="107"/>
  <c r="V11" i="107"/>
  <c r="U15" i="107"/>
  <c r="R16" i="107"/>
  <c r="R13" i="107"/>
  <c r="V20" i="107"/>
  <c r="U20" i="107"/>
  <c r="R6" i="107"/>
  <c r="R14" i="107"/>
  <c r="Q5" i="107"/>
  <c r="P20" i="107"/>
  <c r="N6" i="107"/>
  <c r="S20" i="107"/>
  <c r="V8" i="107"/>
  <c r="U8" i="107"/>
  <c r="R21" i="107"/>
  <c r="W21" i="107"/>
  <c r="M21" i="107"/>
  <c r="Q8" i="107"/>
  <c r="T8" i="107"/>
  <c r="N10" i="107"/>
  <c r="M8" i="107"/>
  <c r="S10" i="107"/>
  <c r="Q10" i="107"/>
  <c r="T10" i="107"/>
  <c r="P8" i="107"/>
  <c r="M10" i="107"/>
  <c r="S17" i="107"/>
  <c r="W18" i="107"/>
  <c r="AA18" i="107" s="1"/>
  <c r="P10" i="107"/>
  <c r="AA10" i="107" s="1"/>
  <c r="Q17" i="107"/>
  <c r="T17" i="107"/>
  <c r="Q21" i="107"/>
  <c r="T21" i="107"/>
  <c r="W8" i="107"/>
  <c r="N17" i="107"/>
  <c r="S8" i="107"/>
  <c r="S18" i="107"/>
  <c r="P17" i="107"/>
  <c r="P21" i="107"/>
  <c r="M18" i="107"/>
  <c r="P15" i="107"/>
  <c r="Q18" i="107"/>
  <c r="T18" i="107"/>
  <c r="P18" i="107"/>
  <c r="W16" i="107"/>
  <c r="M16" i="107"/>
  <c r="P11" i="107"/>
  <c r="M11" i="107"/>
  <c r="S11" i="107"/>
  <c r="S21" i="107"/>
  <c r="AA21" i="107" s="1"/>
  <c r="N20" i="107"/>
  <c r="Y16" i="107" l="1"/>
  <c r="Z16" i="107"/>
  <c r="AA16" i="107" s="1"/>
  <c r="Z8" i="107"/>
  <c r="Y8" i="107"/>
  <c r="Z17" i="107"/>
  <c r="Y17" i="107"/>
  <c r="AA17" i="107" s="1"/>
  <c r="Y11" i="107"/>
  <c r="Z11" i="107"/>
  <c r="AA12" i="107"/>
  <c r="AA14" i="107"/>
  <c r="AA4" i="107"/>
  <c r="F3" i="107"/>
  <c r="G3" i="107"/>
  <c r="H3" i="107"/>
  <c r="I3" i="107"/>
  <c r="J3" i="107"/>
  <c r="K3" i="107"/>
  <c r="B3" i="107"/>
  <c r="C3" i="107"/>
  <c r="D3" i="107"/>
  <c r="E3" i="107"/>
  <c r="AA11" i="107" l="1"/>
  <c r="AA8" i="107"/>
  <c r="AA20" i="107"/>
  <c r="Y2" i="107"/>
  <c r="Z2" i="107"/>
  <c r="C19" i="85" l="1"/>
  <c r="A19" i="85"/>
  <c r="D19" i="85" l="1"/>
  <c r="J11" i="108"/>
  <c r="J4" i="108"/>
  <c r="J22" i="108"/>
  <c r="J20" i="108"/>
  <c r="J16" i="108"/>
  <c r="J21" i="108"/>
  <c r="J13" i="108"/>
  <c r="J8" i="108"/>
  <c r="J18" i="108"/>
  <c r="J6" i="108"/>
  <c r="J5" i="108"/>
  <c r="J12" i="108"/>
  <c r="J7" i="108"/>
  <c r="J14" i="108"/>
  <c r="J15" i="108"/>
  <c r="J10" i="108"/>
  <c r="O19" i="49" l="1"/>
  <c r="O22" i="49"/>
  <c r="M9" i="106" l="1"/>
  <c r="M8" i="106"/>
  <c r="L3" i="106" l="1"/>
  <c r="L4" i="106"/>
  <c r="L5" i="106"/>
  <c r="L6" i="106"/>
  <c r="L7" i="106"/>
  <c r="L8" i="106"/>
  <c r="L9" i="106"/>
  <c r="L10" i="106"/>
  <c r="L11" i="106"/>
  <c r="L12" i="106"/>
  <c r="L2" i="106"/>
  <c r="C4" i="106"/>
  <c r="S5" i="106"/>
  <c r="C2" i="106"/>
  <c r="N13" i="105" l="1"/>
  <c r="T6" i="105"/>
  <c r="AQ6" i="32" l="1"/>
  <c r="AQ7" i="32"/>
  <c r="AQ8" i="32"/>
  <c r="AQ9" i="32"/>
  <c r="AQ23" i="32"/>
  <c r="AQ24" i="32"/>
  <c r="AQ10" i="32"/>
  <c r="AQ11" i="32"/>
  <c r="AQ25" i="32"/>
  <c r="AQ12" i="32"/>
  <c r="AQ26" i="32"/>
  <c r="AQ27" i="32"/>
  <c r="AQ5" i="32"/>
  <c r="AQ4" i="32"/>
  <c r="J23" i="108" l="1"/>
  <c r="P3" i="96" l="1"/>
  <c r="Q3" i="94" l="1"/>
  <c r="P3" i="94"/>
  <c r="M37" i="94" s="1"/>
  <c r="O3" i="94"/>
  <c r="L37" i="94" s="1"/>
  <c r="N3" i="94"/>
  <c r="K37" i="94" s="1"/>
  <c r="M3" i="94"/>
  <c r="J37" i="94" s="1"/>
  <c r="L3" i="94"/>
  <c r="I37" i="94" s="1"/>
  <c r="K3" i="94"/>
  <c r="H37" i="94" s="1"/>
  <c r="J3" i="94"/>
  <c r="G37" i="94" s="1"/>
  <c r="F3" i="94"/>
  <c r="B3" i="94"/>
  <c r="B37" i="94" s="1"/>
  <c r="A3" i="94"/>
  <c r="A37" i="94" s="1"/>
  <c r="O4" i="86"/>
  <c r="Y4" i="86" s="1"/>
  <c r="N4" i="86"/>
  <c r="X4" i="86" s="1"/>
  <c r="M4" i="86"/>
  <c r="W4" i="86" s="1"/>
  <c r="L4" i="86"/>
  <c r="V4" i="86" s="1"/>
  <c r="K4" i="86"/>
  <c r="U4" i="86" s="1"/>
  <c r="J4" i="86"/>
  <c r="T4" i="86" s="1"/>
  <c r="I4" i="86"/>
  <c r="S4" i="86" s="1"/>
  <c r="H4" i="86"/>
  <c r="D4" i="86"/>
  <c r="C4" i="86"/>
  <c r="X2" i="32"/>
  <c r="BU37" i="94" l="1"/>
  <c r="BG37" i="94"/>
  <c r="BQ37" i="94"/>
  <c r="AE37" i="94"/>
  <c r="BV37" i="94"/>
  <c r="BL37" i="94"/>
  <c r="AA37" i="94"/>
  <c r="AC37" i="94" s="1"/>
  <c r="AU37" i="94"/>
  <c r="BB37" i="94"/>
  <c r="BA37" i="94"/>
  <c r="AF37" i="94"/>
  <c r="AT37" i="94"/>
  <c r="AV37" i="94" s="1"/>
  <c r="AB37" i="94"/>
  <c r="X37" i="94"/>
  <c r="BK37" i="94"/>
  <c r="AJ37" i="94"/>
  <c r="W37" i="94"/>
  <c r="Y37" i="94" s="1"/>
  <c r="BF37" i="94"/>
  <c r="AN37" i="94"/>
  <c r="AM37" i="94"/>
  <c r="AO37" i="94" s="1"/>
  <c r="BP37" i="94"/>
  <c r="AI37" i="94"/>
  <c r="BX37" i="94"/>
  <c r="BS37" i="94"/>
  <c r="BI37" i="94"/>
  <c r="BD37" i="94"/>
  <c r="CA37" i="94"/>
  <c r="CC37" i="94" s="1"/>
  <c r="AH37" i="94"/>
  <c r="BN37" i="94"/>
  <c r="T37" i="94"/>
  <c r="V37" i="94" s="1"/>
  <c r="U37" i="94"/>
  <c r="BR37" i="94"/>
  <c r="BW37" i="94"/>
  <c r="BM37" i="94"/>
  <c r="Z37" i="94"/>
  <c r="BC37" i="94"/>
  <c r="CG37" i="94"/>
  <c r="AP37" i="94"/>
  <c r="BZ37" i="94"/>
  <c r="AG37" i="94"/>
  <c r="AW37" i="94"/>
  <c r="AD37" i="94"/>
  <c r="BH37" i="94"/>
  <c r="Q37" i="94"/>
  <c r="CD37" i="94"/>
  <c r="CF37" i="94" s="1"/>
  <c r="AY37" i="94"/>
  <c r="P37" i="94"/>
  <c r="AR37" i="94"/>
  <c r="CE37" i="94"/>
  <c r="O37" i="94"/>
  <c r="AL37" i="94" s="1"/>
  <c r="BT37" i="94"/>
  <c r="BE37" i="94"/>
  <c r="BY37" i="94"/>
  <c r="CB37" i="94"/>
  <c r="BO37" i="94"/>
  <c r="BJ37" i="94"/>
  <c r="AX37" i="94"/>
  <c r="AZ37" i="94" s="1"/>
  <c r="AQ37" i="94"/>
  <c r="AS37" i="94" s="1"/>
  <c r="J2" i="106"/>
  <c r="N37" i="94"/>
  <c r="AF3" i="94"/>
  <c r="S3" i="94"/>
  <c r="H3" i="105"/>
  <c r="G2" i="106"/>
  <c r="C3" i="105"/>
  <c r="B2" i="106"/>
  <c r="E3" i="105"/>
  <c r="D2" i="106"/>
  <c r="I3" i="105"/>
  <c r="H2" i="106"/>
  <c r="F3" i="105"/>
  <c r="E2" i="106"/>
  <c r="J3" i="105"/>
  <c r="I2" i="106"/>
  <c r="G3" i="105"/>
  <c r="F2" i="106"/>
  <c r="BX3" i="94"/>
  <c r="BT3" i="94"/>
  <c r="BU3" i="94"/>
  <c r="BW3" i="94"/>
  <c r="BV3" i="94"/>
  <c r="K3" i="105"/>
  <c r="S37" i="94" l="1"/>
  <c r="AK37" i="94"/>
  <c r="R37" i="94"/>
  <c r="W4" i="32"/>
  <c r="S4" i="32"/>
  <c r="R4" i="32"/>
  <c r="E2" i="83" s="1"/>
  <c r="N4" i="32"/>
  <c r="L4" i="32"/>
  <c r="K4" i="32"/>
  <c r="F2" i="83" l="1"/>
  <c r="J1" i="96" l="1"/>
  <c r="K1" i="96"/>
  <c r="AD27" i="96" l="1"/>
  <c r="AD15" i="96"/>
  <c r="AD21" i="96"/>
  <c r="AD9" i="96"/>
  <c r="AF27" i="96"/>
  <c r="AF15" i="96"/>
  <c r="AF21" i="96"/>
  <c r="AF9" i="96"/>
  <c r="AF10" i="96"/>
  <c r="AF3" i="96"/>
  <c r="AF16" i="96"/>
  <c r="AF22" i="96"/>
  <c r="AF4" i="96"/>
  <c r="D1" i="96" l="1"/>
  <c r="E1" i="96"/>
  <c r="F1" i="96"/>
  <c r="G1" i="96"/>
  <c r="H1" i="96"/>
  <c r="I1" i="96"/>
  <c r="L1" i="96"/>
  <c r="C1" i="96"/>
  <c r="T16" i="96" l="1"/>
  <c r="T10" i="96"/>
  <c r="T22" i="96"/>
  <c r="R16" i="96"/>
  <c r="R10" i="96"/>
  <c r="R22" i="96"/>
  <c r="AB25" i="96"/>
  <c r="AB13" i="96"/>
  <c r="AB24" i="96"/>
  <c r="AB18" i="96"/>
  <c r="AB12" i="96"/>
  <c r="AB6" i="96"/>
  <c r="AB19" i="96"/>
  <c r="AB7" i="96"/>
  <c r="X25" i="96"/>
  <c r="X19" i="96"/>
  <c r="X13" i="96"/>
  <c r="X7" i="96"/>
  <c r="X24" i="96"/>
  <c r="X12" i="96"/>
  <c r="X18" i="96"/>
  <c r="X6" i="96"/>
  <c r="Z18" i="96"/>
  <c r="Z6" i="96"/>
  <c r="Z19" i="96"/>
  <c r="Z7" i="96"/>
  <c r="Z24" i="96"/>
  <c r="Z12" i="96"/>
  <c r="Z25" i="96"/>
  <c r="Z13" i="96"/>
  <c r="V23" i="96"/>
  <c r="V17" i="96"/>
  <c r="V11" i="96"/>
  <c r="V5" i="96"/>
  <c r="T3" i="96"/>
  <c r="T4" i="96"/>
  <c r="P10" i="96"/>
  <c r="P4" i="96"/>
  <c r="P22" i="96"/>
  <c r="P16" i="96"/>
  <c r="R4" i="96"/>
  <c r="R3" i="96"/>
  <c r="AS28" i="86" l="1"/>
  <c r="AT28" i="86"/>
  <c r="AS26" i="86"/>
  <c r="AT26" i="86"/>
  <c r="AN26" i="86"/>
  <c r="AS24" i="86"/>
  <c r="AT24" i="86"/>
  <c r="AS22" i="86"/>
  <c r="AT22" i="86"/>
  <c r="AO22" i="86"/>
  <c r="R5" i="32" l="1"/>
  <c r="E3" i="83" s="1"/>
  <c r="S5" i="32"/>
  <c r="F3" i="83" s="1"/>
  <c r="R6" i="32"/>
  <c r="E4" i="83" s="1"/>
  <c r="C30" i="83" s="1"/>
  <c r="I30" i="83" s="1"/>
  <c r="S6" i="32"/>
  <c r="F4" i="83" s="1"/>
  <c r="D30" i="83" s="1"/>
  <c r="J30" i="83" s="1"/>
  <c r="R7" i="32"/>
  <c r="E5" i="83" s="1"/>
  <c r="C33" i="83" s="1"/>
  <c r="S7" i="32"/>
  <c r="F5" i="83" s="1"/>
  <c r="D33" i="83" s="1"/>
  <c r="R8" i="32"/>
  <c r="E6" i="83" s="1"/>
  <c r="S8" i="32"/>
  <c r="F6" i="83" s="1"/>
  <c r="R9" i="32"/>
  <c r="E7" i="83" s="1"/>
  <c r="C29" i="83" s="1"/>
  <c r="I29" i="83" s="1"/>
  <c r="S9" i="32"/>
  <c r="F7" i="83" s="1"/>
  <c r="D29" i="83" s="1"/>
  <c r="J29" i="83" s="1"/>
  <c r="R23" i="32"/>
  <c r="E21" i="83" s="1"/>
  <c r="S23" i="32"/>
  <c r="F21" i="83" s="1"/>
  <c r="R24" i="32"/>
  <c r="E22" i="83" s="1"/>
  <c r="S24" i="32"/>
  <c r="F22" i="83" s="1"/>
  <c r="R10" i="32"/>
  <c r="E8" i="83" s="1"/>
  <c r="C31" i="83" s="1"/>
  <c r="I31" i="83" s="1"/>
  <c r="S10" i="32"/>
  <c r="F8" i="83" s="1"/>
  <c r="D31" i="83" s="1"/>
  <c r="J31" i="83" s="1"/>
  <c r="R11" i="32"/>
  <c r="E9" i="83" s="1"/>
  <c r="C32" i="83" s="1"/>
  <c r="I32" i="83" s="1"/>
  <c r="S11" i="32"/>
  <c r="F9" i="83" s="1"/>
  <c r="D32" i="83" s="1"/>
  <c r="J32" i="83" s="1"/>
  <c r="R25" i="32"/>
  <c r="E23" i="83" s="1"/>
  <c r="S25" i="32"/>
  <c r="F23" i="83" s="1"/>
  <c r="R12" i="32"/>
  <c r="E10" i="83" s="1"/>
  <c r="S12" i="32"/>
  <c r="F10" i="83" s="1"/>
  <c r="R26" i="32"/>
  <c r="E24" i="83" s="1"/>
  <c r="S26" i="32"/>
  <c r="F24" i="83" s="1"/>
  <c r="R27" i="32"/>
  <c r="E25" i="83" s="1"/>
  <c r="S27" i="32"/>
  <c r="F25" i="83" s="1"/>
  <c r="S2" i="32" l="1"/>
  <c r="R2" i="32"/>
  <c r="D6" i="106"/>
  <c r="J6" i="106"/>
  <c r="D5" i="106"/>
  <c r="F5" i="106"/>
  <c r="G5" i="106"/>
  <c r="J5" i="106"/>
  <c r="J4" i="106"/>
  <c r="J7" i="106"/>
  <c r="J10" i="106"/>
  <c r="J11" i="106"/>
  <c r="J9" i="106"/>
  <c r="J8" i="106"/>
  <c r="E8" i="105"/>
  <c r="G8" i="105"/>
  <c r="H8" i="105"/>
  <c r="G3" i="94"/>
  <c r="H3" i="94"/>
  <c r="B6" i="106"/>
  <c r="C6" i="106"/>
  <c r="B5" i="106"/>
  <c r="C8" i="105"/>
  <c r="G12" i="106" l="1"/>
  <c r="H13" i="105"/>
  <c r="B12" i="106"/>
  <c r="C13" i="105"/>
  <c r="C12" i="106"/>
  <c r="D13" i="105"/>
  <c r="E13" i="105"/>
  <c r="D12" i="106"/>
  <c r="K13" i="105"/>
  <c r="J12" i="106"/>
  <c r="D6" i="105"/>
  <c r="C3" i="106"/>
  <c r="F3" i="106"/>
  <c r="G6" i="105"/>
  <c r="B3" i="106"/>
  <c r="C6" i="105"/>
  <c r="D3" i="106"/>
  <c r="E6" i="105"/>
  <c r="H6" i="105"/>
  <c r="G3" i="106"/>
  <c r="D11" i="105"/>
  <c r="C10" i="106"/>
  <c r="H5" i="105"/>
  <c r="H9" i="105"/>
  <c r="G8" i="106"/>
  <c r="G11" i="106"/>
  <c r="H11" i="105"/>
  <c r="G10" i="106"/>
  <c r="H10" i="105"/>
  <c r="G7" i="106"/>
  <c r="F4" i="106"/>
  <c r="F6" i="106"/>
  <c r="C11" i="106"/>
  <c r="B4" i="106"/>
  <c r="G5" i="105"/>
  <c r="G7" i="105"/>
  <c r="F9" i="106"/>
  <c r="G11" i="105"/>
  <c r="F10" i="106"/>
  <c r="E4" i="105"/>
  <c r="C12" i="105"/>
  <c r="C5" i="105"/>
  <c r="D7" i="105"/>
  <c r="C9" i="106"/>
  <c r="C11" i="105"/>
  <c r="B10" i="106"/>
  <c r="H12" i="105"/>
  <c r="E5" i="105"/>
  <c r="E9" i="105"/>
  <c r="D8" i="106"/>
  <c r="E7" i="105"/>
  <c r="D9" i="106"/>
  <c r="D11" i="106"/>
  <c r="E11" i="105"/>
  <c r="D10" i="106"/>
  <c r="E10" i="105"/>
  <c r="D7" i="106"/>
  <c r="D12" i="105"/>
  <c r="C7" i="105"/>
  <c r="B9" i="106"/>
  <c r="E12" i="105"/>
  <c r="H7" i="105"/>
  <c r="G9" i="106"/>
  <c r="G4" i="105"/>
  <c r="C9" i="105"/>
  <c r="B8" i="106"/>
  <c r="G9" i="105"/>
  <c r="F8" i="106"/>
  <c r="F11" i="106"/>
  <c r="Q11" i="106"/>
  <c r="G10" i="105"/>
  <c r="F7" i="106"/>
  <c r="D4" i="106"/>
  <c r="D9" i="105"/>
  <c r="C8" i="106"/>
  <c r="B11" i="106"/>
  <c r="D10" i="105"/>
  <c r="C7" i="106"/>
  <c r="C4" i="105"/>
  <c r="G12" i="105"/>
  <c r="G4" i="106"/>
  <c r="H4" i="105"/>
  <c r="G6" i="106"/>
  <c r="C10" i="105"/>
  <c r="B7" i="106"/>
  <c r="R10" i="105"/>
  <c r="K4" i="105"/>
  <c r="K12" i="105"/>
  <c r="K8" i="105"/>
  <c r="K5" i="105"/>
  <c r="K9" i="105"/>
  <c r="K7" i="105"/>
  <c r="K11" i="105"/>
  <c r="K10" i="105"/>
  <c r="Q4" i="106"/>
  <c r="Q6" i="106"/>
  <c r="Q7" i="106"/>
  <c r="R8" i="105"/>
  <c r="AO3" i="94"/>
  <c r="V3" i="94"/>
  <c r="W3" i="94" s="1"/>
  <c r="CK3" i="94"/>
  <c r="BL3" i="94"/>
  <c r="BG3" i="94"/>
  <c r="CA3" i="94"/>
  <c r="CD3" i="94"/>
  <c r="BQ3" i="94"/>
  <c r="AT3" i="94"/>
  <c r="AK3" i="94"/>
  <c r="AD3" i="94"/>
  <c r="BA3" i="94"/>
  <c r="AH3" i="94"/>
  <c r="T7" i="106"/>
  <c r="Q5" i="106"/>
  <c r="AL3" i="94"/>
  <c r="U6" i="105" l="1"/>
  <c r="R3" i="106"/>
  <c r="Q3" i="106"/>
  <c r="R6" i="105"/>
  <c r="S4" i="105"/>
  <c r="R11" i="105"/>
  <c r="Q10" i="106"/>
  <c r="R4" i="105"/>
  <c r="R12" i="105"/>
  <c r="R5" i="105"/>
  <c r="R9" i="105"/>
  <c r="Q8" i="106"/>
  <c r="R7" i="105"/>
  <c r="Q9" i="106"/>
  <c r="J3" i="106" l="1"/>
  <c r="K6" i="105"/>
  <c r="I3" i="106" l="1"/>
  <c r="J6" i="105"/>
  <c r="I5" i="106"/>
  <c r="J8" i="105"/>
  <c r="I6" i="106"/>
  <c r="J9" i="105"/>
  <c r="I8" i="106"/>
  <c r="J5" i="105"/>
  <c r="J12" i="105"/>
  <c r="J4" i="105"/>
  <c r="J7" i="105"/>
  <c r="I9" i="106"/>
  <c r="I11" i="106"/>
  <c r="I4" i="106"/>
  <c r="J10" i="105"/>
  <c r="I7" i="106"/>
  <c r="J11" i="105"/>
  <c r="I10" i="106"/>
  <c r="V5" i="106"/>
  <c r="T3" i="94"/>
  <c r="V2" i="106" s="1"/>
  <c r="V8" i="106"/>
  <c r="V4" i="106"/>
  <c r="V9" i="106"/>
  <c r="V6" i="106"/>
  <c r="W6" i="105" l="1"/>
  <c r="V3" i="106"/>
  <c r="V11" i="106"/>
  <c r="V10" i="106"/>
  <c r="W11" i="105"/>
  <c r="W12" i="105"/>
  <c r="V7" i="106"/>
  <c r="W10" i="105"/>
  <c r="W9" i="105"/>
  <c r="W7" i="105"/>
  <c r="W8" i="105"/>
  <c r="W3" i="105"/>
  <c r="W5" i="105"/>
  <c r="W4" i="105"/>
  <c r="A7" i="85" l="1"/>
  <c r="I12" i="106" l="1"/>
  <c r="J13" i="105"/>
  <c r="AS27" i="86"/>
  <c r="AT27" i="86"/>
  <c r="AN25" i="86"/>
  <c r="AS25" i="86"/>
  <c r="AT25" i="86"/>
  <c r="AO23" i="86"/>
  <c r="AS23" i="86"/>
  <c r="AT23" i="86"/>
  <c r="V12" i="106" l="1"/>
  <c r="V13" i="106" s="1"/>
  <c r="W13" i="105"/>
  <c r="W14" i="105" s="1"/>
  <c r="AN18" i="86"/>
  <c r="AO18" i="86"/>
  <c r="AP18" i="86"/>
  <c r="AS18" i="86"/>
  <c r="AT18" i="86"/>
  <c r="I13" i="105" l="1"/>
  <c r="H12" i="106"/>
  <c r="H6" i="106"/>
  <c r="AV3" i="94"/>
  <c r="H5" i="106"/>
  <c r="R12" i="106" l="1"/>
  <c r="T12" i="106" s="1"/>
  <c r="S13" i="105"/>
  <c r="U13" i="105" s="1"/>
  <c r="S12" i="106"/>
  <c r="T13" i="105"/>
  <c r="H3" i="106"/>
  <c r="I6" i="105"/>
  <c r="H7" i="106"/>
  <c r="S10" i="105"/>
  <c r="T10" i="105"/>
  <c r="H10" i="106"/>
  <c r="H4" i="106"/>
  <c r="H8" i="106"/>
  <c r="H9" i="106"/>
  <c r="I11" i="105"/>
  <c r="I7" i="105"/>
  <c r="I8" i="105"/>
  <c r="I4" i="105"/>
  <c r="I12" i="105"/>
  <c r="I10" i="105"/>
  <c r="I9" i="105"/>
  <c r="T8" i="105"/>
  <c r="BS3" i="94"/>
  <c r="BM3" i="94"/>
  <c r="BN3" i="94"/>
  <c r="BC3" i="94"/>
  <c r="AU3" i="94"/>
  <c r="AW3" i="94" s="1"/>
  <c r="CC3" i="94"/>
  <c r="BI3" i="94"/>
  <c r="CI3" i="94"/>
  <c r="BB3" i="94"/>
  <c r="BD3" i="94" s="1"/>
  <c r="BR3" i="94"/>
  <c r="CE3" i="94"/>
  <c r="CG3" i="94" s="1"/>
  <c r="CH3" i="94"/>
  <c r="CJ3" i="94" s="1"/>
  <c r="BH3" i="94"/>
  <c r="CF3" i="94"/>
  <c r="CB3" i="94"/>
  <c r="F13" i="105" l="1"/>
  <c r="E12" i="106"/>
  <c r="F6" i="105"/>
  <c r="E3" i="106"/>
  <c r="E4" i="106"/>
  <c r="T7" i="105"/>
  <c r="S9" i="106"/>
  <c r="F7" i="105"/>
  <c r="E9" i="106"/>
  <c r="T9" i="105"/>
  <c r="S8" i="106"/>
  <c r="S7" i="105"/>
  <c r="T9" i="106"/>
  <c r="T11" i="105"/>
  <c r="S10" i="106"/>
  <c r="F11" i="105"/>
  <c r="E10" i="106"/>
  <c r="F5" i="105"/>
  <c r="U11" i="105"/>
  <c r="R10" i="106"/>
  <c r="U9" i="105"/>
  <c r="R8" i="106"/>
  <c r="F9" i="105"/>
  <c r="E8" i="106"/>
  <c r="E6" i="106"/>
  <c r="E11" i="106"/>
  <c r="P11" i="106"/>
  <c r="O11" i="106"/>
  <c r="F8" i="105"/>
  <c r="F12" i="105"/>
  <c r="T12" i="105"/>
  <c r="S12" i="105"/>
  <c r="U12" i="105" s="1"/>
  <c r="S8" i="105"/>
  <c r="U8" i="105" s="1"/>
  <c r="R3" i="94"/>
  <c r="Y3" i="94"/>
  <c r="BO3" i="94"/>
  <c r="AM3" i="94"/>
  <c r="AY3" i="94"/>
  <c r="AJ3" i="94"/>
  <c r="AX3" i="94"/>
  <c r="AZ3" i="94" s="1"/>
  <c r="BK3" i="94"/>
  <c r="AA3" i="94"/>
  <c r="AC3" i="94" s="1"/>
  <c r="BJ3" i="94"/>
  <c r="AR3" i="94"/>
  <c r="BZ3" i="94"/>
  <c r="BY3" i="94"/>
  <c r="AE3" i="94"/>
  <c r="AG3" i="94" s="1"/>
  <c r="AB3" i="94"/>
  <c r="X3" i="94"/>
  <c r="N2" i="106" s="1"/>
  <c r="BE3" i="94"/>
  <c r="BP3" i="94"/>
  <c r="AI3" i="94"/>
  <c r="U3" i="94"/>
  <c r="W2" i="106" s="1"/>
  <c r="BF3" i="94"/>
  <c r="AN3" i="94"/>
  <c r="AQ3" i="94"/>
  <c r="AS3" i="94" s="1"/>
  <c r="W6" i="106"/>
  <c r="O6" i="106"/>
  <c r="P6" i="106"/>
  <c r="U6" i="106"/>
  <c r="E5" i="106"/>
  <c r="W4" i="106"/>
  <c r="O4" i="106"/>
  <c r="N4" i="106"/>
  <c r="U4" i="106"/>
  <c r="P8" i="105"/>
  <c r="W9" i="106"/>
  <c r="W8" i="106"/>
  <c r="W12" i="106" l="1"/>
  <c r="X13" i="105"/>
  <c r="X6" i="105"/>
  <c r="W3" i="106"/>
  <c r="Q6" i="105"/>
  <c r="N3" i="106"/>
  <c r="O3" i="106"/>
  <c r="P6" i="105"/>
  <c r="U3" i="106"/>
  <c r="V6" i="105"/>
  <c r="Q11" i="105"/>
  <c r="N10" i="106"/>
  <c r="P7" i="105"/>
  <c r="O9" i="106"/>
  <c r="P5" i="105"/>
  <c r="F4" i="105"/>
  <c r="O7" i="105"/>
  <c r="P9" i="106"/>
  <c r="P9" i="105"/>
  <c r="O8" i="106"/>
  <c r="W11" i="106"/>
  <c r="W10" i="106"/>
  <c r="X11" i="105"/>
  <c r="P11" i="105"/>
  <c r="O10" i="106"/>
  <c r="Q9" i="105"/>
  <c r="N8" i="106"/>
  <c r="F10" i="105"/>
  <c r="E7" i="106"/>
  <c r="O10" i="105"/>
  <c r="P10" i="105"/>
  <c r="X12" i="105"/>
  <c r="P3" i="105"/>
  <c r="O2" i="106"/>
  <c r="X9" i="105"/>
  <c r="O8" i="105"/>
  <c r="Q8" i="105" s="1"/>
  <c r="X5" i="105"/>
  <c r="X8" i="105"/>
  <c r="R4" i="106"/>
  <c r="R13" i="106" s="1"/>
  <c r="R14" i="106" s="1"/>
  <c r="X3" i="105"/>
  <c r="AP3" i="94"/>
  <c r="X7" i="105"/>
  <c r="O5" i="105"/>
  <c r="Q5" i="105" s="1"/>
  <c r="T6" i="106"/>
  <c r="Z3" i="94"/>
  <c r="O3" i="105"/>
  <c r="O7" i="106"/>
  <c r="P7" i="106"/>
  <c r="U7" i="106"/>
  <c r="O5" i="106"/>
  <c r="W5" i="106"/>
  <c r="U5" i="106"/>
  <c r="N5" i="106" l="1"/>
  <c r="P5" i="106" s="1"/>
  <c r="Q3" i="105"/>
  <c r="Q14" i="105" s="1"/>
  <c r="Q15" i="105" s="1"/>
  <c r="P2" i="106"/>
  <c r="P4" i="105"/>
  <c r="P14" i="105" s="1"/>
  <c r="P15" i="105" s="1"/>
  <c r="P17" i="105" s="1"/>
  <c r="O13" i="106"/>
  <c r="O14" i="106" s="1"/>
  <c r="R15" i="106"/>
  <c r="R16" i="106"/>
  <c r="W7" i="106"/>
  <c r="W13" i="106" s="1"/>
  <c r="X10" i="105"/>
  <c r="O4" i="105"/>
  <c r="O14" i="105" s="1"/>
  <c r="O15" i="105" s="1"/>
  <c r="X4" i="105"/>
  <c r="V4" i="105"/>
  <c r="X14" i="105" l="1"/>
  <c r="P16" i="105"/>
  <c r="O16" i="106"/>
  <c r="O15" i="106"/>
  <c r="P13" i="106"/>
  <c r="P14" i="106" s="1"/>
  <c r="N13" i="106"/>
  <c r="N14" i="106" s="1"/>
  <c r="O17" i="105"/>
  <c r="O16" i="105"/>
  <c r="Q16" i="105"/>
  <c r="Q17" i="105"/>
  <c r="G13" i="105" l="1"/>
  <c r="F12" i="106"/>
  <c r="N16" i="106"/>
  <c r="N15" i="106"/>
  <c r="P15" i="106"/>
  <c r="P16" i="106"/>
  <c r="H11" i="106"/>
  <c r="S11" i="106"/>
  <c r="S13" i="106" s="1"/>
  <c r="S14" i="106" s="1"/>
  <c r="T11" i="106"/>
  <c r="T13" i="106" s="1"/>
  <c r="T14" i="106" s="1"/>
  <c r="I5" i="105"/>
  <c r="T14" i="105"/>
  <c r="T15" i="105" s="1"/>
  <c r="U13" i="106"/>
  <c r="Q12" i="106" l="1"/>
  <c r="Q13" i="106" s="1"/>
  <c r="Q14" i="106" s="1"/>
  <c r="Q15" i="106" s="1"/>
  <c r="Q16" i="106" s="1"/>
  <c r="R13" i="105"/>
  <c r="R14" i="105" s="1"/>
  <c r="R15" i="105" s="1"/>
  <c r="R16" i="105" s="1"/>
  <c r="R17" i="105" s="1"/>
  <c r="I34" i="83"/>
  <c r="C34" i="83"/>
  <c r="T15" i="106"/>
  <c r="T16" i="106"/>
  <c r="T17" i="105"/>
  <c r="T16" i="105"/>
  <c r="S15" i="106"/>
  <c r="S16" i="106"/>
  <c r="V5" i="105"/>
  <c r="V14" i="105" s="1"/>
  <c r="U14" i="105" l="1"/>
  <c r="U15" i="105" s="1"/>
  <c r="S14" i="105"/>
  <c r="S15" i="105" s="1"/>
  <c r="D34" i="83"/>
  <c r="J34" i="83"/>
  <c r="S17" i="105" l="1"/>
  <c r="S16" i="105"/>
  <c r="U16" i="105"/>
  <c r="U17" i="105"/>
  <c r="O17" i="49" l="1"/>
  <c r="H3" i="76" l="1"/>
  <c r="S3" i="76" s="1"/>
  <c r="Q18" i="76" l="1"/>
  <c r="Z3" i="76"/>
  <c r="V4" i="85" l="1"/>
  <c r="N5" i="32"/>
  <c r="N6" i="32"/>
  <c r="N7" i="32"/>
  <c r="N8" i="32"/>
  <c r="N9" i="32"/>
  <c r="N23" i="32"/>
  <c r="N24" i="32"/>
  <c r="N10" i="32"/>
  <c r="N11" i="32"/>
  <c r="N25" i="32"/>
  <c r="N12" i="32"/>
  <c r="N26" i="32"/>
  <c r="N27" i="32"/>
  <c r="O8" i="49" l="1"/>
  <c r="O21" i="49"/>
  <c r="BA6" i="86" l="1"/>
  <c r="AZ6" i="86"/>
  <c r="BA5" i="86"/>
  <c r="AZ5" i="86"/>
  <c r="BA4" i="86"/>
  <c r="AZ4" i="86"/>
  <c r="BA3" i="86"/>
  <c r="AZ3" i="86"/>
  <c r="BA2" i="86"/>
  <c r="AZ2" i="86"/>
  <c r="P4" i="86" l="1"/>
  <c r="P5" i="86"/>
  <c r="C2" i="86"/>
  <c r="AS7" i="86" l="1"/>
  <c r="AS6" i="86"/>
  <c r="AS20" i="86"/>
  <c r="Z5" i="86"/>
  <c r="AD5" i="86"/>
  <c r="Z4" i="86"/>
  <c r="AD4" i="86"/>
  <c r="AA5" i="86"/>
  <c r="AE5" i="86"/>
  <c r="AA4" i="86"/>
  <c r="AE4" i="86"/>
  <c r="AB5" i="86"/>
  <c r="AF5" i="86"/>
  <c r="AB4" i="86"/>
  <c r="AF4" i="86"/>
  <c r="AC5" i="86"/>
  <c r="AC4" i="86"/>
  <c r="R4" i="86"/>
  <c r="R2" i="85"/>
  <c r="Q4" i="85"/>
  <c r="T4" i="85" s="1"/>
  <c r="U4" i="85" s="1"/>
  <c r="A9" i="85"/>
  <c r="A10" i="85" s="1"/>
  <c r="Q2" i="85"/>
  <c r="J4" i="85"/>
  <c r="I4" i="85"/>
  <c r="J2" i="85"/>
  <c r="I2" i="85"/>
  <c r="AQ6" i="86" l="1"/>
  <c r="AQ7" i="86"/>
  <c r="AN5" i="86"/>
  <c r="AN19" i="86"/>
  <c r="AT7" i="86"/>
  <c r="AR7" i="86"/>
  <c r="AT19" i="86"/>
  <c r="AT6" i="86"/>
  <c r="AR6" i="86"/>
  <c r="AQ5" i="86"/>
  <c r="AQ19" i="86" s="1"/>
  <c r="AT5" i="86"/>
  <c r="AT21" i="86" s="1"/>
  <c r="AR5" i="86"/>
  <c r="AR19" i="86" s="1"/>
  <c r="AR4" i="86"/>
  <c r="W18" i="76"/>
  <c r="AR12" i="86"/>
  <c r="AR11" i="86"/>
  <c r="AQ10" i="86"/>
  <c r="AQ24" i="86" s="1"/>
  <c r="AQ8" i="86"/>
  <c r="AQ14" i="86"/>
  <c r="AR10" i="86"/>
  <c r="AR20" i="86"/>
  <c r="AR14" i="86"/>
  <c r="AR9" i="86"/>
  <c r="AQ11" i="86"/>
  <c r="AQ12" i="86"/>
  <c r="AQ9" i="86"/>
  <c r="AQ13" i="86"/>
  <c r="AQ20" i="86"/>
  <c r="AT20" i="86"/>
  <c r="AP20" i="86"/>
  <c r="T2" i="85"/>
  <c r="U2" i="85" s="1"/>
  <c r="AP14" i="86"/>
  <c r="AP28" i="86" s="1"/>
  <c r="AP12" i="86"/>
  <c r="R4" i="85"/>
  <c r="AQ21" i="86" l="1"/>
  <c r="AP26" i="86"/>
  <c r="AR8" i="86"/>
  <c r="AR26" i="86"/>
  <c r="AR18" i="86"/>
  <c r="AQ22" i="86"/>
  <c r="AQ28" i="86"/>
  <c r="AR28" i="86"/>
  <c r="AS21" i="86"/>
  <c r="AQ27" i="86"/>
  <c r="AQ23" i="86"/>
  <c r="AQ26" i="86"/>
  <c r="AR21" i="86"/>
  <c r="AQ25" i="86"/>
  <c r="AQ18" i="86"/>
  <c r="AQ2" i="86"/>
  <c r="AM2" i="86"/>
  <c r="AS2" i="86"/>
  <c r="AN10" i="86"/>
  <c r="AN24" i="86" s="1"/>
  <c r="AR24" i="86"/>
  <c r="AP10" i="86"/>
  <c r="AP24" i="86" s="1"/>
  <c r="AP8" i="86"/>
  <c r="AP13" i="86"/>
  <c r="AN8" i="86"/>
  <c r="AN22" i="86" s="1"/>
  <c r="AK10" i="86"/>
  <c r="AK25" i="86" s="1"/>
  <c r="AN9" i="86"/>
  <c r="AP9" i="86"/>
  <c r="AP11" i="86"/>
  <c r="AT2" i="86"/>
  <c r="AR22" i="86" l="1"/>
  <c r="AQ16" i="86"/>
  <c r="AJ2" i="86"/>
  <c r="AL16" i="86"/>
  <c r="AJ16" i="86"/>
  <c r="AM16" i="86"/>
  <c r="AP2" i="86"/>
  <c r="AP22" i="86"/>
  <c r="AK2" i="86"/>
  <c r="AL2" i="86"/>
  <c r="AO10" i="86"/>
  <c r="AR23" i="86"/>
  <c r="AP25" i="86"/>
  <c r="AR25" i="86"/>
  <c r="AP23" i="86"/>
  <c r="AP27" i="86"/>
  <c r="AN23" i="86"/>
  <c r="AK16" i="86"/>
  <c r="AP16" i="86" l="1"/>
  <c r="AO24" i="86"/>
  <c r="AO7" i="86"/>
  <c r="AO11" i="86" l="1"/>
  <c r="AO25" i="86" s="1"/>
  <c r="AO21" i="86"/>
  <c r="AN20" i="86"/>
  <c r="AN13" i="86"/>
  <c r="AN27" i="86" s="1"/>
  <c r="AO12" i="86"/>
  <c r="AN14" i="86"/>
  <c r="AN28" i="86" s="1"/>
  <c r="AN2" i="86" l="1"/>
  <c r="AO26" i="86"/>
  <c r="AO20" i="86"/>
  <c r="AN16" i="86"/>
  <c r="AO13" i="86"/>
  <c r="AO14" i="86"/>
  <c r="AO28" i="86" s="1"/>
  <c r="AO2" i="86" l="1"/>
  <c r="AO27" i="86"/>
  <c r="AO16" i="86" s="1"/>
  <c r="B28" i="83" l="1"/>
  <c r="H28" i="83" s="1"/>
  <c r="X18" i="76" l="1"/>
  <c r="W14" i="76"/>
  <c r="X14" i="76" l="1"/>
  <c r="O13" i="49"/>
  <c r="O10" i="49" l="1"/>
  <c r="O14" i="49"/>
  <c r="O26" i="49"/>
  <c r="O16" i="49"/>
  <c r="O15" i="49"/>
  <c r="O18" i="49"/>
  <c r="O7" i="49"/>
  <c r="O12" i="49"/>
  <c r="O9" i="49"/>
  <c r="O6" i="49"/>
  <c r="W27" i="32"/>
  <c r="K27" i="32"/>
  <c r="L27" i="32"/>
  <c r="E3" i="76"/>
  <c r="P3" i="76" s="1"/>
  <c r="W3" i="76" s="1"/>
  <c r="W24" i="32"/>
  <c r="L24" i="32"/>
  <c r="K24" i="32"/>
  <c r="I3" i="76" l="1"/>
  <c r="F3" i="76"/>
  <c r="Q3" i="76" s="1"/>
  <c r="X3" i="76" s="1"/>
  <c r="W16" i="76" l="1"/>
  <c r="W17" i="76" s="1"/>
  <c r="W19" i="76"/>
  <c r="W20" i="76" s="1"/>
  <c r="Q19" i="76"/>
  <c r="Q20" i="76" s="1"/>
  <c r="J3" i="76"/>
  <c r="P19" i="76"/>
  <c r="P20" i="76" s="1"/>
  <c r="P16" i="76"/>
  <c r="P17" i="76" s="1"/>
  <c r="P14" i="76"/>
  <c r="W21" i="76" l="1"/>
  <c r="X16" i="76"/>
  <c r="X17" i="76" s="1"/>
  <c r="X19" i="76"/>
  <c r="X20" i="76" s="1"/>
  <c r="Q14" i="76"/>
  <c r="P21" i="76"/>
  <c r="Q16" i="76"/>
  <c r="Q17" i="76" l="1"/>
  <c r="Q21" i="76" s="1"/>
  <c r="X21" i="76"/>
  <c r="W6" i="32" l="1"/>
  <c r="W9" i="32"/>
  <c r="W11" i="32"/>
  <c r="W25" i="32"/>
  <c r="W10" i="32"/>
  <c r="W12" i="32"/>
  <c r="W23" i="32"/>
  <c r="W26" i="32"/>
  <c r="W7" i="32"/>
  <c r="W8" i="32"/>
  <c r="W5" i="32"/>
  <c r="K10" i="32" l="1"/>
  <c r="L10" i="32"/>
  <c r="K7" i="32"/>
  <c r="L7" i="32"/>
  <c r="K9" i="32"/>
  <c r="L9" i="32"/>
  <c r="K6" i="32"/>
  <c r="L6" i="32"/>
  <c r="K11" i="32"/>
  <c r="L11" i="32"/>
  <c r="K25" i="32"/>
  <c r="L25" i="32"/>
  <c r="K12" i="32"/>
  <c r="L12" i="32"/>
  <c r="K8" i="32"/>
  <c r="L8" i="32"/>
  <c r="K23" i="32"/>
  <c r="L23" i="32"/>
  <c r="K26" i="32"/>
  <c r="L26" i="32"/>
  <c r="L5" i="32"/>
  <c r="K5" i="32"/>
  <c r="D1" i="32" l="1"/>
  <c r="F19" i="32" s="1"/>
  <c r="F22" i="32" l="1"/>
  <c r="E22" i="86" s="1"/>
  <c r="E19" i="86"/>
  <c r="F7" i="32"/>
  <c r="F4" i="32"/>
  <c r="F12" i="32"/>
  <c r="F27" i="32"/>
  <c r="F20" i="32"/>
  <c r="E20" i="86" s="1"/>
  <c r="F14" i="32"/>
  <c r="F15" i="32"/>
  <c r="F17" i="32"/>
  <c r="F5" i="32"/>
  <c r="F16" i="32"/>
  <c r="F6" i="32"/>
  <c r="F18" i="32"/>
  <c r="F21" i="32"/>
  <c r="E21" i="86" s="1"/>
  <c r="F13" i="32"/>
  <c r="F10" i="32"/>
  <c r="F26" i="32"/>
  <c r="E26" i="86" s="1"/>
  <c r="F25" i="32"/>
  <c r="E25" i="86" s="1"/>
  <c r="F24" i="32"/>
  <c r="E24" i="86" s="1"/>
  <c r="F23" i="32"/>
  <c r="E23" i="86" s="1"/>
  <c r="F8" i="32"/>
  <c r="F9" i="32"/>
  <c r="F11" i="32"/>
  <c r="D15" i="111"/>
  <c r="E17" i="86" l="1"/>
  <c r="Q17" i="86" s="1"/>
  <c r="E16" i="86"/>
  <c r="Q16" i="86" s="1"/>
  <c r="E15" i="86"/>
  <c r="Q15" i="86" s="1"/>
  <c r="E18" i="86"/>
  <c r="Q18" i="86" s="1"/>
  <c r="E14" i="86"/>
  <c r="Q14" i="86" s="1"/>
  <c r="E13" i="86"/>
  <c r="Q13" i="86" s="1"/>
  <c r="E7" i="86"/>
  <c r="E12" i="86"/>
  <c r="E9" i="86"/>
  <c r="E8" i="86"/>
  <c r="Q26" i="86"/>
  <c r="Q23" i="86"/>
  <c r="Q20" i="86"/>
  <c r="E11" i="86"/>
  <c r="E27" i="86"/>
  <c r="Q24" i="86"/>
  <c r="Q22" i="86"/>
  <c r="Q19" i="86"/>
  <c r="E6" i="86"/>
  <c r="E10" i="86"/>
  <c r="Q21" i="86"/>
  <c r="Q25" i="86"/>
  <c r="C25" i="94"/>
  <c r="C59" i="94" s="1"/>
  <c r="C16" i="94"/>
  <c r="C50" i="94" s="1"/>
  <c r="C22" i="94"/>
  <c r="C56" i="94" s="1"/>
  <c r="C15" i="94"/>
  <c r="C49" i="94" s="1"/>
  <c r="C20" i="94"/>
  <c r="C54" i="94" s="1"/>
  <c r="C4" i="94"/>
  <c r="C38" i="94" s="1"/>
  <c r="C12" i="94"/>
  <c r="C46" i="94" s="1"/>
  <c r="C14" i="94"/>
  <c r="C48" i="94" s="1"/>
  <c r="C23" i="94"/>
  <c r="C57" i="94" s="1"/>
  <c r="C19" i="94"/>
  <c r="C53" i="94" s="1"/>
  <c r="C24" i="94"/>
  <c r="C58" i="94" s="1"/>
  <c r="C21" i="94"/>
  <c r="C55" i="94" s="1"/>
  <c r="C18" i="94"/>
  <c r="C52" i="94" s="1"/>
  <c r="C17" i="94"/>
  <c r="C51" i="94" s="1"/>
  <c r="C13" i="94"/>
  <c r="C47" i="94" s="1"/>
  <c r="C9" i="94"/>
  <c r="C43" i="94" s="1"/>
  <c r="C11" i="94"/>
  <c r="C45" i="94" s="1"/>
  <c r="C8" i="94"/>
  <c r="C42" i="94" s="1"/>
  <c r="C10" i="94"/>
  <c r="C44" i="94" s="1"/>
  <c r="C7" i="94"/>
  <c r="C41" i="94" s="1"/>
  <c r="C26" i="94"/>
  <c r="C60" i="94" s="1"/>
  <c r="C5" i="94"/>
  <c r="C39" i="94" s="1"/>
  <c r="C6" i="94"/>
  <c r="C40" i="94" s="1"/>
  <c r="E5" i="86"/>
  <c r="C13" i="32"/>
  <c r="C5" i="32"/>
  <c r="C19" i="32"/>
  <c r="C17" i="32"/>
  <c r="C21" i="32"/>
  <c r="C15" i="32"/>
  <c r="D12" i="111"/>
  <c r="C16" i="32"/>
  <c r="C20" i="32"/>
  <c r="C22" i="32"/>
  <c r="C18" i="32"/>
  <c r="C14" i="32"/>
  <c r="D7" i="107"/>
  <c r="D9" i="108"/>
  <c r="D7" i="110"/>
  <c r="D6" i="110"/>
  <c r="D11" i="111"/>
  <c r="D19" i="110"/>
  <c r="D5" i="111"/>
  <c r="D23" i="110"/>
  <c r="D23" i="111"/>
  <c r="D18" i="110"/>
  <c r="D19" i="111"/>
  <c r="D12" i="110"/>
  <c r="D13" i="111"/>
  <c r="D11" i="110"/>
  <c r="D8" i="111"/>
  <c r="D17" i="110"/>
  <c r="D7" i="111"/>
  <c r="D13" i="110"/>
  <c r="D17" i="111"/>
  <c r="D8" i="110"/>
  <c r="D10" i="111"/>
  <c r="D5" i="110"/>
  <c r="D14" i="111"/>
  <c r="D21" i="110"/>
  <c r="D21" i="111"/>
  <c r="D16" i="110"/>
  <c r="D4" i="111"/>
  <c r="D20" i="110"/>
  <c r="D20" i="111"/>
  <c r="D22" i="110"/>
  <c r="D22" i="111"/>
  <c r="D4" i="110"/>
  <c r="D16" i="111"/>
  <c r="D10" i="110"/>
  <c r="D6" i="111"/>
  <c r="D9" i="110"/>
  <c r="D9" i="111"/>
  <c r="D14" i="110"/>
  <c r="D18" i="111"/>
  <c r="D17" i="107"/>
  <c r="D15" i="110"/>
  <c r="D18" i="107"/>
  <c r="D11" i="107"/>
  <c r="D12" i="107"/>
  <c r="D13" i="107"/>
  <c r="D15" i="107"/>
  <c r="D14" i="107"/>
  <c r="D9" i="107"/>
  <c r="D5" i="107"/>
  <c r="D21" i="107"/>
  <c r="D4" i="107"/>
  <c r="D23" i="107"/>
  <c r="D16" i="107"/>
  <c r="D20" i="107"/>
  <c r="D22" i="107"/>
  <c r="D6" i="107"/>
  <c r="D10" i="107"/>
  <c r="D8" i="107"/>
  <c r="D19" i="107"/>
  <c r="C9" i="32"/>
  <c r="C25" i="32"/>
  <c r="C8" i="32"/>
  <c r="C27" i="32"/>
  <c r="C12" i="32"/>
  <c r="C26" i="32"/>
  <c r="C10" i="32"/>
  <c r="C6" i="32"/>
  <c r="C7" i="32"/>
  <c r="C24" i="32"/>
  <c r="C23" i="32"/>
  <c r="C11" i="32"/>
  <c r="C4" i="32"/>
  <c r="D19" i="108"/>
  <c r="D10" i="108"/>
  <c r="D23" i="108"/>
  <c r="D18" i="108"/>
  <c r="D6" i="108"/>
  <c r="D21" i="108"/>
  <c r="D17" i="108"/>
  <c r="D16" i="108"/>
  <c r="D15" i="108"/>
  <c r="D22" i="108"/>
  <c r="D8" i="108"/>
  <c r="D4" i="108"/>
  <c r="D12" i="108"/>
  <c r="D13" i="108"/>
  <c r="D5" i="108"/>
  <c r="D7" i="108"/>
  <c r="D11" i="108"/>
  <c r="D20" i="108"/>
  <c r="D14" i="108"/>
  <c r="E4" i="86"/>
  <c r="Q4" i="86" s="1"/>
  <c r="C3" i="94"/>
  <c r="C37" i="94" s="1"/>
  <c r="H34" i="83"/>
  <c r="B34" i="83"/>
  <c r="AS16" i="86"/>
  <c r="Q9" i="86" l="1"/>
  <c r="Q10" i="86"/>
  <c r="Q8" i="86"/>
  <c r="Q12" i="86"/>
  <c r="Q6" i="86"/>
  <c r="Q27" i="86"/>
  <c r="Q7" i="86"/>
  <c r="Q11" i="86"/>
  <c r="Q5" i="86"/>
  <c r="AR13" i="86"/>
  <c r="AT16" i="86"/>
  <c r="G41" i="3"/>
  <c r="AR27" i="86" l="1"/>
  <c r="AR16" i="86" s="1"/>
  <c r="AR2" i="86"/>
  <c r="I41" i="3" l="1"/>
  <c r="E12" i="3" l="1"/>
  <c r="E11" i="3"/>
  <c r="E10" i="3"/>
  <c r="E9" i="3"/>
  <c r="B17" i="3" l="1"/>
  <c r="K7" i="3"/>
  <c r="J7" i="3"/>
  <c r="I7" i="3"/>
  <c r="G7" i="3"/>
  <c r="E7" i="3"/>
  <c r="K6" i="3"/>
  <c r="J6" i="3"/>
  <c r="I6" i="3"/>
  <c r="G6" i="3"/>
  <c r="E6" i="3"/>
  <c r="K5" i="3"/>
  <c r="J5" i="3"/>
  <c r="I5" i="3"/>
  <c r="G5" i="3"/>
  <c r="E5" i="3"/>
  <c r="K4" i="3"/>
  <c r="J4" i="3"/>
  <c r="I4" i="3"/>
  <c r="G4" i="3"/>
  <c r="E4" i="3"/>
  <c r="C3" i="3"/>
  <c r="C11" i="3" s="1"/>
  <c r="B3" i="3"/>
  <c r="B37" i="3" l="1"/>
  <c r="B38" i="3"/>
  <c r="B39" i="3"/>
  <c r="B40" i="3"/>
  <c r="C8" i="3"/>
  <c r="J8" i="3"/>
  <c r="C10" i="3"/>
  <c r="C9" i="3"/>
  <c r="C22" i="3"/>
  <c r="B22" i="3" s="1"/>
  <c r="C17" i="3"/>
  <c r="B12" i="3"/>
  <c r="B13" i="3" s="1"/>
  <c r="C40" i="3" l="1"/>
  <c r="C39" i="3"/>
  <c r="C38" i="3"/>
  <c r="C37" i="3"/>
  <c r="B10" i="3"/>
  <c r="D22" i="3"/>
  <c r="D17" i="3"/>
  <c r="D39" i="3" l="1"/>
  <c r="D46" i="3" s="1"/>
  <c r="D38" i="3"/>
  <c r="D45" i="3" s="1"/>
  <c r="D40" i="3"/>
  <c r="D47" i="3" s="1"/>
  <c r="D37" i="3"/>
  <c r="D44" i="3" s="1"/>
  <c r="E22" i="3"/>
  <c r="E17" i="3"/>
  <c r="E37" i="3" l="1"/>
  <c r="E40" i="3"/>
  <c r="E39" i="3"/>
  <c r="E38" i="3"/>
  <c r="F22" i="3"/>
  <c r="F17" i="3"/>
  <c r="F38" i="3" l="1"/>
  <c r="F37" i="3"/>
  <c r="F40" i="3"/>
  <c r="F39" i="3"/>
  <c r="G22" i="3"/>
  <c r="G26" i="3" s="1"/>
  <c r="G17" i="3"/>
  <c r="G38" i="3" l="1"/>
  <c r="G37" i="3"/>
  <c r="G40" i="3"/>
  <c r="G39" i="3"/>
  <c r="H22" i="3"/>
  <c r="H17" i="3"/>
  <c r="H37" i="3" l="1"/>
  <c r="H40" i="3"/>
  <c r="H39" i="3"/>
  <c r="H38" i="3"/>
  <c r="I22" i="3"/>
  <c r="I17" i="3"/>
  <c r="I37" i="3" l="1"/>
  <c r="I40" i="3"/>
  <c r="I39" i="3"/>
  <c r="I38" i="3"/>
  <c r="J22" i="3"/>
  <c r="J26" i="3" s="1"/>
  <c r="J17" i="3"/>
  <c r="J37" i="3" l="1"/>
  <c r="J40" i="3"/>
  <c r="J39" i="3"/>
  <c r="J38" i="3"/>
  <c r="K22" i="3"/>
  <c r="K17" i="3"/>
  <c r="K37" i="3" l="1"/>
  <c r="K40" i="3"/>
  <c r="K39" i="3"/>
  <c r="K38" i="3"/>
  <c r="L22" i="3"/>
  <c r="L26" i="3" s="1"/>
  <c r="L17" i="3"/>
  <c r="L37" i="3" l="1"/>
  <c r="L40" i="3"/>
  <c r="L39" i="3"/>
  <c r="L38" i="3"/>
  <c r="M22" i="3"/>
  <c r="M17" i="3"/>
  <c r="M37" i="3" l="1"/>
  <c r="M40" i="3"/>
  <c r="M39" i="3"/>
  <c r="M38" i="3"/>
  <c r="N22" i="3"/>
  <c r="N26" i="3" s="1"/>
  <c r="N17" i="3"/>
  <c r="N37" i="3" l="1"/>
  <c r="N40" i="3"/>
  <c r="N39" i="3"/>
  <c r="N38" i="3"/>
  <c r="O22" i="3"/>
  <c r="O17" i="3"/>
  <c r="O37" i="3" l="1"/>
  <c r="O40" i="3"/>
  <c r="O39" i="3"/>
  <c r="O38" i="3"/>
  <c r="P22" i="3"/>
  <c r="P26" i="3" s="1"/>
  <c r="P17" i="3"/>
  <c r="P37" i="3" l="1"/>
  <c r="P40" i="3"/>
  <c r="P39" i="3"/>
  <c r="P38" i="3"/>
  <c r="Q22" i="3"/>
  <c r="Q17" i="3"/>
  <c r="R22" i="3" l="1"/>
  <c r="R26" i="3" s="1"/>
  <c r="R17" i="3"/>
  <c r="S22" i="3" l="1"/>
  <c r="S17" i="3"/>
  <c r="T22" i="3" l="1"/>
  <c r="T26" i="3" s="1"/>
  <c r="T17" i="3"/>
  <c r="U22" i="3" l="1"/>
  <c r="U17" i="3"/>
  <c r="V22" i="3" l="1"/>
  <c r="V26" i="3" s="1"/>
  <c r="V17" i="3"/>
  <c r="W22" i="3" l="1"/>
  <c r="W17" i="3"/>
  <c r="X22" i="3" l="1"/>
  <c r="X26" i="3" s="1"/>
  <c r="X17" i="3"/>
  <c r="Y22" i="3" l="1"/>
  <c r="Y17" i="3"/>
  <c r="Z22" i="3" l="1"/>
  <c r="Z26" i="3" s="1"/>
  <c r="Z17" i="3"/>
  <c r="AA22" i="3" l="1"/>
  <c r="AA17" i="3"/>
  <c r="AB22" i="3" l="1"/>
  <c r="AB26" i="3" s="1"/>
  <c r="AB17" i="3"/>
  <c r="AC22" i="3" l="1"/>
  <c r="AC17" i="3"/>
  <c r="AD22" i="3" l="1"/>
  <c r="AD26" i="3" s="1"/>
  <c r="AD17" i="3"/>
  <c r="B30" i="3" l="1"/>
  <c r="C30" i="3" s="1"/>
  <c r="D30" i="3" s="1"/>
  <c r="O23" i="3"/>
  <c r="O24" i="3"/>
  <c r="O25" i="3"/>
  <c r="N23" i="3"/>
  <c r="N27" i="3" s="1"/>
  <c r="N24" i="3"/>
  <c r="N28" i="3" s="1"/>
  <c r="N25" i="3"/>
  <c r="N29" i="3" s="1"/>
  <c r="M23" i="3"/>
  <c r="M24" i="3"/>
  <c r="M25" i="3"/>
  <c r="E26" i="3"/>
  <c r="E23" i="3"/>
  <c r="E27" i="3" s="1"/>
  <c r="E24" i="3"/>
  <c r="E28" i="3" s="1"/>
  <c r="E25" i="3"/>
  <c r="E29" i="3" s="1"/>
  <c r="K23" i="3"/>
  <c r="K24" i="3"/>
  <c r="K25" i="3"/>
  <c r="AA25" i="3"/>
  <c r="Y25" i="3"/>
  <c r="W25" i="3"/>
  <c r="U25" i="3"/>
  <c r="S25" i="3"/>
  <c r="Q25" i="3"/>
  <c r="H25" i="3"/>
  <c r="C25" i="3"/>
  <c r="C29" i="3" s="1"/>
  <c r="AA24" i="3"/>
  <c r="Y24" i="3"/>
  <c r="W24" i="3"/>
  <c r="U24" i="3"/>
  <c r="S24" i="3"/>
  <c r="Q24" i="3"/>
  <c r="H24" i="3"/>
  <c r="C24" i="3"/>
  <c r="C28" i="3" s="1"/>
  <c r="AA23" i="3"/>
  <c r="Y23" i="3"/>
  <c r="W23" i="3"/>
  <c r="U23" i="3"/>
  <c r="S23" i="3"/>
  <c r="Q23" i="3"/>
  <c r="H23" i="3"/>
  <c r="C23" i="3"/>
  <c r="C27" i="3" s="1"/>
  <c r="C26" i="3"/>
  <c r="AD25" i="3"/>
  <c r="AD29" i="3" s="1"/>
  <c r="AC25" i="3"/>
  <c r="AB25" i="3"/>
  <c r="AB29" i="3" s="1"/>
  <c r="Z25" i="3"/>
  <c r="Z29" i="3" s="1"/>
  <c r="X25" i="3"/>
  <c r="X29" i="3" s="1"/>
  <c r="V25" i="3"/>
  <c r="V29" i="3" s="1"/>
  <c r="T25" i="3"/>
  <c r="T29" i="3" s="1"/>
  <c r="R25" i="3"/>
  <c r="R29" i="3" s="1"/>
  <c r="P25" i="3"/>
  <c r="P29" i="3" s="1"/>
  <c r="L25" i="3"/>
  <c r="L29" i="3" s="1"/>
  <c r="J25" i="3"/>
  <c r="J29" i="3" s="1"/>
  <c r="I25" i="3"/>
  <c r="G25" i="3"/>
  <c r="G29" i="3" s="1"/>
  <c r="F25" i="3"/>
  <c r="D25" i="3"/>
  <c r="B25" i="3"/>
  <c r="AD24" i="3"/>
  <c r="AD28" i="3" s="1"/>
  <c r="AC24" i="3"/>
  <c r="AB24" i="3"/>
  <c r="AB28" i="3" s="1"/>
  <c r="Z24" i="3"/>
  <c r="Z28" i="3" s="1"/>
  <c r="X24" i="3"/>
  <c r="X28" i="3" s="1"/>
  <c r="V24" i="3"/>
  <c r="V28" i="3" s="1"/>
  <c r="T24" i="3"/>
  <c r="T28" i="3" s="1"/>
  <c r="R24" i="3"/>
  <c r="R28" i="3" s="1"/>
  <c r="P24" i="3"/>
  <c r="P28" i="3" s="1"/>
  <c r="L24" i="3"/>
  <c r="L28" i="3" s="1"/>
  <c r="J24" i="3"/>
  <c r="J28" i="3" s="1"/>
  <c r="I24" i="3"/>
  <c r="G24" i="3"/>
  <c r="G28" i="3" s="1"/>
  <c r="F24" i="3"/>
  <c r="D24" i="3"/>
  <c r="B24" i="3"/>
  <c r="AD23" i="3"/>
  <c r="AD27" i="3" s="1"/>
  <c r="AC23" i="3"/>
  <c r="AB23" i="3"/>
  <c r="AB27" i="3" s="1"/>
  <c r="Z23" i="3"/>
  <c r="Z27" i="3" s="1"/>
  <c r="X23" i="3"/>
  <c r="X27" i="3" s="1"/>
  <c r="V23" i="3"/>
  <c r="V27" i="3" s="1"/>
  <c r="T23" i="3"/>
  <c r="T27" i="3" s="1"/>
  <c r="R23" i="3"/>
  <c r="R27" i="3" s="1"/>
  <c r="P23" i="3"/>
  <c r="P27" i="3" s="1"/>
  <c r="L23" i="3"/>
  <c r="L27" i="3" s="1"/>
  <c r="J23" i="3"/>
  <c r="J27" i="3" s="1"/>
  <c r="I23" i="3"/>
  <c r="G23" i="3"/>
  <c r="G27" i="3" s="1"/>
  <c r="F23" i="3"/>
  <c r="D23" i="3"/>
  <c r="B23" i="3"/>
  <c r="B31" i="3" l="1"/>
  <c r="B32" i="3" s="1"/>
  <c r="B33" i="3" s="1"/>
  <c r="E30" i="3"/>
  <c r="F30" i="3" s="1"/>
  <c r="D31" i="3"/>
  <c r="C31" i="3"/>
  <c r="C32" i="3" l="1"/>
  <c r="C33" i="3" s="1"/>
  <c r="E31" i="3"/>
  <c r="F31" i="3"/>
  <c r="G30" i="3"/>
  <c r="D32" i="3" l="1"/>
  <c r="D33" i="3" s="1"/>
  <c r="H30" i="3"/>
  <c r="G31" i="3"/>
  <c r="E32" i="3" l="1"/>
  <c r="F32" i="3" s="1"/>
  <c r="F33" i="3" s="1"/>
  <c r="I30" i="3"/>
  <c r="H31" i="3"/>
  <c r="G32" i="3" l="1"/>
  <c r="G33" i="3" s="1"/>
  <c r="E33" i="3"/>
  <c r="I31" i="3"/>
  <c r="J30" i="3"/>
  <c r="H32" i="3" l="1"/>
  <c r="H33" i="3" s="1"/>
  <c r="K30" i="3"/>
  <c r="J31" i="3"/>
  <c r="I32" i="3" l="1"/>
  <c r="I33" i="3" s="1"/>
  <c r="L30" i="3"/>
  <c r="K31" i="3"/>
  <c r="J32" i="3" l="1"/>
  <c r="K32" i="3" s="1"/>
  <c r="M30" i="3"/>
  <c r="L31" i="3"/>
  <c r="J33" i="3" l="1"/>
  <c r="N30" i="3"/>
  <c r="M31" i="3"/>
  <c r="K33" i="3"/>
  <c r="L32" i="3"/>
  <c r="O30" i="3" l="1"/>
  <c r="N31" i="3"/>
  <c r="M32" i="3"/>
  <c r="L33" i="3"/>
  <c r="P30" i="3" l="1"/>
  <c r="O31" i="3"/>
  <c r="M33" i="3"/>
  <c r="N32" i="3"/>
  <c r="P31" i="3" l="1"/>
  <c r="Q30" i="3"/>
  <c r="O32" i="3"/>
  <c r="N33" i="3"/>
  <c r="R30" i="3" l="1"/>
  <c r="Q31" i="3"/>
  <c r="O33" i="3"/>
  <c r="P32" i="3"/>
  <c r="R31" i="3" l="1"/>
  <c r="S30" i="3"/>
  <c r="Q32" i="3"/>
  <c r="P33" i="3"/>
  <c r="T30" i="3" l="1"/>
  <c r="S31" i="3"/>
  <c r="R32" i="3"/>
  <c r="Q33" i="3"/>
  <c r="U30" i="3" l="1"/>
  <c r="T31" i="3"/>
  <c r="S32" i="3"/>
  <c r="R33" i="3"/>
  <c r="V30" i="3" l="1"/>
  <c r="U31" i="3"/>
  <c r="T32" i="3"/>
  <c r="S33" i="3"/>
  <c r="V31" i="3" l="1"/>
  <c r="W30" i="3"/>
  <c r="U32" i="3"/>
  <c r="T33" i="3"/>
  <c r="X30" i="3" l="1"/>
  <c r="W31" i="3"/>
  <c r="V32" i="3"/>
  <c r="U33" i="3"/>
  <c r="Y30" i="3" l="1"/>
  <c r="X31" i="3"/>
  <c r="W32" i="3"/>
  <c r="V33" i="3"/>
  <c r="Z30" i="3" l="1"/>
  <c r="Y31" i="3"/>
  <c r="X32" i="3"/>
  <c r="W33" i="3"/>
  <c r="Z31" i="3" l="1"/>
  <c r="AA30" i="3"/>
  <c r="Y32" i="3"/>
  <c r="X33" i="3"/>
  <c r="AB30" i="3" l="1"/>
  <c r="AA31" i="3"/>
  <c r="Z32" i="3"/>
  <c r="Y33" i="3"/>
  <c r="AC30" i="3" l="1"/>
  <c r="AB31" i="3"/>
  <c r="Z33" i="3"/>
  <c r="AA32" i="3"/>
  <c r="AC31" i="3" l="1"/>
  <c r="AD30" i="3"/>
  <c r="AD31" i="3" s="1"/>
  <c r="AB32" i="3"/>
  <c r="AA33" i="3"/>
  <c r="AC32" i="3" l="1"/>
  <c r="AB33" i="3"/>
  <c r="AD32" i="3" l="1"/>
  <c r="AD33" i="3" s="1"/>
  <c r="AC33" i="3"/>
  <c r="W28" i="3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K3" authorId="0" shapeId="0" xr:uid="{00000000-0006-0000-0700-000001000000}">
      <text>
        <r>
          <rPr>
            <sz val="8"/>
            <color indexed="81"/>
            <rFont val="Tahoma"/>
            <family val="2"/>
          </rPr>
          <t>Lid*Lid*Exp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G8" authorId="0" shapeId="0" xr:uid="{3DE491CD-5007-4E0A-A559-74BA45DC7E84}">
      <text>
        <r>
          <rPr>
            <b/>
            <sz val="8"/>
            <color indexed="81"/>
            <rFont val="Tahoma"/>
            <family val="2"/>
          </rPr>
          <t>Autor:</t>
        </r>
        <r>
          <rPr>
            <sz val="8"/>
            <color indexed="81"/>
            <rFont val="Tahoma"/>
            <family val="2"/>
          </rPr>
          <t xml:space="preserve">
Jugadores+Inmobilizado-Capital (año anterior todo)</t>
        </r>
      </text>
    </comment>
    <comment ref="H10" authorId="0" shapeId="0" xr:uid="{BD141E53-3F40-4AD9-B138-93AA2BD693E7}">
      <text>
        <r>
          <rPr>
            <b/>
            <sz val="8"/>
            <color indexed="81"/>
            <rFont val="Tahoma"/>
            <family val="2"/>
          </rPr>
          <t>Autor:</t>
        </r>
        <r>
          <rPr>
            <sz val="8"/>
            <color indexed="81"/>
            <rFont val="Tahoma"/>
            <family val="2"/>
          </rPr>
          <t xml:space="preserve">
Se resta las amortizaciones, que se consideran perdida de activos y perdidas de beneficios</t>
        </r>
      </text>
    </comment>
    <comment ref="G16" authorId="0" shapeId="0" xr:uid="{8E262A6A-D441-4127-9A52-ACE5314B79EA}">
      <text>
        <r>
          <rPr>
            <b/>
            <sz val="8"/>
            <color indexed="81"/>
            <rFont val="Tahoma"/>
            <family val="2"/>
          </rPr>
          <t>Autor:</t>
        </r>
        <r>
          <rPr>
            <sz val="8"/>
            <color indexed="81"/>
            <rFont val="Tahoma"/>
            <family val="2"/>
          </rPr>
          <t xml:space="preserve">
Ingresos anuales - Pagos anuales</t>
        </r>
      </text>
    </comment>
    <comment ref="H19" authorId="0" shapeId="0" xr:uid="{C3922580-54CD-4241-94E1-17ED74BCAF36}">
      <text>
        <r>
          <rPr>
            <b/>
            <sz val="8"/>
            <color indexed="81"/>
            <rFont val="Tahoma"/>
            <family val="2"/>
          </rPr>
          <t>Autor:</t>
        </r>
        <r>
          <rPr>
            <sz val="8"/>
            <color indexed="81"/>
            <rFont val="Tahoma"/>
            <family val="2"/>
          </rPr>
          <t xml:space="preserve">
incluye sueldo primera semana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C28" authorId="0" shapeId="0" xr:uid="{00000000-0006-0000-0800-000001000000}">
      <text>
        <r>
          <rPr>
            <b/>
            <sz val="8"/>
            <color indexed="81"/>
            <rFont val="Tahoma"/>
            <family val="2"/>
          </rPr>
          <t>Sacado del manual no escrito, no se sabe que son estos valores</t>
        </r>
      </text>
    </comment>
    <comment ref="D28" authorId="0" shapeId="0" xr:uid="{00000000-0006-0000-0800-000002000000}">
      <text>
        <r>
          <rPr>
            <b/>
            <sz val="8"/>
            <color indexed="81"/>
            <rFont val="Tahoma"/>
            <family val="2"/>
          </rPr>
          <t>En partidos de Torneo con el predictor
-Campo neutral
-Espiritu: Ilusionats (6)
-Confiança: Alta (7)
Entrenador NEUTRO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I1" authorId="0" shapeId="0" xr:uid="{00000000-0006-0000-0500-000001000000}">
      <text>
        <r>
          <rPr>
            <sz val="8"/>
            <color indexed="81"/>
            <rFont val="Tahoma"/>
            <family val="2"/>
          </rPr>
          <t>Lid*Lid*Exp</t>
        </r>
      </text>
    </comment>
    <comment ref="I3" authorId="0" shapeId="0" xr:uid="{00000000-0006-0000-0500-000002000000}">
      <text>
        <r>
          <rPr>
            <sz val="8"/>
            <color indexed="81"/>
            <rFont val="Tahoma"/>
            <family val="2"/>
          </rPr>
          <t>Lid*Lid*Exp</t>
        </r>
      </text>
    </comment>
    <comment ref="I12" authorId="0" shapeId="0" xr:uid="{00000000-0006-0000-0500-000003000000}">
      <text>
        <r>
          <rPr>
            <sz val="8"/>
            <color indexed="81"/>
            <rFont val="Tahoma"/>
            <family val="2"/>
          </rPr>
          <t>Lid*Lid*Exp</t>
        </r>
      </text>
    </comment>
    <comment ref="I24" authorId="0" shapeId="0" xr:uid="{00000000-0006-0000-0500-000004000000}">
      <text>
        <r>
          <rPr>
            <sz val="8"/>
            <color indexed="81"/>
            <rFont val="Tahoma"/>
            <family val="2"/>
          </rPr>
          <t>Lid*Lid*Exp</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AX1" authorId="0" shapeId="0" xr:uid="{00000000-0006-0000-0A00-000001000000}">
      <text>
        <r>
          <rPr>
            <b/>
            <sz val="8"/>
            <color indexed="81"/>
            <rFont val="Tahoma"/>
            <family val="2"/>
          </rPr>
          <t>Sacado del manual no escrito, no se sabe que son estos valores</t>
        </r>
      </text>
    </comment>
    <comment ref="AY1" authorId="0" shapeId="0" xr:uid="{00000000-0006-0000-0A00-000002000000}">
      <text>
        <r>
          <rPr>
            <b/>
            <sz val="8"/>
            <color indexed="81"/>
            <rFont val="Tahoma"/>
            <family val="2"/>
          </rPr>
          <t>En partidos de Torneo con el predictor
-Campo neutral
-Espiritu: Ilusionats (6)
-Confiança: Alta (7)
Entrenador NEUTRO</t>
        </r>
      </text>
    </comment>
    <comment ref="G8" authorId="0" shapeId="0" xr:uid="{00000000-0006-0000-0A00-000003000000}">
      <text>
        <r>
          <rPr>
            <b/>
            <sz val="8"/>
            <color indexed="81"/>
            <rFont val="Tahoma"/>
            <family val="2"/>
          </rPr>
          <t>Debe ser bajo, muy bajo</t>
        </r>
      </text>
    </comment>
    <comment ref="G10" authorId="0" shapeId="0" xr:uid="{00000000-0006-0000-0A00-000004000000}">
      <text>
        <r>
          <rPr>
            <b/>
            <sz val="8"/>
            <color indexed="81"/>
            <rFont val="Tahoma"/>
            <family val="2"/>
          </rPr>
          <t>Debe ser bajo, muy bajo</t>
        </r>
      </text>
    </comment>
    <comment ref="G18" authorId="0" shapeId="0" xr:uid="{00000000-0006-0000-0A00-000005000000}">
      <text>
        <r>
          <rPr>
            <b/>
            <sz val="8"/>
            <color indexed="81"/>
            <rFont val="Tahoma"/>
            <family val="2"/>
          </rPr>
          <t>Debe ser Alto, bastante Alto</t>
        </r>
      </text>
    </comment>
  </commentList>
</comments>
</file>

<file path=xl/sharedStrings.xml><?xml version="1.0" encoding="utf-8"?>
<sst xmlns="http://schemas.openxmlformats.org/spreadsheetml/2006/main" count="2062" uniqueCount="682">
  <si>
    <t>BP</t>
  </si>
  <si>
    <t>POR</t>
  </si>
  <si>
    <t>DEF</t>
  </si>
  <si>
    <t>Estado de ánimo de los aficionados</t>
  </si>
  <si>
    <t>Grada general</t>
  </si>
  <si>
    <t>Preferente</t>
  </si>
  <si>
    <t>Tribuna</t>
  </si>
  <si>
    <t>Palco</t>
  </si>
  <si>
    <t>Multiplicador</t>
  </si>
  <si>
    <t>(asistencia = socios X multiplicador)</t>
  </si>
  <si>
    <t>Nuevo</t>
  </si>
  <si>
    <t>CosteContrucción</t>
  </si>
  <si>
    <t>CosteMantenimiento</t>
  </si>
  <si>
    <t>IngresoVenta</t>
  </si>
  <si>
    <t>Ideal</t>
  </si>
  <si>
    <t>Capacidad total:</t>
  </si>
  <si>
    <t>por asiento</t>
  </si>
  <si>
    <t>Coste</t>
  </si>
  <si>
    <t>CosteSemanal</t>
  </si>
  <si>
    <t>1Partido</t>
  </si>
  <si>
    <t>completo</t>
  </si>
  <si>
    <t>Grada general:</t>
  </si>
  <si>
    <t>Preferentes:</t>
  </si>
  <si>
    <t>Tribunas:</t>
  </si>
  <si>
    <t>Palcos:</t>
  </si>
  <si>
    <t>Coste Inicial</t>
  </si>
  <si>
    <t>Coste de Contrucción</t>
  </si>
  <si>
    <t>TOTAL</t>
  </si>
  <si>
    <t>S1</t>
  </si>
  <si>
    <t>S2</t>
  </si>
  <si>
    <t>S3</t>
  </si>
  <si>
    <t>S4</t>
  </si>
  <si>
    <t>S5</t>
  </si>
  <si>
    <t>S6</t>
  </si>
  <si>
    <t>S7</t>
  </si>
  <si>
    <t>S8</t>
  </si>
  <si>
    <t>S9</t>
  </si>
  <si>
    <t>S10</t>
  </si>
  <si>
    <t>S11</t>
  </si>
  <si>
    <t>S12</t>
  </si>
  <si>
    <t>S13</t>
  </si>
  <si>
    <t>S14</t>
  </si>
  <si>
    <t>S15</t>
  </si>
  <si>
    <t>S16</t>
  </si>
  <si>
    <t>Aficionados</t>
  </si>
  <si>
    <t>MaxGrada Llena</t>
  </si>
  <si>
    <t>MaxPreferente Lleno</t>
  </si>
  <si>
    <t>MaxTribuna Lleno</t>
  </si>
  <si>
    <t>MaxPalco Lleno</t>
  </si>
  <si>
    <t>Real Grada</t>
  </si>
  <si>
    <t>Real Preferente</t>
  </si>
  <si>
    <t>Real Tribuna</t>
  </si>
  <si>
    <t>Real Palco</t>
  </si>
  <si>
    <t>Ingresos Extra Grada general:</t>
  </si>
  <si>
    <t>Ingresos Extre Preferentes:</t>
  </si>
  <si>
    <t>Ingresos Extra Tribunas:</t>
  </si>
  <si>
    <t>Ingresos Extra Palcos:</t>
  </si>
  <si>
    <t>Coste de Mantenimiento Extra</t>
  </si>
  <si>
    <t>Beneficio Neto Semanal</t>
  </si>
  <si>
    <t>Beneficio Acumulado</t>
  </si>
  <si>
    <t>Temp</t>
  </si>
  <si>
    <t>Dias</t>
  </si>
  <si>
    <t>MED</t>
  </si>
  <si>
    <t>EXT</t>
  </si>
  <si>
    <t>DAV</t>
  </si>
  <si>
    <t>Sueldo</t>
  </si>
  <si>
    <t>Defensa</t>
  </si>
  <si>
    <t>POT</t>
  </si>
  <si>
    <t>Exp</t>
  </si>
  <si>
    <t>%</t>
  </si>
  <si>
    <t>PORTERIA</t>
  </si>
  <si>
    <t>Jugador</t>
  </si>
  <si>
    <t>Anys</t>
  </si>
  <si>
    <t>TSI</t>
  </si>
  <si>
    <t>PA</t>
  </si>
  <si>
    <t>Lid</t>
  </si>
  <si>
    <t>Res</t>
  </si>
  <si>
    <t>De</t>
  </si>
  <si>
    <t>Cr</t>
  </si>
  <si>
    <t>Ex</t>
  </si>
  <si>
    <t>Ps</t>
  </si>
  <si>
    <t>An</t>
  </si>
  <si>
    <t>Allen Horn</t>
  </si>
  <si>
    <t>John Wesner</t>
  </si>
  <si>
    <t>Juan Alberto Carmona</t>
  </si>
  <si>
    <t>Javier Brock</t>
  </si>
  <si>
    <t>Philip Alston</t>
  </si>
  <si>
    <t>Robert Lawhon</t>
  </si>
  <si>
    <t>Steve Olson</t>
  </si>
  <si>
    <t>Tony Hammond</t>
  </si>
  <si>
    <t>Sou</t>
  </si>
  <si>
    <t>DV</t>
  </si>
  <si>
    <t>Experiencia</t>
  </si>
  <si>
    <t>T. Hammond</t>
  </si>
  <si>
    <t>TEC</t>
  </si>
  <si>
    <t>E. Toney</t>
  </si>
  <si>
    <t>IMP</t>
  </si>
  <si>
    <t>E. Gross</t>
  </si>
  <si>
    <t>B. Bartolache</t>
  </si>
  <si>
    <t>D. Toh</t>
  </si>
  <si>
    <t>POS</t>
  </si>
  <si>
    <t>C. Rojas</t>
  </si>
  <si>
    <t>J. Limon</t>
  </si>
  <si>
    <t>CMin</t>
  </si>
  <si>
    <t>CMax</t>
  </si>
  <si>
    <t>RAP</t>
  </si>
  <si>
    <t>Po</t>
  </si>
  <si>
    <t>K. Helms</t>
  </si>
  <si>
    <t xml:space="preserve">Nivel de Entrenador </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</si>
  <si>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</si>
  <si>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</si>
  <si>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</si>
  <si>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</si>
  <si>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</si>
  <si>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</si>
  <si>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</si>
  <si>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</si>
  <si>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</si>
  <si>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4.247.700- 4.800.000 €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</si>
  <si>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</si>
  <si>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</si>
  <si>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</si>
  <si>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</si>
  <si>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</si>
  <si>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</si>
  <si>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</si>
  <si>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</si>
  <si>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</si>
  <si>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</si>
  <si>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</si>
  <si>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</si>
  <si>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</si>
  <si>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</si>
  <si>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</si>
  <si>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</si>
  <si>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</si>
  <si>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</si>
  <si>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</si>
  <si>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</si>
  <si>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</si>
  <si>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</si>
  <si>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</si>
  <si>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</si>
  <si>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</si>
  <si>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</si>
  <si>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</si>
  <si>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</si>
  <si>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</si>
  <si>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</si>
  <si>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</si>
  <si>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</si>
  <si>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</si>
  <si>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</si>
  <si>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</si>
  <si>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</si>
  <si>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</si>
  <si>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</si>
  <si>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</si>
  <si>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</si>
  <si>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</si>
  <si>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</si>
  <si>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</si>
  <si>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</si>
  <si>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</si>
  <si>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</si>
  <si>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</si>
  <si>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</si>
  <si>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Stefano Sbattelia</t>
  </si>
  <si>
    <t>S. Sbattelia</t>
  </si>
  <si>
    <t>L. Bauman</t>
  </si>
  <si>
    <t>#1</t>
  </si>
  <si>
    <t>#12</t>
  </si>
  <si>
    <t>#3</t>
  </si>
  <si>
    <t>#6</t>
  </si>
  <si>
    <t>#4</t>
  </si>
  <si>
    <t>#7</t>
  </si>
  <si>
    <t>#10</t>
  </si>
  <si>
    <t>#11</t>
  </si>
  <si>
    <t>#5</t>
  </si>
  <si>
    <t>#8</t>
  </si>
  <si>
    <t>Nfin</t>
  </si>
  <si>
    <t>W. Gelifini</t>
  </si>
  <si>
    <t>ENT</t>
  </si>
  <si>
    <t>DC</t>
  </si>
  <si>
    <t>Mejor Partido</t>
  </si>
  <si>
    <t>Casa</t>
  </si>
  <si>
    <t>Fecha Actualizacion</t>
  </si>
  <si>
    <t>Porteria Imbatuda</t>
  </si>
  <si>
    <t>Més vegades Capità</t>
  </si>
  <si>
    <t>Gols Marcats</t>
  </si>
  <si>
    <t>Julián Limón</t>
  </si>
  <si>
    <t>Duncan Toh</t>
  </si>
  <si>
    <t>Clayton Rojas</t>
  </si>
  <si>
    <t>DEF/DV</t>
  </si>
  <si>
    <t>Hib</t>
  </si>
  <si>
    <t>h33</t>
  </si>
  <si>
    <t>Eric Gross</t>
  </si>
  <si>
    <t>7,5*</t>
  </si>
  <si>
    <t>DL</t>
  </si>
  <si>
    <t>Elliot Romweber</t>
  </si>
  <si>
    <t>Baudalio Bartolache</t>
  </si>
  <si>
    <t>Carlos Ramirez</t>
  </si>
  <si>
    <t>Lamar Cherry</t>
  </si>
  <si>
    <t>Fernando Mendieta</t>
  </si>
  <si>
    <t>DEFLat1</t>
  </si>
  <si>
    <t>DEFLat2</t>
  </si>
  <si>
    <t>MEDIO</t>
  </si>
  <si>
    <t>AtLat1</t>
  </si>
  <si>
    <t>AtLat2</t>
  </si>
  <si>
    <t>AtCen</t>
  </si>
  <si>
    <t>Eugene Toney</t>
  </si>
  <si>
    <t>Lawrence Bauman</t>
  </si>
  <si>
    <t>Ability</t>
  </si>
  <si>
    <t>#16</t>
  </si>
  <si>
    <t>Defensas</t>
  </si>
  <si>
    <t>DEFCen</t>
  </si>
  <si>
    <t>#13</t>
  </si>
  <si>
    <t>Julian Limón</t>
  </si>
  <si>
    <t>Ke'Shawn Helms</t>
  </si>
  <si>
    <t>Stephen Buschelman</t>
  </si>
  <si>
    <t>CAB</t>
  </si>
  <si>
    <t>IHL</t>
  </si>
  <si>
    <t>#2</t>
  </si>
  <si>
    <t>#14</t>
  </si>
  <si>
    <t>#9</t>
  </si>
  <si>
    <t>S. Zobbe</t>
  </si>
  <si>
    <t>PEN</t>
  </si>
  <si>
    <t>BPiA</t>
  </si>
  <si>
    <t>BPiD</t>
  </si>
  <si>
    <t>6,5*</t>
  </si>
  <si>
    <t>Will Gelifini</t>
  </si>
  <si>
    <t>Min</t>
  </si>
  <si>
    <t>Max</t>
  </si>
  <si>
    <t>edad</t>
  </si>
  <si>
    <t>LS</t>
  </si>
  <si>
    <t>Capitan</t>
  </si>
  <si>
    <t>xpe/17 + (xpc * lid^2) ^ (2/3) / 30</t>
  </si>
  <si>
    <t>Xpe</t>
  </si>
  <si>
    <t>Xpe/17</t>
  </si>
  <si>
    <t>donde</t>
  </si>
  <si>
    <t>lid^2</t>
  </si>
  <si>
    <t>xpe es la suma de la experiencia de todos los jugadores</t>
  </si>
  <si>
    <t>Xpc*lid^2</t>
  </si>
  <si>
    <t>xpc es la experiencia del capitán</t>
  </si>
  <si>
    <t>(xpc * lid^2) ^ (2/3) / 30</t>
  </si>
  <si>
    <t>lid es el liderazgo del capitán</t>
  </si>
  <si>
    <t>Total</t>
  </si>
  <si>
    <t>liderazgo x liderazgo x experiencia</t>
  </si>
  <si>
    <t>Milan Amico</t>
  </si>
  <si>
    <t>CosteTotal</t>
  </si>
  <si>
    <t>#15</t>
  </si>
  <si>
    <t>P .Trivadi</t>
  </si>
  <si>
    <t>S. Pignot</t>
  </si>
  <si>
    <t>Stacy Zobbe</t>
  </si>
  <si>
    <t>Michael Smith</t>
  </si>
  <si>
    <t>Pavan Trivedi</t>
  </si>
  <si>
    <t>Cantera</t>
  </si>
  <si>
    <t>NCA</t>
  </si>
  <si>
    <t>F. Lasprilla</t>
  </si>
  <si>
    <t>#18</t>
  </si>
  <si>
    <t>LAT</t>
  </si>
  <si>
    <t>8*</t>
  </si>
  <si>
    <t>PAS</t>
  </si>
  <si>
    <t>N_CA</t>
  </si>
  <si>
    <t>#17</t>
  </si>
  <si>
    <t>BPMin</t>
  </si>
  <si>
    <t>BPMax</t>
  </si>
  <si>
    <t>For</t>
  </si>
  <si>
    <t>CosteFichaje</t>
  </si>
  <si>
    <t>CosteTransformación</t>
  </si>
  <si>
    <t>Fechallegada</t>
  </si>
  <si>
    <t>FechaTransformación</t>
  </si>
  <si>
    <t>CosteTemporada</t>
  </si>
  <si>
    <t>TempEntrenador</t>
  </si>
  <si>
    <t>SueldoJug</t>
  </si>
  <si>
    <t>SueldoEnt</t>
  </si>
  <si>
    <t>CEN</t>
  </si>
  <si>
    <t>DD</t>
  </si>
  <si>
    <t>Ojo, no es directo a calis, es un % para comparar entre varias POS</t>
  </si>
  <si>
    <t>Dif</t>
  </si>
  <si>
    <t>Zona</t>
  </si>
  <si>
    <t>Niveles¿?</t>
  </si>
  <si>
    <t>CALCULADO</t>
  </si>
  <si>
    <t>10niveles</t>
  </si>
  <si>
    <t>15niveles</t>
  </si>
  <si>
    <t>Def Central</t>
  </si>
  <si>
    <t>Def Lat</t>
  </si>
  <si>
    <t>Medio</t>
  </si>
  <si>
    <t>At Lateral</t>
  </si>
  <si>
    <t>At Central</t>
  </si>
  <si>
    <t>m90</t>
  </si>
  <si>
    <t>S. Buschelman</t>
  </si>
  <si>
    <t>#19</t>
  </si>
  <si>
    <t>EHM</t>
  </si>
  <si>
    <t>Pavan Trivadi</t>
  </si>
  <si>
    <t>Félix Lasprilla</t>
  </si>
  <si>
    <t>EXTOF</t>
  </si>
  <si>
    <t>Lenny Albers</t>
  </si>
  <si>
    <t>h34</t>
  </si>
  <si>
    <t>CMn</t>
  </si>
  <si>
    <t>CMx</t>
  </si>
  <si>
    <t>EN</t>
  </si>
  <si>
    <t>FechaDespido</t>
  </si>
  <si>
    <t>JUGADAS</t>
  </si>
  <si>
    <t>DEFENSA</t>
  </si>
  <si>
    <t>MDEF</t>
  </si>
  <si>
    <t>Portero</t>
  </si>
  <si>
    <t>DCNormal</t>
  </si>
  <si>
    <t>DCOff</t>
  </si>
  <si>
    <t>DLNormal</t>
  </si>
  <si>
    <t>DCtW</t>
  </si>
  <si>
    <t>Mnor</t>
  </si>
  <si>
    <t>EXTDEF</t>
  </si>
  <si>
    <t>Años</t>
  </si>
  <si>
    <t>ESP</t>
  </si>
  <si>
    <t>FechaCompra</t>
  </si>
  <si>
    <t>FOR</t>
  </si>
  <si>
    <t>Fmin</t>
  </si>
  <si>
    <t>Fmax</t>
  </si>
  <si>
    <t>FID</t>
  </si>
  <si>
    <t>XP</t>
  </si>
  <si>
    <t>JUG</t>
  </si>
  <si>
    <t>ANO</t>
  </si>
  <si>
    <t>BPI_A</t>
  </si>
  <si>
    <t>BPI_D</t>
  </si>
  <si>
    <t>DEFLAT</t>
  </si>
  <si>
    <t>DEFCEN</t>
  </si>
  <si>
    <t>ATLAT</t>
  </si>
  <si>
    <t>ATCEN</t>
  </si>
  <si>
    <t>HXP</t>
  </si>
  <si>
    <t>9*</t>
  </si>
  <si>
    <t>Fecha</t>
  </si>
  <si>
    <t>Entrenamiento</t>
  </si>
  <si>
    <t>FORMACION</t>
  </si>
  <si>
    <t>TODAS</t>
  </si>
  <si>
    <t>352BI</t>
  </si>
  <si>
    <t>253BI</t>
  </si>
  <si>
    <t>442CA</t>
  </si>
  <si>
    <t>541CA</t>
  </si>
  <si>
    <t>LATERAL</t>
  </si>
  <si>
    <t>PASES</t>
  </si>
  <si>
    <t>Maximo</t>
  </si>
  <si>
    <t>BPIAt</t>
  </si>
  <si>
    <t>BPIDf</t>
  </si>
  <si>
    <t>D. Gehmacher</t>
  </si>
  <si>
    <t>Dominik Gehmacher</t>
  </si>
  <si>
    <t>11*</t>
  </si>
  <si>
    <t>Hector Garzón</t>
  </si>
  <si>
    <t>Ag</t>
  </si>
  <si>
    <t>Ho</t>
  </si>
  <si>
    <t>%_T</t>
  </si>
  <si>
    <t>LATN</t>
  </si>
  <si>
    <t>CENN</t>
  </si>
  <si>
    <t>INN</t>
  </si>
  <si>
    <t>EXTN</t>
  </si>
  <si>
    <t>p</t>
  </si>
  <si>
    <t>DELCEN</t>
  </si>
  <si>
    <t>BPA</t>
  </si>
  <si>
    <t>BPD</t>
  </si>
  <si>
    <t>Ent.NEUTRO</t>
  </si>
  <si>
    <t>Ent.DEF</t>
  </si>
  <si>
    <t>Ent.OF</t>
  </si>
  <si>
    <t>DCN</t>
  </si>
  <si>
    <t>DCHL</t>
  </si>
  <si>
    <t>E. Romweber</t>
  </si>
  <si>
    <t>10*</t>
  </si>
  <si>
    <t>CA</t>
  </si>
  <si>
    <t>TL</t>
  </si>
  <si>
    <t>Valor lider de "RED BARON"</t>
  </si>
  <si>
    <t>R12,5%</t>
  </si>
  <si>
    <t>CEOf</t>
  </si>
  <si>
    <t>WBN</t>
  </si>
  <si>
    <t>F.Actu</t>
  </si>
  <si>
    <t>352Id</t>
  </si>
  <si>
    <t>541Id</t>
  </si>
  <si>
    <t>EXN</t>
  </si>
  <si>
    <t>ChL</t>
  </si>
  <si>
    <t>R16,6%</t>
  </si>
  <si>
    <t>Id-MED</t>
  </si>
  <si>
    <t>I. Seccarecci</t>
  </si>
  <si>
    <t>LastWeek</t>
  </si>
  <si>
    <t>B. Pinczehelyi</t>
  </si>
  <si>
    <t>Bendegúz Pinczehelyi</t>
  </si>
  <si>
    <t>Sem/1L</t>
  </si>
  <si>
    <t>7*</t>
  </si>
  <si>
    <t>Lorenzo Calosso</t>
  </si>
  <si>
    <t>Millor Qualificació</t>
  </si>
  <si>
    <t>Més Partits Jugats</t>
  </si>
  <si>
    <t>Subnivel Min Seccarecci</t>
  </si>
  <si>
    <t>11,5*</t>
  </si>
  <si>
    <t>8,5*</t>
  </si>
  <si>
    <t>#</t>
  </si>
  <si>
    <t>G/P</t>
  </si>
  <si>
    <t>Xpe/16,5</t>
  </si>
  <si>
    <t>(xpc * lid^2) ^ (2/3) / 27</t>
  </si>
  <si>
    <t>Gerolf Kerschl</t>
  </si>
  <si>
    <t>Fcompra</t>
  </si>
  <si>
    <t>10,5*</t>
  </si>
  <si>
    <t>14*</t>
  </si>
  <si>
    <t>532hts</t>
  </si>
  <si>
    <t>529hts</t>
  </si>
  <si>
    <t>Obiwan-Antioch</t>
  </si>
  <si>
    <t>FC Mariannah - Obiwan</t>
  </si>
  <si>
    <t>Hardy Kjærulff</t>
  </si>
  <si>
    <t>I. Vanags</t>
  </si>
  <si>
    <t>P. Tuderek</t>
  </si>
  <si>
    <t>R. Forsyth</t>
  </si>
  <si>
    <t>Ede</t>
  </si>
  <si>
    <t>Ean</t>
  </si>
  <si>
    <t>EBP</t>
  </si>
  <si>
    <t>DLD</t>
  </si>
  <si>
    <t>DLN</t>
  </si>
  <si>
    <t>DCL</t>
  </si>
  <si>
    <t>DCO</t>
  </si>
  <si>
    <t>IND</t>
  </si>
  <si>
    <t>ED</t>
  </si>
  <si>
    <t>EM</t>
  </si>
  <si>
    <t>Eju</t>
  </si>
  <si>
    <t>M. Bondarewski</t>
  </si>
  <si>
    <t>JMn</t>
  </si>
  <si>
    <t>JMx</t>
  </si>
  <si>
    <t>J. Vartiainen</t>
  </si>
  <si>
    <t>Coste (m€)</t>
  </si>
  <si>
    <t>G. Piscaer</t>
  </si>
  <si>
    <t>I. Stone</t>
  </si>
  <si>
    <t>#20</t>
  </si>
  <si>
    <t>#21</t>
  </si>
  <si>
    <t>#23</t>
  </si>
  <si>
    <t>#24</t>
  </si>
  <si>
    <t>#25</t>
  </si>
  <si>
    <t>Ordre</t>
  </si>
  <si>
    <t>2 Temporadas Jugadas</t>
  </si>
  <si>
    <t>1 Temporada Anotacion</t>
  </si>
  <si>
    <t>Fichar Portero+Defensas</t>
  </si>
  <si>
    <t>Defensa y BP</t>
  </si>
  <si>
    <t>Num</t>
  </si>
  <si>
    <t>Nombre</t>
  </si>
  <si>
    <t>S+20%</t>
  </si>
  <si>
    <t>IMP/CAB</t>
  </si>
  <si>
    <t>Inners</t>
  </si>
  <si>
    <t>RAP/IMP/CAB</t>
  </si>
  <si>
    <t>Delantero</t>
  </si>
  <si>
    <t>V. Godoi</t>
  </si>
  <si>
    <t>CA_Calculator</t>
  </si>
  <si>
    <t>TL Calculator</t>
  </si>
  <si>
    <t xml:space="preserve">Evaluación </t>
  </si>
  <si>
    <t>Evalución sin FORMA</t>
  </si>
  <si>
    <t>COMPLETAMENTE ENTRENADOS!</t>
  </si>
  <si>
    <t>Edad</t>
  </si>
  <si>
    <t>Esp</t>
  </si>
  <si>
    <t>Asc</t>
  </si>
  <si>
    <t>Pot</t>
  </si>
  <si>
    <t>u20</t>
  </si>
  <si>
    <t>Cap</t>
  </si>
  <si>
    <t>HTMS</t>
  </si>
  <si>
    <t>Ca</t>
  </si>
  <si>
    <t>PRIMER EQUIPO</t>
  </si>
  <si>
    <t>Info</t>
  </si>
  <si>
    <t>Habilidades</t>
  </si>
  <si>
    <t>Johnny Davis</t>
  </si>
  <si>
    <t>FC-2</t>
  </si>
  <si>
    <t>5 (4)</t>
  </si>
  <si>
    <t>2 (2)</t>
  </si>
  <si>
    <t>Polèmic (1)</t>
  </si>
  <si>
    <t>10 (8)</t>
  </si>
  <si>
    <t xml:space="preserve">RELEVANTES </t>
  </si>
  <si>
    <t>Payne Fields</t>
  </si>
  <si>
    <t>Chester Lanford</t>
  </si>
  <si>
    <t>no</t>
  </si>
  <si>
    <t>ns/nc</t>
  </si>
  <si>
    <t>Agradable i Popular (2-4)</t>
  </si>
  <si>
    <t>Sorena Rajabzadeh</t>
  </si>
  <si>
    <t>7 (5)</t>
  </si>
  <si>
    <t>15 (12)</t>
  </si>
  <si>
    <t>4 (3)</t>
  </si>
  <si>
    <t>6 (5)</t>
  </si>
  <si>
    <t>28 (13)</t>
  </si>
  <si>
    <t>Coleman Blake</t>
  </si>
  <si>
    <t>Collin Pemberton</t>
  </si>
  <si>
    <t>RELLENOS</t>
  </si>
  <si>
    <t>Lance Carr</t>
  </si>
  <si>
    <t>Malcom Harrigan</t>
  </si>
  <si>
    <t>FF+1</t>
  </si>
  <si>
    <t>Hunter Handel</t>
  </si>
  <si>
    <t>FF+2</t>
  </si>
  <si>
    <t>Colin Murray</t>
  </si>
  <si>
    <t>Mick Taylor</t>
  </si>
  <si>
    <t>Bob Jernigan</t>
  </si>
  <si>
    <t>Leandro La Cruz</t>
  </si>
  <si>
    <t>FC+5</t>
  </si>
  <si>
    <t>Evan Kohls</t>
  </si>
  <si>
    <t>Craig Cali</t>
  </si>
  <si>
    <t>FC</t>
  </si>
  <si>
    <t>Alex Baker</t>
  </si>
  <si>
    <t>Actualización</t>
  </si>
  <si>
    <t>Pot P</t>
  </si>
  <si>
    <t>Pot Def</t>
  </si>
  <si>
    <t>Pot Jug</t>
  </si>
  <si>
    <t>Pot Lat</t>
  </si>
  <si>
    <t>Pot Ano</t>
  </si>
  <si>
    <t>Pot Pas</t>
  </si>
  <si>
    <t>P_BP</t>
  </si>
  <si>
    <t>C.Ramirez</t>
  </si>
  <si>
    <t>E.Romweber</t>
  </si>
  <si>
    <t>L. Cherry</t>
  </si>
  <si>
    <t>N. Umair</t>
  </si>
  <si>
    <t>F. Mendieta</t>
  </si>
  <si>
    <t>M. Amico</t>
  </si>
  <si>
    <t>S. Buscleman</t>
  </si>
  <si>
    <t>E. Munguia</t>
  </si>
  <si>
    <t>G. McGrary</t>
  </si>
  <si>
    <t>E. Acosta</t>
  </si>
  <si>
    <t>G. Meza</t>
  </si>
  <si>
    <t>C. A. Nuñez</t>
  </si>
  <si>
    <t>R. Bravo</t>
  </si>
  <si>
    <t>M. Smith</t>
  </si>
  <si>
    <t>A. Ong</t>
  </si>
  <si>
    <t>B. Copenhaver</t>
  </si>
  <si>
    <t>R. Gottfried</t>
  </si>
  <si>
    <t>P. Trivedi</t>
  </si>
  <si>
    <t>E. Larm</t>
  </si>
  <si>
    <t>D. Amos</t>
  </si>
  <si>
    <t>J. Haskins</t>
  </si>
  <si>
    <t>M. Iverson</t>
  </si>
  <si>
    <t>P. Glenn</t>
  </si>
  <si>
    <t>M. Wells</t>
  </si>
  <si>
    <t>S. Gendron</t>
  </si>
  <si>
    <t>T.J. Burgess</t>
  </si>
  <si>
    <t>D. Bennett</t>
  </si>
  <si>
    <t>Donnie Leffler</t>
  </si>
  <si>
    <t>Victor Chavez</t>
  </si>
  <si>
    <t>B. Moriarty</t>
  </si>
  <si>
    <t>Talon Johnson</t>
  </si>
  <si>
    <t>B. Filler</t>
  </si>
  <si>
    <t>Henry Melillo</t>
  </si>
  <si>
    <t>H. Garzón</t>
  </si>
  <si>
    <t>D. Batchelor</t>
  </si>
  <si>
    <t>T. Robinson</t>
  </si>
  <si>
    <t>Chase Belanger</t>
  </si>
  <si>
    <t>Josh Bilbrey</t>
  </si>
  <si>
    <t>Javonte Patrick</t>
  </si>
  <si>
    <t>Randal Meister</t>
  </si>
  <si>
    <t>D. Waller</t>
  </si>
  <si>
    <t>Z. Fretwell</t>
  </si>
  <si>
    <t>Kelvin Lake</t>
  </si>
  <si>
    <t>Braxton Rose</t>
  </si>
  <si>
    <t>Adrian Ramsey</t>
  </si>
  <si>
    <t>Brent Braunstein</t>
  </si>
  <si>
    <t>Diego Mancilla</t>
  </si>
  <si>
    <t>Adrien Kudo</t>
  </si>
  <si>
    <t>Keith Simonsen</t>
  </si>
  <si>
    <t>C. Sternberg</t>
  </si>
  <si>
    <t>A. M. Fuente</t>
  </si>
  <si>
    <t>Wilson Barragán</t>
  </si>
  <si>
    <t>Dillon Newton</t>
  </si>
  <si>
    <t>Dustin Sessoms</t>
  </si>
  <si>
    <t>Virgilio Cerrud</t>
  </si>
  <si>
    <t>Jerry McGuigan</t>
  </si>
  <si>
    <t>Kurt Bond</t>
  </si>
  <si>
    <t>K. Guzman</t>
  </si>
  <si>
    <t>Gregory Soo</t>
  </si>
  <si>
    <t>Michael Martin</t>
  </si>
  <si>
    <t>5,0-5,9</t>
  </si>
  <si>
    <t>Ernie Majors</t>
  </si>
  <si>
    <t>Derrick Rawson</t>
  </si>
  <si>
    <t>Beau Gaudreau</t>
  </si>
  <si>
    <t>Nicholas Fout</t>
  </si>
  <si>
    <t>Chas Hulbert</t>
  </si>
  <si>
    <t>Randy Carter</t>
  </si>
  <si>
    <t>Steven Glenn</t>
  </si>
  <si>
    <t>Cody Kenny</t>
  </si>
  <si>
    <t>Daniel Miller</t>
  </si>
  <si>
    <t>Helmi Abdou</t>
  </si>
  <si>
    <t>Kyle Failla</t>
  </si>
  <si>
    <t>Eugene Ylanan</t>
  </si>
  <si>
    <t>Terry Risinger</t>
  </si>
  <si>
    <t>Emmanuel Allen</t>
  </si>
  <si>
    <t>Paul James</t>
  </si>
  <si>
    <t>Chaz Sutton</t>
  </si>
  <si>
    <t>Cam Funk</t>
  </si>
  <si>
    <t>Toni Leventhal</t>
  </si>
  <si>
    <t>Parker Pond</t>
  </si>
  <si>
    <t>Billy Davidson</t>
  </si>
  <si>
    <t>Kenneth Coomes</t>
  </si>
  <si>
    <t>Zach Arruda</t>
  </si>
  <si>
    <t>Craig Dunaj</t>
  </si>
  <si>
    <t>Rudolph Waymire</t>
  </si>
  <si>
    <t>Jared Martin</t>
  </si>
  <si>
    <t>Hans Wolf</t>
  </si>
  <si>
    <t>Clayton Roberson</t>
  </si>
  <si>
    <t xml:space="preserve">Recomendaciones sobre los ojeadores </t>
  </si>
  <si>
    <r>
      <rPr>
        <b/>
        <sz val="11"/>
        <color indexed="8"/>
        <rFont val="Calibri"/>
        <family val="2"/>
        <charset val="1"/>
      </rPr>
      <t>Enrolaremos semanalmente</t>
    </r>
    <r>
      <rPr>
        <sz val="11"/>
        <color indexed="8"/>
        <rFont val="Calibri"/>
        <family val="2"/>
        <charset val="1"/>
      </rPr>
      <t xml:space="preserve"> a un jugador y, en último caso, aceptaremos siempre el ofertado por el tercer ojeador.</t>
    </r>
  </si>
  <si>
    <r>
      <rPr>
        <sz val="11"/>
        <color indexed="8"/>
        <rFont val="Calibri"/>
        <family val="2"/>
        <charset val="1"/>
      </rPr>
      <t xml:space="preserve">Situaremos a los ojeadores en </t>
    </r>
    <r>
      <rPr>
        <b/>
        <sz val="11"/>
        <color indexed="8"/>
        <rFont val="Calibri"/>
        <family val="2"/>
        <charset val="1"/>
      </rPr>
      <t>regiones diferentes</t>
    </r>
    <r>
      <rPr>
        <sz val="11"/>
        <color indexed="8"/>
        <rFont val="Calibri"/>
        <family val="2"/>
        <charset val="1"/>
      </rPr>
      <t xml:space="preserve"> y, a ser posible, en algunas de las que más usuarios tengan.</t>
    </r>
  </si>
  <si>
    <r>
      <rPr>
        <sz val="11"/>
        <color indexed="8"/>
        <rFont val="Calibri"/>
        <family val="2"/>
        <charset val="1"/>
      </rPr>
      <t xml:space="preserve">Les daremos un </t>
    </r>
    <r>
      <rPr>
        <b/>
        <sz val="11"/>
        <color indexed="8"/>
        <rFont val="Calibri"/>
        <family val="2"/>
        <charset val="1"/>
      </rPr>
      <t>patrón específico</t>
    </r>
    <r>
      <rPr>
        <sz val="11"/>
        <color indexed="8"/>
        <rFont val="Calibri"/>
        <family val="2"/>
        <charset val="1"/>
      </rPr>
      <t xml:space="preserve"> de búsqueda de jugadores, adecuado a nuestro plan de entrenamiento (por ejemplo, buscar delanteros si entrenamos anotación/pases).</t>
    </r>
  </si>
  <si>
    <r>
      <rPr>
        <sz val="11"/>
        <color indexed="8"/>
        <rFont val="Calibri"/>
        <family val="2"/>
        <charset val="1"/>
      </rPr>
      <t xml:space="preserve">Primaremos los jugadores de </t>
    </r>
    <r>
      <rPr>
        <b/>
        <sz val="11"/>
        <color indexed="8"/>
        <rFont val="Calibri"/>
        <family val="2"/>
        <charset val="1"/>
      </rPr>
      <t>15 ó 16</t>
    </r>
    <r>
      <rPr>
        <sz val="11"/>
        <color indexed="8"/>
        <rFont val="Calibri"/>
        <family val="2"/>
        <charset val="1"/>
      </rPr>
      <t xml:space="preserve"> años.</t>
    </r>
  </si>
  <si>
    <r>
      <rPr>
        <sz val="11"/>
        <color indexed="8"/>
        <rFont val="Calibri"/>
        <family val="2"/>
        <charset val="1"/>
      </rPr>
      <t xml:space="preserve">Buscar jugadores con </t>
    </r>
    <r>
      <rPr>
        <b/>
        <sz val="11"/>
        <color indexed="8"/>
        <rFont val="Calibri"/>
        <family val="2"/>
        <charset val="1"/>
      </rPr>
      <t>buen potencial en una habilidad primaria</t>
    </r>
    <r>
      <rPr>
        <sz val="11"/>
        <color indexed="8"/>
        <rFont val="Calibri"/>
        <family val="2"/>
        <charset val="1"/>
      </rPr>
      <t xml:space="preserve">, a partir de la información sobre las dos habilidades que nos da el ojeador. </t>
    </r>
  </si>
  <si>
    <t>Si no cita la habilidad principal que nos interesa, o el potencial es dudoso, deberemos rechazarlo.</t>
  </si>
  <si>
    <r>
      <rPr>
        <sz val="11"/>
        <color indexed="8"/>
        <rFont val="Calibri"/>
        <family val="2"/>
        <charset val="1"/>
      </rPr>
      <t xml:space="preserve">Debemos tener claro el objetivo al que aspiramos: Promocionar jugadores al menos </t>
    </r>
    <r>
      <rPr>
        <b/>
        <sz val="11"/>
        <color indexed="8"/>
        <rFont val="Calibri"/>
        <family val="2"/>
        <charset val="1"/>
      </rPr>
      <t>buenos</t>
    </r>
    <r>
      <rPr>
        <sz val="11"/>
        <color indexed="8"/>
        <rFont val="Calibri"/>
        <family val="2"/>
        <charset val="1"/>
      </rPr>
      <t xml:space="preserve"> en una habilidad principal </t>
    </r>
    <r>
      <rPr>
        <b/>
        <sz val="11"/>
        <color indexed="8"/>
        <rFont val="Calibri"/>
        <family val="2"/>
        <charset val="1"/>
      </rPr>
      <t>a los 17 años</t>
    </r>
    <r>
      <rPr>
        <sz val="11"/>
        <color indexed="8"/>
        <rFont val="Calibri"/>
        <family val="2"/>
        <charset val="1"/>
      </rPr>
      <t xml:space="preserve">. </t>
    </r>
  </si>
  <si>
    <t xml:space="preserve">   Cualquier otro jugador tendrá un valor de mercado muy inferior y ni tan siquiera nos permitirá recuperar la inversión semanal de 22.000 que debemos hacer.</t>
  </si>
  <si>
    <t>El motivo de jugar con 9 (o 10) sería para revelar cierta habilidad potencial. Hay que intentar revelar todo lo que sea relevante. Con menos jugadores en el campo puedes aumentar la probabilidad en muchos casos, pero no en todos.</t>
  </si>
  <si>
    <t>Digamos que entrenas jugadas principal y pases cortos secundario, y ya tienes revelado el nivel actual de jugadas de tus importantes y relevantes. Tus 2 importantes obviamente juegan de inners (siempre que no estén topados). El tercer inner será el de los 3 relevantes que más se beneficia del entreno de jugadas, y el siguiente juega de extremo. Entonces queda 1 sitio de extremo. Es muy habitual tener un jóven recién llegado del que no sabes mucho, y que no has podido clasificar bien todavía. Éste sería un buen candidato. Lo importante es no "tirar" la revelación del nivel actual. En el caso de que tengas un recién llegado que no pinta gran cosa pero no sabes nada de sus jugadas (o lateral) y ya tienes un importante/relevante para revelar, lo puedes hacer entrar en el minuto 89 para al menos ver el número de estrellas sin gastar un reporte. En resumen, siempre debería haber un jugador en posición entrenable con nivel actual desconocido, al menos 46 minutos del partido.</t>
  </si>
  <si>
    <t>Una vez colocados los medios, asegúrate de que al menos uno de los delanteros tenga el potencial de pases desconocido si todos los medios lo tienen revelado. Después, son los relevantes no topados en pases que juegan en la delantera, y finalmente los de relleno que ya tienen (casi) todos sus potenciales revelados.</t>
  </si>
  <si>
    <t>Ahora llegamos a lo de jugar con menos de 11. Jugando 253, quedan 3 sitios (defensas y portero), y se puede jugar el partido con 9. El entrenador revelará también el potencial de anotación, lateral, defensa o portería de 1 jugador en el campo. Mira los 8 que has metido. Si todos tienen anotación revelado deberías colocar uno que lo tiene desconocido en la defensa/portería. Pero si un importante lo tiene desconocido, deberías evitar alinear otro con esta habilidad desconocido! Repite esto para lateral y defensa (portería no importa). Ahora es perfectamente posible que te quedas con 9 en el campo.</t>
  </si>
  <si>
    <t>En mi caso, llevo mucho tiempo solo encontrando paquetes de relleno, con algún relevante de vez en cuando. No me ha costado nada revelar todo lo que me interesa de los relevantes porque he tenido tanto relleno con todo revelado. Así que cada vez que encuentro un jóven nuevo que puede ser interesante, puedo casi asegurar dos o tres reportes suyos en el primer entreno, aún jugando con 11.</t>
  </si>
  <si>
    <t>Ahora ves cómo se puede planificar la alineación para exprimir todo lo posible de los reportes?</t>
  </si>
  <si>
    <t>PD - También hay motivos para jugar con 11: Con más posesión tendrás más eventos especiales, y en eventos especiales se puede observar especialidades que no conocías. Y con 11 puedes poner suplentes - muchas veces tengo un relevante para poner de suplente en la posición entrenable para no malgastar el entreno en caso de lesión. Para optimar el entreno hay que tener en cuenta muchas cosas ;-)</t>
  </si>
  <si>
    <t>Davis</t>
  </si>
  <si>
    <t>PROMOCIONADOS HISTORIA</t>
  </si>
  <si>
    <t>IV.11</t>
  </si>
  <si>
    <t xml:space="preserve">a cierre de ejercicio </t>
  </si>
  <si>
    <t>Socios</t>
  </si>
  <si>
    <t>ACTIVO</t>
  </si>
  <si>
    <t>PASIVO</t>
  </si>
  <si>
    <t>SALDO INICIAL</t>
  </si>
  <si>
    <t>Taquillas</t>
  </si>
  <si>
    <t>Inmobilizado</t>
  </si>
  <si>
    <t>Patrimonio</t>
  </si>
  <si>
    <t>Patrocinadores</t>
  </si>
  <si>
    <t>Estadio</t>
  </si>
  <si>
    <t>Capital Inicial</t>
  </si>
  <si>
    <t>Venta de jugadores</t>
  </si>
  <si>
    <t>Ventas</t>
  </si>
  <si>
    <t>Entrenador</t>
  </si>
  <si>
    <t>ByP Acum</t>
  </si>
  <si>
    <t>VentasCantera</t>
  </si>
  <si>
    <t>Amortizaciones</t>
  </si>
  <si>
    <t>Comisiones</t>
  </si>
  <si>
    <t>Otros</t>
  </si>
  <si>
    <t>Nuevos Socios</t>
  </si>
  <si>
    <t>Jugadores</t>
  </si>
  <si>
    <t>B/P</t>
  </si>
  <si>
    <t>Premios</t>
  </si>
  <si>
    <t>Step</t>
  </si>
  <si>
    <t>B/P Jugadores</t>
  </si>
  <si>
    <t>TOTAL INGRESOS</t>
  </si>
  <si>
    <t>B/P Step</t>
  </si>
  <si>
    <t>Sueldos</t>
  </si>
  <si>
    <t>Entrenables</t>
  </si>
  <si>
    <t>B/P Cantera</t>
  </si>
  <si>
    <t xml:space="preserve">Mantenimiento </t>
  </si>
  <si>
    <t>Mercadeo</t>
  </si>
  <si>
    <t>B/P Entrenables</t>
  </si>
  <si>
    <t>Construcción del estadio</t>
  </si>
  <si>
    <t>B/P Mercadeo</t>
  </si>
  <si>
    <t>Empleados</t>
  </si>
  <si>
    <t>B/P Act</t>
  </si>
  <si>
    <t>Juveniles</t>
  </si>
  <si>
    <t>Compra de jugadores*</t>
  </si>
  <si>
    <t>Compra</t>
  </si>
  <si>
    <t>Compras</t>
  </si>
  <si>
    <t>Viajes+Venta</t>
  </si>
  <si>
    <t>Intereses</t>
  </si>
  <si>
    <t>TOTAL GASTOS</t>
  </si>
  <si>
    <t>Pagos LP</t>
  </si>
  <si>
    <t>SALDO FINAL</t>
  </si>
  <si>
    <t>Ingresos</t>
  </si>
  <si>
    <t>Pagos CP</t>
  </si>
  <si>
    <t>Plantilla Medias (mirar antes entreno) (sin entrenador)</t>
  </si>
  <si>
    <t>Salarios</t>
  </si>
  <si>
    <t>TSI11</t>
  </si>
  <si>
    <t>Sueldo11</t>
  </si>
  <si>
    <t>Edad11</t>
  </si>
  <si>
    <t>Resistencia11</t>
  </si>
  <si>
    <t>Forma11</t>
  </si>
  <si>
    <t>Experiencia11</t>
  </si>
  <si>
    <t>Hibridación</t>
  </si>
  <si>
    <t>RESERVAS</t>
  </si>
  <si>
    <t>Pago Reservas</t>
  </si>
  <si>
    <t>Reservas</t>
  </si>
  <si>
    <t>Ing Reservas</t>
  </si>
  <si>
    <t>32(17)</t>
  </si>
  <si>
    <t>BALANCE DE SITUACION Año En Curso</t>
  </si>
  <si>
    <t>Cash</t>
  </si>
  <si>
    <t>Reservas Inicio</t>
  </si>
  <si>
    <t>Cash Incial</t>
  </si>
  <si>
    <t>G. Stoychev</t>
  </si>
  <si>
    <t>M. Grupinski</t>
  </si>
  <si>
    <t>30(35)</t>
  </si>
  <si>
    <t>Nate Walton</t>
  </si>
  <si>
    <t>IDEF</t>
  </si>
  <si>
    <t>EXhM</t>
  </si>
  <si>
    <t>F-N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</si>
</sst>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4" formatCode="_-* #,##0.00\ &quot;€&quot;_-;\-* #,##0.00\ &quot;€&quot;_-;_-* &quot;-&quot;??\ &quot;€&quot;_-;_-@_-"/>
    <numFmt numFmtId="43" formatCode="_-* #,##0.00\ _€_-;\-* #,##0.00\ _€_-;_-* &quot;-&quot;??\ _€_-;_-@_-"/>
    <numFmt numFmtId="164" formatCode="0.0%"/>
    <numFmt numFmtId="165" formatCode="_-* #,##0\ &quot;€&quot;_-;\-* #,##0\ &quot;€&quot;_-;_-* &quot;-&quot;??\ &quot;€&quot;_-;_-@_-"/>
    <numFmt numFmtId="166" formatCode="_-* #,##0\ [$€-C0A]_-;\-* #,##0\ [$€-C0A]_-;_-* &quot;-&quot;??\ [$€-C0A]_-;_-@_-"/>
    <numFmt numFmtId="167" formatCode="_-* #,##0.00\ [$€-C0A]_-;\-* #,##0.00\ [$€-C0A]_-;_-* &quot;-&quot;??\ [$€-C0A]_-;_-@_-"/>
    <numFmt numFmtId="168" formatCode="_-* #,##0\ _€_-;\-* #,##0\ _€_-;_-* &quot;-&quot;??\ _€_-;_-@_-"/>
    <numFmt numFmtId="169" formatCode="0.0"/>
    <numFmt numFmtId="170" formatCode="0.000"/>
    <numFmt numFmtId="171" formatCode="_-* #,##0.0\ _€_-;\-* #,##0.0\ _€_-;_-* &quot;-&quot;??\ _€_-;_-@_-"/>
    <numFmt numFmtId="172" formatCode="0.0000"/>
    <numFmt numFmtId="173" formatCode="0.00000"/>
    <numFmt numFmtId="174" formatCode="0\ %"/>
    <numFmt numFmtId="175" formatCode="_-* #,##0\ [$€-C0A]_-;\-* #,##0\ [$€-C0A]_-;_-* \-??\ [$€-C0A]_-;_-@_-"/>
    <numFmt numFmtId="176" formatCode="_-* #,##0.00\ [$€-C0A]_-;\-* #,##0.00\ [$€-C0A]_-;_-* \-??\ [$€-C0A]_-;_-@_-"/>
    <numFmt numFmtId="177" formatCode="_-* #,##0\ _€_-;\-* #,##0\ _€_-;_-* \-??\ _€_-;_-@_-"/>
    <numFmt numFmtId="178" formatCode="_-* #,##0&quot; €&quot;_-;\-* #,##0&quot; €&quot;_-;_-* \-??&quot; €&quot;_-;_-@_-"/>
  </numFmts>
  <fonts count="98" x14ac:knownFonts="1">
    <font>
      <sz val="11"/>
      <color theme="1"/>
      <name val="Calibri"/>
      <family val="2"/>
      <scheme val="minor"/>
    </font>
    <font>
      <sz val="11"/>
      <color theme="1"/>
      <name val="Calibri"/>
      <family val="2"/>
      <scheme val="minor"/>
    </font>
    <font>
      <b/>
      <sz val="11"/>
      <color theme="1"/>
      <name val="Calibri"/>
      <family val="2"/>
      <scheme val="minor"/>
    </font>
    <font>
      <b/>
      <sz val="7.5"/>
      <color rgb="FFFFFFFF"/>
      <name val="Calibri"/>
      <family val="2"/>
      <scheme val="minor"/>
    </font>
    <font>
      <b/>
      <sz val="7.5"/>
      <color theme="1"/>
      <name val="Calibri"/>
      <family val="2"/>
      <scheme val="minor"/>
    </font>
    <font>
      <sz val="7.5"/>
      <color theme="1"/>
      <name val="Calibri"/>
      <family val="2"/>
      <scheme val="minor"/>
    </font>
    <font>
      <b/>
      <u/>
      <sz val="11"/>
      <color theme="1"/>
      <name val="Calibri"/>
      <family val="2"/>
      <scheme val="minor"/>
    </font>
    <font>
      <b/>
      <sz val="11"/>
      <name val="Calibri"/>
      <family val="2"/>
      <scheme val="minor"/>
    </font>
    <font>
      <sz val="11"/>
      <color rgb="FFFF0000"/>
      <name val="Calibri"/>
      <family val="2"/>
      <scheme val="minor"/>
    </font>
    <font>
      <b/>
      <sz val="10"/>
      <color theme="1"/>
      <name val="Calibri"/>
      <family val="2"/>
      <scheme val="minor"/>
    </font>
    <font>
      <b/>
      <sz val="14"/>
      <color theme="1"/>
      <name val="Calibri"/>
      <family val="2"/>
      <scheme val="minor"/>
    </font>
    <font>
      <b/>
      <sz val="14"/>
      <color rgb="FFFF0000"/>
      <name val="Calibri"/>
      <family val="2"/>
      <scheme val="minor"/>
    </font>
    <font>
      <b/>
      <sz val="10"/>
      <color rgb="FFFF0000"/>
      <name val="Calibri"/>
      <family val="2"/>
      <scheme val="minor"/>
    </font>
    <font>
      <b/>
      <sz val="8"/>
      <color indexed="81"/>
      <name val="Tahoma"/>
      <family val="2"/>
    </font>
    <font>
      <sz val="8"/>
      <color indexed="81"/>
      <name val="Tahoma"/>
      <family val="2"/>
    </font>
    <font>
      <sz val="11"/>
      <color indexed="8"/>
      <name val="Calibri"/>
      <family val="2"/>
      <charset val="1"/>
    </font>
    <font>
      <sz val="8"/>
      <color rgb="FF000000"/>
      <name val="Verdana"/>
      <family val="2"/>
    </font>
    <font>
      <sz val="10"/>
      <color theme="1"/>
      <name val="Calibri"/>
      <family val="2"/>
      <scheme val="minor"/>
    </font>
    <font>
      <sz val="11"/>
      <color theme="0"/>
      <name val="Calibri"/>
      <family val="2"/>
      <scheme val="minor"/>
    </font>
    <font>
      <b/>
      <sz val="11"/>
      <color rgb="FFFF0000"/>
      <name val="Calibri"/>
      <family val="2"/>
      <scheme val="minor"/>
    </font>
    <font>
      <sz val="11"/>
      <name val="Calibri"/>
      <family val="2"/>
      <scheme val="minor"/>
    </font>
    <font>
      <b/>
      <sz val="11"/>
      <color theme="0"/>
      <name val="Calibri"/>
      <family val="2"/>
      <charset val="1"/>
    </font>
    <font>
      <b/>
      <sz val="11"/>
      <color indexed="8"/>
      <name val="Calibri"/>
      <family val="2"/>
    </font>
    <font>
      <sz val="11"/>
      <color indexed="8"/>
      <name val="Calibri"/>
      <family val="2"/>
    </font>
    <font>
      <b/>
      <i/>
      <u/>
      <sz val="11"/>
      <color theme="1"/>
      <name val="Calibri"/>
      <family val="2"/>
      <scheme val="minor"/>
    </font>
    <font>
      <b/>
      <sz val="8"/>
      <color theme="0"/>
      <name val="Verdana"/>
      <family val="2"/>
    </font>
    <font>
      <b/>
      <i/>
      <u/>
      <sz val="8"/>
      <color theme="0"/>
      <name val="Verdana"/>
      <family val="2"/>
    </font>
    <font>
      <sz val="16"/>
      <name val="Verdana"/>
      <family val="2"/>
    </font>
    <font>
      <sz val="14"/>
      <name val="Verdana"/>
      <family val="2"/>
    </font>
    <font>
      <sz val="10"/>
      <name val="Verdana"/>
      <family val="2"/>
    </font>
    <font>
      <sz val="8.5"/>
      <name val="Verdana"/>
      <family val="2"/>
    </font>
    <font>
      <b/>
      <sz val="8"/>
      <name val="Verdana"/>
      <family val="2"/>
    </font>
    <font>
      <sz val="11"/>
      <name val="Calibri"/>
      <family val="2"/>
      <charset val="1"/>
    </font>
    <font>
      <b/>
      <sz val="11"/>
      <name val="Calibri"/>
      <family val="2"/>
      <charset val="1"/>
    </font>
    <font>
      <b/>
      <sz val="11"/>
      <color indexed="8"/>
      <name val="Calibri"/>
      <family val="2"/>
      <charset val="1"/>
    </font>
    <font>
      <sz val="8"/>
      <name val="Verdana"/>
      <family val="2"/>
    </font>
    <font>
      <sz val="10"/>
      <name val="Calibri"/>
      <family val="2"/>
      <scheme val="minor"/>
    </font>
    <font>
      <sz val="11"/>
      <name val="Calibri"/>
      <family val="2"/>
    </font>
    <font>
      <sz val="10"/>
      <name val="Calibri"/>
      <family val="2"/>
    </font>
    <font>
      <sz val="9"/>
      <color theme="1"/>
      <name val="Calibri"/>
      <family val="2"/>
      <scheme val="minor"/>
    </font>
    <font>
      <i/>
      <u/>
      <sz val="11"/>
      <name val="Calibri"/>
      <family val="2"/>
      <scheme val="minor"/>
    </font>
    <font>
      <sz val="8"/>
      <color theme="9" tint="-0.499984740745262"/>
      <name val="Verdana"/>
      <family val="2"/>
    </font>
    <font>
      <b/>
      <sz val="11"/>
      <name val="Calibri"/>
      <family val="2"/>
    </font>
    <font>
      <b/>
      <sz val="11"/>
      <color theme="0"/>
      <name val="Calibri"/>
      <family val="2"/>
      <scheme val="minor"/>
    </font>
    <font>
      <sz val="11"/>
      <color rgb="FFFF0000"/>
      <name val="Calibri"/>
      <family val="2"/>
    </font>
    <font>
      <b/>
      <sz val="12"/>
      <color rgb="FFFF0000"/>
      <name val="Calibri"/>
      <family val="2"/>
      <scheme val="minor"/>
    </font>
    <font>
      <b/>
      <sz val="13.5"/>
      <color theme="1"/>
      <name val="Calibri"/>
      <family val="2"/>
      <scheme val="minor"/>
    </font>
    <font>
      <b/>
      <sz val="8"/>
      <color rgb="FF00B050"/>
      <name val="Verdana"/>
      <family val="2"/>
    </font>
    <font>
      <sz val="8"/>
      <color rgb="FF00B050"/>
      <name val="Verdana"/>
      <family val="2"/>
    </font>
    <font>
      <b/>
      <sz val="8"/>
      <color theme="1"/>
      <name val="Verdana"/>
      <family val="2"/>
    </font>
    <font>
      <sz val="8"/>
      <color theme="1"/>
      <name val="Verdana"/>
      <family val="2"/>
    </font>
    <font>
      <b/>
      <i/>
      <u/>
      <sz val="11"/>
      <name val="Calibri"/>
      <family val="2"/>
    </font>
    <font>
      <b/>
      <sz val="12"/>
      <color theme="1"/>
      <name val="Calibri"/>
      <family val="2"/>
      <scheme val="minor"/>
    </font>
    <font>
      <sz val="10"/>
      <name val="Arial"/>
      <family val="2"/>
    </font>
    <font>
      <sz val="10"/>
      <color indexed="8"/>
      <name val="Arial"/>
      <family val="2"/>
    </font>
    <font>
      <b/>
      <u/>
      <sz val="11"/>
      <color indexed="9"/>
      <name val="Calibri"/>
      <family val="2"/>
      <charset val="1"/>
    </font>
    <font>
      <b/>
      <u/>
      <sz val="10"/>
      <color indexed="9"/>
      <name val="Arial"/>
      <family val="2"/>
    </font>
    <font>
      <b/>
      <u/>
      <sz val="11"/>
      <color indexed="8"/>
      <name val="Calibri"/>
      <family val="2"/>
      <charset val="1"/>
    </font>
    <font>
      <b/>
      <sz val="11"/>
      <color indexed="9"/>
      <name val="Calibri"/>
      <family val="2"/>
      <charset val="1"/>
    </font>
    <font>
      <b/>
      <sz val="10"/>
      <color indexed="9"/>
      <name val="Arial"/>
      <family val="2"/>
    </font>
    <font>
      <sz val="12"/>
      <name val="Calibri"/>
      <family val="2"/>
    </font>
    <font>
      <sz val="12"/>
      <color indexed="10"/>
      <name val="Calibri"/>
      <family val="2"/>
      <charset val="1"/>
    </font>
    <font>
      <b/>
      <sz val="12"/>
      <color indexed="10"/>
      <name val="Calibri"/>
      <family val="2"/>
      <charset val="1"/>
    </font>
    <font>
      <sz val="12"/>
      <color indexed="8"/>
      <name val="Calibri"/>
      <family val="2"/>
      <charset val="1"/>
    </font>
    <font>
      <b/>
      <sz val="12"/>
      <color indexed="8"/>
      <name val="Calibri"/>
      <family val="2"/>
      <charset val="1"/>
    </font>
    <font>
      <b/>
      <i/>
      <u/>
      <sz val="12"/>
      <color indexed="8"/>
      <name val="Calibri"/>
      <family val="2"/>
      <charset val="1"/>
    </font>
    <font>
      <b/>
      <i/>
      <sz val="11"/>
      <name val="Calibri"/>
      <family val="2"/>
    </font>
    <font>
      <sz val="12"/>
      <name val="Calibri"/>
      <family val="2"/>
      <charset val="1"/>
    </font>
    <font>
      <b/>
      <i/>
      <u/>
      <sz val="11"/>
      <color indexed="8"/>
      <name val="Calibri"/>
      <family val="2"/>
    </font>
    <font>
      <sz val="10"/>
      <color indexed="8"/>
      <name val="Calibri"/>
      <family val="2"/>
      <charset val="1"/>
    </font>
    <font>
      <sz val="9"/>
      <color indexed="8"/>
      <name val="Calibri"/>
      <family val="2"/>
      <charset val="1"/>
    </font>
    <font>
      <b/>
      <i/>
      <u/>
      <sz val="14"/>
      <name val="Arial"/>
      <family val="2"/>
    </font>
    <font>
      <sz val="11"/>
      <color indexed="10"/>
      <name val="Calibri"/>
      <family val="2"/>
      <charset val="1"/>
    </font>
    <font>
      <sz val="11"/>
      <color indexed="10"/>
      <name val="Calibri"/>
      <family val="2"/>
    </font>
    <font>
      <b/>
      <i/>
      <u/>
      <sz val="12"/>
      <color indexed="10"/>
      <name val="Calibri"/>
      <family val="2"/>
      <charset val="1"/>
    </font>
    <font>
      <b/>
      <sz val="12"/>
      <color indexed="8"/>
      <name val="Calibri"/>
      <family val="2"/>
    </font>
    <font>
      <sz val="12"/>
      <color indexed="10"/>
      <name val="Calibri"/>
      <family val="2"/>
    </font>
    <font>
      <b/>
      <sz val="11"/>
      <color rgb="FF000000"/>
      <name val="Calibri"/>
      <family val="2"/>
      <charset val="1"/>
    </font>
    <font>
      <b/>
      <sz val="11"/>
      <color rgb="FF385724"/>
      <name val="Calibri"/>
      <family val="2"/>
      <charset val="1"/>
    </font>
    <font>
      <b/>
      <sz val="10"/>
      <color rgb="FF000000"/>
      <name val="Calibri"/>
      <family val="2"/>
      <charset val="1"/>
    </font>
    <font>
      <b/>
      <sz val="16"/>
      <color theme="1"/>
      <name val="Calibri"/>
      <family val="2"/>
      <scheme val="minor"/>
    </font>
    <font>
      <b/>
      <sz val="14"/>
      <color rgb="FFFFFFFF"/>
      <name val="Calibri"/>
      <family val="2"/>
      <charset val="1"/>
    </font>
    <font>
      <b/>
      <sz val="14"/>
      <color rgb="FF000000"/>
      <name val="Calibri"/>
      <family val="2"/>
      <charset val="1"/>
    </font>
    <font>
      <b/>
      <sz val="14"/>
      <color rgb="FF535353"/>
      <name val="Calibri"/>
      <family val="2"/>
      <charset val="1"/>
    </font>
    <font>
      <b/>
      <sz val="14"/>
      <color rgb="FFFF0000"/>
      <name val="Calibri"/>
      <family val="2"/>
      <charset val="1"/>
    </font>
    <font>
      <b/>
      <sz val="11"/>
      <color rgb="FF548235"/>
      <name val="Calibri"/>
      <family val="2"/>
      <charset val="1"/>
    </font>
    <font>
      <b/>
      <sz val="14"/>
      <color rgb="FF00B050"/>
      <name val="Calibri"/>
      <family val="2"/>
    </font>
    <font>
      <sz val="11"/>
      <color rgb="FF00B050"/>
      <name val="Calibri"/>
      <family val="2"/>
      <scheme val="minor"/>
    </font>
    <font>
      <sz val="12"/>
      <color rgb="FFFF0000"/>
      <name val="Calibri"/>
      <family val="2"/>
      <charset val="1"/>
    </font>
    <font>
      <b/>
      <sz val="12"/>
      <color rgb="FFFF0000"/>
      <name val="Calibri"/>
      <family val="2"/>
      <charset val="1"/>
    </font>
    <font>
      <b/>
      <sz val="8"/>
      <color indexed="8"/>
      <name val="Calibri"/>
      <family val="2"/>
    </font>
    <font>
      <sz val="8"/>
      <name val="Calibri"/>
      <family val="2"/>
    </font>
    <font>
      <b/>
      <sz val="8"/>
      <color theme="0"/>
      <name val="Calibri"/>
      <family val="2"/>
      <charset val="1"/>
    </font>
    <font>
      <b/>
      <sz val="8"/>
      <name val="Calibri"/>
      <family val="2"/>
      <scheme val="minor"/>
    </font>
    <font>
      <sz val="8"/>
      <name val="Calibri"/>
      <family val="2"/>
      <scheme val="minor"/>
    </font>
    <font>
      <sz val="8"/>
      <color theme="1"/>
      <name val="Calibri"/>
      <family val="2"/>
      <scheme val="minor"/>
    </font>
    <font>
      <b/>
      <sz val="8"/>
      <color theme="1"/>
      <name val="Calibri"/>
      <family val="2"/>
      <scheme val="minor"/>
    </font>
    <font>
      <sz val="8"/>
      <color rgb="FFFF0000"/>
      <name val="Verdana"/>
      <family val="2"/>
    </font>
  </fonts>
  <fills count="68">
    <fill>
      <patternFill patternType="none"/>
    </fill>
    <fill>
      <patternFill patternType="gray125"/>
    </fill>
    <fill>
      <patternFill patternType="solid">
        <fgColor rgb="FF000000"/>
        <bgColor indexed="64"/>
      </patternFill>
    </fill>
    <fill>
      <patternFill patternType="solid">
        <fgColor rgb="FFFFFF00"/>
        <bgColor indexed="64"/>
      </patternFill>
    </fill>
    <fill>
      <patternFill patternType="solid">
        <fgColor rgb="FF92D050"/>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rgb="FFFFFFCC"/>
        <bgColor indexed="64"/>
      </patternFill>
    </fill>
    <fill>
      <patternFill patternType="solid">
        <fgColor rgb="FFCCCCCC"/>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1"/>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rgb="FFFFFFFF"/>
        <bgColor indexed="64"/>
      </patternFill>
    </fill>
    <fill>
      <patternFill patternType="solid">
        <fgColor theme="8" tint="0.59999389629810485"/>
        <bgColor indexed="64"/>
      </patternFill>
    </fill>
    <fill>
      <patternFill patternType="solid">
        <fgColor rgb="FFEEEEEE"/>
        <bgColor indexed="64"/>
      </patternFill>
    </fill>
    <fill>
      <patternFill patternType="solid">
        <fgColor theme="2" tint="-9.9978637043366805E-2"/>
        <bgColor indexed="64"/>
      </patternFill>
    </fill>
    <fill>
      <patternFill patternType="solid">
        <fgColor theme="4" tint="-0.249977111117893"/>
        <bgColor indexed="64"/>
      </patternFill>
    </fill>
    <fill>
      <patternFill patternType="solid">
        <fgColor theme="0" tint="-4.9989318521683403E-2"/>
        <bgColor rgb="FF000000"/>
      </patternFill>
    </fill>
    <fill>
      <patternFill patternType="solid">
        <fgColor rgb="FFFFFFDD"/>
        <bgColor rgb="FFFFFF00"/>
      </patternFill>
    </fill>
    <fill>
      <patternFill patternType="solid">
        <fgColor rgb="FF0070C0"/>
        <bgColor indexed="64"/>
      </patternFill>
    </fill>
    <fill>
      <patternFill patternType="solid">
        <fgColor theme="6" tint="-0.249977111117893"/>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indexed="54"/>
        <bgColor indexed="23"/>
      </patternFill>
    </fill>
    <fill>
      <patternFill patternType="solid">
        <fgColor indexed="22"/>
        <bgColor indexed="31"/>
      </patternFill>
    </fill>
    <fill>
      <patternFill patternType="solid">
        <fgColor indexed="21"/>
        <bgColor indexed="38"/>
      </patternFill>
    </fill>
    <fill>
      <patternFill patternType="solid">
        <fgColor indexed="27"/>
        <bgColor indexed="42"/>
      </patternFill>
    </fill>
    <fill>
      <patternFill patternType="solid">
        <fgColor indexed="43"/>
        <bgColor indexed="45"/>
      </patternFill>
    </fill>
    <fill>
      <patternFill patternType="solid">
        <fgColor indexed="13"/>
        <bgColor indexed="34"/>
      </patternFill>
    </fill>
    <fill>
      <patternFill patternType="solid">
        <fgColor indexed="50"/>
        <bgColor indexed="55"/>
      </patternFill>
    </fill>
    <fill>
      <patternFill patternType="solid">
        <fgColor indexed="44"/>
        <bgColor indexed="24"/>
      </patternFill>
    </fill>
    <fill>
      <patternFill patternType="solid">
        <fgColor indexed="31"/>
        <bgColor indexed="22"/>
      </patternFill>
    </fill>
    <fill>
      <patternFill patternType="solid">
        <fgColor indexed="8"/>
        <bgColor indexed="58"/>
      </patternFill>
    </fill>
    <fill>
      <patternFill patternType="solid">
        <fgColor indexed="9"/>
        <bgColor indexed="26"/>
      </patternFill>
    </fill>
    <fill>
      <patternFill patternType="solid">
        <fgColor indexed="51"/>
        <bgColor indexed="52"/>
      </patternFill>
    </fill>
    <fill>
      <patternFill patternType="solid">
        <fgColor rgb="FFFFFF00"/>
        <bgColor indexed="55"/>
      </patternFill>
    </fill>
    <fill>
      <patternFill patternType="solid">
        <fgColor rgb="FFFFFF00"/>
        <bgColor indexed="24"/>
      </patternFill>
    </fill>
    <fill>
      <patternFill patternType="solid">
        <fgColor rgb="FF00B050"/>
        <bgColor indexed="16"/>
      </patternFill>
    </fill>
    <fill>
      <patternFill patternType="solid">
        <fgColor rgb="FF00B050"/>
        <bgColor indexed="43"/>
      </patternFill>
    </fill>
    <fill>
      <patternFill patternType="solid">
        <fgColor theme="6" tint="0.79998168889431442"/>
        <bgColor indexed="45"/>
      </patternFill>
    </fill>
    <fill>
      <patternFill patternType="solid">
        <fgColor theme="9" tint="0.79998168889431442"/>
        <bgColor indexed="42"/>
      </patternFill>
    </fill>
    <fill>
      <patternFill patternType="solid">
        <fgColor rgb="FFFFE699"/>
        <bgColor rgb="FFFFEB9C"/>
      </patternFill>
    </fill>
    <fill>
      <patternFill patternType="solid">
        <fgColor rgb="FFFF0000"/>
        <bgColor indexed="64"/>
      </patternFill>
    </fill>
    <fill>
      <patternFill patternType="solid">
        <fgColor rgb="FF000000"/>
        <bgColor rgb="FF000080"/>
      </patternFill>
    </fill>
    <fill>
      <patternFill patternType="solid">
        <fgColor rgb="FFDBDBDB"/>
        <bgColor rgb="FFD9D9D9"/>
      </patternFill>
    </fill>
    <fill>
      <patternFill patternType="solid">
        <fgColor rgb="FFDAE3F3"/>
        <bgColor rgb="FFDBDBDB"/>
      </patternFill>
    </fill>
    <fill>
      <patternFill patternType="solid">
        <fgColor rgb="FFF8CBAD"/>
        <bgColor rgb="FFFFC7CE"/>
      </patternFill>
    </fill>
    <fill>
      <patternFill patternType="solid">
        <fgColor rgb="FFBDD7EE"/>
        <bgColor rgb="FFB4C7E7"/>
      </patternFill>
    </fill>
    <fill>
      <patternFill patternType="solid">
        <fgColor rgb="FFD0CECE"/>
        <bgColor rgb="FFCCCCCC"/>
      </patternFill>
    </fill>
    <fill>
      <patternFill patternType="solid">
        <fgColor theme="6" tint="0.79998168889431442"/>
        <bgColor rgb="FFDBDBDB"/>
      </patternFill>
    </fill>
    <fill>
      <patternFill patternType="solid">
        <fgColor theme="6" tint="0.79998168889431442"/>
        <bgColor rgb="FFFFEB9C"/>
      </patternFill>
    </fill>
    <fill>
      <patternFill patternType="solid">
        <fgColor theme="9" tint="0.79998168889431442"/>
        <bgColor rgb="FFB4C7E7"/>
      </patternFill>
    </fill>
    <fill>
      <patternFill patternType="solid">
        <fgColor theme="6" tint="0.59999389629810485"/>
        <bgColor rgb="FFD9D9D9"/>
      </patternFill>
    </fill>
    <fill>
      <patternFill patternType="solid">
        <fgColor theme="8" tint="-0.499984740745262"/>
        <bgColor rgb="FF000080"/>
      </patternFill>
    </fill>
    <fill>
      <patternFill patternType="solid">
        <fgColor theme="9" tint="0.79998168889431442"/>
        <bgColor indexed="45"/>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diagonal/>
    </border>
    <border>
      <left/>
      <right/>
      <top/>
      <bottom style="thin">
        <color indexed="64"/>
      </bottom>
      <diagonal/>
    </border>
    <border>
      <left style="thin">
        <color indexed="63"/>
      </left>
      <right style="thin">
        <color indexed="63"/>
      </right>
      <top style="thin">
        <color indexed="63"/>
      </top>
      <bottom style="thin">
        <color indexed="63"/>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63"/>
      </top>
      <bottom style="thin">
        <color indexed="8"/>
      </bottom>
      <diagonal/>
    </border>
    <border>
      <left style="thin">
        <color indexed="8"/>
      </left>
      <right style="thin">
        <color indexed="8"/>
      </right>
      <top style="thin">
        <color indexed="63"/>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s>
  <cellStyleXfs count="7">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5" fillId="0" borderId="0"/>
    <xf numFmtId="0" fontId="53" fillId="0" borderId="0"/>
    <xf numFmtId="174" fontId="15" fillId="0" borderId="0"/>
  </cellStyleXfs>
  <cellXfs count="703">
    <xf numFmtId="0" fontId="0" fillId="0" borderId="0" xfId="0"/>
    <xf numFmtId="0" fontId="2" fillId="0" borderId="0" xfId="0" applyFont="1" applyAlignment="1">
      <alignment horizontal="center"/>
    </xf>
    <xf numFmtId="0" fontId="2" fillId="0" borderId="0" xfId="0" applyFont="1"/>
    <xf numFmtId="0" fontId="0" fillId="0" borderId="1" xfId="0" applyBorder="1"/>
    <xf numFmtId="0" fontId="0" fillId="0" borderId="3" xfId="0" applyBorder="1"/>
    <xf numFmtId="0" fontId="0" fillId="0" borderId="5" xfId="0" applyBorder="1"/>
    <xf numFmtId="0" fontId="3" fillId="2" borderId="0" xfId="0" applyFont="1" applyFill="1" applyAlignment="1">
      <alignment horizontal="center" wrapText="1"/>
    </xf>
    <xf numFmtId="0" fontId="0" fillId="0" borderId="0" xfId="0" applyFill="1"/>
    <xf numFmtId="0" fontId="0" fillId="3" borderId="1" xfId="0" applyFill="1" applyBorder="1"/>
    <xf numFmtId="0" fontId="4" fillId="7" borderId="0" xfId="0" applyFont="1" applyFill="1" applyAlignment="1">
      <alignment horizontal="center" wrapText="1"/>
    </xf>
    <xf numFmtId="0" fontId="5" fillId="0" borderId="0" xfId="0" applyFont="1" applyAlignment="1">
      <alignment horizontal="center" wrapText="1"/>
    </xf>
    <xf numFmtId="0" fontId="4" fillId="0" borderId="0" xfId="0" applyFont="1" applyAlignment="1">
      <alignment horizontal="center" wrapText="1"/>
    </xf>
    <xf numFmtId="0" fontId="0" fillId="0" borderId="1" xfId="0" applyBorder="1" applyAlignment="1">
      <alignment wrapText="1"/>
    </xf>
    <xf numFmtId="0" fontId="0" fillId="0" borderId="3" xfId="0" applyBorder="1" applyAlignment="1">
      <alignment wrapText="1"/>
    </xf>
    <xf numFmtId="0" fontId="0" fillId="0" borderId="8" xfId="0" applyBorder="1"/>
    <xf numFmtId="0" fontId="0" fillId="0" borderId="1" xfId="0" applyFill="1" applyBorder="1"/>
    <xf numFmtId="0" fontId="5" fillId="8" borderId="0" xfId="0" applyFont="1" applyFill="1" applyAlignment="1">
      <alignment horizontal="center" wrapText="1"/>
    </xf>
    <xf numFmtId="0" fontId="4" fillId="8" borderId="0" xfId="0" applyFont="1" applyFill="1" applyAlignment="1">
      <alignment horizontal="center" wrapText="1"/>
    </xf>
    <xf numFmtId="0" fontId="5" fillId="0" borderId="5" xfId="0" applyFont="1" applyBorder="1" applyAlignment="1">
      <alignment horizontal="center" wrapText="1"/>
    </xf>
    <xf numFmtId="0" fontId="5" fillId="0" borderId="1" xfId="0" applyFont="1" applyBorder="1" applyAlignment="1">
      <alignment horizontal="center" wrapText="1"/>
    </xf>
    <xf numFmtId="0" fontId="5" fillId="8" borderId="5" xfId="0" applyFont="1" applyFill="1" applyBorder="1" applyAlignment="1">
      <alignment horizontal="center" wrapText="1"/>
    </xf>
    <xf numFmtId="0" fontId="5" fillId="8" borderId="1" xfId="0" applyFont="1" applyFill="1" applyBorder="1" applyAlignment="1">
      <alignment horizontal="center" wrapText="1"/>
    </xf>
    <xf numFmtId="1" fontId="0" fillId="9" borderId="10" xfId="0" applyNumberFormat="1" applyFill="1" applyBorder="1"/>
    <xf numFmtId="1" fontId="0" fillId="9" borderId="11" xfId="0" applyNumberFormat="1" applyFill="1" applyBorder="1"/>
    <xf numFmtId="164" fontId="0" fillId="4" borderId="2" xfId="2" applyNumberFormat="1" applyFont="1" applyFill="1" applyBorder="1"/>
    <xf numFmtId="165" fontId="0" fillId="0" borderId="1" xfId="1" applyNumberFormat="1" applyFont="1" applyBorder="1"/>
    <xf numFmtId="164" fontId="0" fillId="4" borderId="1" xfId="2" applyNumberFormat="1" applyFont="1" applyFill="1" applyBorder="1"/>
    <xf numFmtId="164" fontId="0" fillId="3" borderId="0" xfId="2" applyNumberFormat="1" applyFont="1" applyFill="1"/>
    <xf numFmtId="0" fontId="0" fillId="0" borderId="0" xfId="0" applyFill="1" applyBorder="1" applyAlignment="1">
      <alignment wrapText="1"/>
    </xf>
    <xf numFmtId="166" fontId="0" fillId="3" borderId="0" xfId="0" applyNumberFormat="1" applyFill="1" applyBorder="1" applyAlignment="1">
      <alignment wrapText="1"/>
    </xf>
    <xf numFmtId="166" fontId="0" fillId="3" borderId="0" xfId="0" applyNumberFormat="1" applyFill="1"/>
    <xf numFmtId="0" fontId="6" fillId="10" borderId="0" xfId="0" applyFont="1" applyFill="1" applyAlignment="1">
      <alignment horizontal="right"/>
    </xf>
    <xf numFmtId="166" fontId="7" fillId="3" borderId="12" xfId="0" applyNumberFormat="1" applyFont="1" applyFill="1" applyBorder="1"/>
    <xf numFmtId="0" fontId="2" fillId="11" borderId="0" xfId="0" applyFont="1" applyFill="1" applyAlignment="1">
      <alignment horizontal="center"/>
    </xf>
    <xf numFmtId="0" fontId="0" fillId="6" borderId="0" xfId="0" applyFill="1"/>
    <xf numFmtId="1" fontId="0" fillId="6" borderId="0" xfId="0" applyNumberFormat="1" applyFill="1"/>
    <xf numFmtId="0" fontId="0" fillId="10" borderId="0" xfId="0" applyFill="1" applyAlignment="1">
      <alignment horizontal="right"/>
    </xf>
    <xf numFmtId="1" fontId="0" fillId="10" borderId="0" xfId="0" applyNumberFormat="1" applyFill="1"/>
    <xf numFmtId="0" fontId="0" fillId="12" borderId="0" xfId="0" applyFill="1" applyBorder="1" applyAlignment="1">
      <alignment horizontal="right" wrapText="1"/>
    </xf>
    <xf numFmtId="167" fontId="0" fillId="12" borderId="0" xfId="0" applyNumberFormat="1" applyFill="1" applyBorder="1"/>
    <xf numFmtId="0" fontId="0" fillId="13" borderId="0" xfId="0" applyFill="1" applyBorder="1" applyAlignment="1">
      <alignment horizontal="right" wrapText="1"/>
    </xf>
    <xf numFmtId="167" fontId="0" fillId="13" borderId="0" xfId="0" applyNumberFormat="1" applyFill="1"/>
    <xf numFmtId="0" fontId="0" fillId="6" borderId="0" xfId="0" applyFill="1" applyBorder="1" applyAlignment="1">
      <alignment horizontal="right" wrapText="1"/>
    </xf>
    <xf numFmtId="167" fontId="2" fillId="6" borderId="0" xfId="0" applyNumberFormat="1" applyFont="1" applyFill="1"/>
    <xf numFmtId="0" fontId="2" fillId="6" borderId="0" xfId="0" applyFont="1" applyFill="1" applyBorder="1" applyAlignment="1">
      <alignment horizontal="right" wrapText="1"/>
    </xf>
    <xf numFmtId="164" fontId="0" fillId="0" borderId="0" xfId="2" applyNumberFormat="1" applyFont="1"/>
    <xf numFmtId="0" fontId="2" fillId="0" borderId="1" xfId="0" applyFont="1" applyBorder="1"/>
    <xf numFmtId="0" fontId="17" fillId="0" borderId="0" xfId="0" applyFont="1"/>
    <xf numFmtId="2" fontId="0" fillId="0" borderId="0" xfId="0" applyNumberFormat="1"/>
    <xf numFmtId="2" fontId="0" fillId="0" borderId="0" xfId="0" applyNumberFormat="1" applyAlignment="1">
      <alignment horizontal="center"/>
    </xf>
    <xf numFmtId="0" fontId="20" fillId="0" borderId="0" xfId="0" applyFont="1" applyFill="1"/>
    <xf numFmtId="1" fontId="0" fillId="0" borderId="0" xfId="0" applyNumberFormat="1"/>
    <xf numFmtId="0" fontId="20" fillId="16" borderId="1" xfId="0" applyFont="1" applyFill="1" applyBorder="1"/>
    <xf numFmtId="14" fontId="0" fillId="0" borderId="0" xfId="0" applyNumberFormat="1" applyAlignment="1">
      <alignment horizontal="right"/>
    </xf>
    <xf numFmtId="0" fontId="0" fillId="0" borderId="0" xfId="0" applyAlignment="1"/>
    <xf numFmtId="0" fontId="0" fillId="0" borderId="0" xfId="0" applyAlignment="1">
      <alignment horizontal="right"/>
    </xf>
    <xf numFmtId="0" fontId="16" fillId="0" borderId="0" xfId="0" applyFont="1"/>
    <xf numFmtId="0" fontId="16" fillId="22" borderId="1" xfId="0" applyFont="1" applyFill="1" applyBorder="1" applyAlignment="1">
      <alignment horizontal="left" vertical="center"/>
    </xf>
    <xf numFmtId="1" fontId="16" fillId="22" borderId="1" xfId="0" applyNumberFormat="1" applyFont="1" applyFill="1" applyBorder="1" applyAlignment="1">
      <alignment horizontal="left" vertical="center"/>
    </xf>
    <xf numFmtId="169" fontId="16" fillId="24" borderId="1" xfId="0" applyNumberFormat="1" applyFont="1" applyFill="1" applyBorder="1" applyAlignment="1">
      <alignment horizontal="left" vertical="center"/>
    </xf>
    <xf numFmtId="0" fontId="0" fillId="0" borderId="0" xfId="0" applyAlignment="1">
      <alignment horizontal="center"/>
    </xf>
    <xf numFmtId="0" fontId="24" fillId="0" borderId="0" xfId="0" applyFont="1"/>
    <xf numFmtId="0" fontId="20" fillId="14" borderId="1" xfId="0" applyFont="1" applyFill="1" applyBorder="1"/>
    <xf numFmtId="166" fontId="0" fillId="0" borderId="0" xfId="0" applyNumberFormat="1" applyAlignment="1">
      <alignment horizontal="center"/>
    </xf>
    <xf numFmtId="0" fontId="29" fillId="27" borderId="1" xfId="0" applyFont="1" applyFill="1" applyBorder="1" applyAlignment="1">
      <alignment horizontal="center" vertical="top" wrapText="1"/>
    </xf>
    <xf numFmtId="0" fontId="30" fillId="27" borderId="1" xfId="0" applyFont="1" applyFill="1" applyBorder="1" applyAlignment="1">
      <alignment horizontal="center" vertical="top" wrapText="1"/>
    </xf>
    <xf numFmtId="0" fontId="30" fillId="28" borderId="1" xfId="0" applyFont="1" applyFill="1" applyBorder="1" applyAlignment="1">
      <alignment horizontal="center" vertical="top" wrapText="1"/>
    </xf>
    <xf numFmtId="166" fontId="2" fillId="3" borderId="0" xfId="0" applyNumberFormat="1" applyFont="1" applyFill="1" applyAlignment="1">
      <alignment horizontal="center"/>
    </xf>
    <xf numFmtId="168" fontId="2" fillId="0" borderId="0" xfId="3" applyNumberFormat="1" applyFont="1"/>
    <xf numFmtId="0" fontId="20" fillId="0" borderId="0" xfId="0" applyFont="1"/>
    <xf numFmtId="0" fontId="32" fillId="0" borderId="0" xfId="4" applyFont="1" applyFill="1"/>
    <xf numFmtId="0" fontId="32" fillId="0" borderId="0" xfId="4" applyFont="1"/>
    <xf numFmtId="0" fontId="22" fillId="0" borderId="0" xfId="4" applyFont="1" applyFill="1"/>
    <xf numFmtId="0" fontId="21" fillId="0" borderId="0" xfId="4" applyFont="1" applyFill="1" applyBorder="1" applyAlignment="1">
      <alignment horizontal="left"/>
    </xf>
    <xf numFmtId="0" fontId="21" fillId="0" borderId="0" xfId="4" applyFont="1" applyFill="1" applyBorder="1" applyAlignment="1">
      <alignment horizontal="center"/>
    </xf>
    <xf numFmtId="0" fontId="33" fillId="0" borderId="0" xfId="4" applyFont="1" applyFill="1"/>
    <xf numFmtId="1" fontId="0" fillId="9" borderId="9" xfId="0" applyNumberFormat="1" applyFill="1" applyBorder="1"/>
    <xf numFmtId="0" fontId="0" fillId="0" borderId="1" xfId="0" applyBorder="1" applyAlignment="1">
      <alignment horizontal="center"/>
    </xf>
    <xf numFmtId="0" fontId="34" fillId="0" borderId="0" xfId="4" applyFont="1"/>
    <xf numFmtId="0" fontId="0" fillId="0" borderId="1" xfId="0" applyFont="1" applyBorder="1"/>
    <xf numFmtId="0" fontId="16" fillId="24" borderId="1" xfId="0" applyFont="1" applyFill="1" applyBorder="1" applyAlignment="1">
      <alignment horizontal="center" vertical="center"/>
    </xf>
    <xf numFmtId="0" fontId="0" fillId="0" borderId="0" xfId="0" applyFont="1"/>
    <xf numFmtId="0" fontId="15" fillId="0" borderId="0" xfId="4" applyFont="1"/>
    <xf numFmtId="169" fontId="0" fillId="0" borderId="0" xfId="0" applyNumberFormat="1"/>
    <xf numFmtId="0" fontId="0" fillId="0" borderId="0" xfId="0" applyAlignment="1">
      <alignment horizontal="center"/>
    </xf>
    <xf numFmtId="0" fontId="22" fillId="0" borderId="0" xfId="4" applyFont="1" applyFill="1" applyAlignment="1">
      <alignment horizontal="center"/>
    </xf>
    <xf numFmtId="0" fontId="20" fillId="0" borderId="1" xfId="0" applyFont="1" applyFill="1" applyBorder="1"/>
    <xf numFmtId="14" fontId="0" fillId="0" borderId="0" xfId="0" applyNumberFormat="1"/>
    <xf numFmtId="0" fontId="10" fillId="0" borderId="0" xfId="0" applyFont="1"/>
    <xf numFmtId="0" fontId="17" fillId="0" borderId="0" xfId="0" applyFont="1" applyAlignment="1">
      <alignment horizontal="center"/>
    </xf>
    <xf numFmtId="0" fontId="23" fillId="25" borderId="1" xfId="4" applyFont="1" applyFill="1" applyBorder="1" applyAlignment="1">
      <alignment horizontal="right"/>
    </xf>
    <xf numFmtId="0" fontId="16" fillId="24" borderId="1" xfId="0" applyFont="1" applyFill="1" applyBorder="1" applyAlignment="1">
      <alignment horizontal="right" vertical="center"/>
    </xf>
    <xf numFmtId="169" fontId="16" fillId="24" borderId="1" xfId="0" applyNumberFormat="1" applyFont="1" applyFill="1" applyBorder="1" applyAlignment="1">
      <alignment horizontal="center" vertical="center"/>
    </xf>
    <xf numFmtId="0" fontId="18" fillId="18" borderId="1" xfId="0" applyFont="1" applyFill="1" applyBorder="1" applyAlignment="1"/>
    <xf numFmtId="0" fontId="25" fillId="26" borderId="1" xfId="0" applyFont="1" applyFill="1" applyBorder="1" applyAlignment="1">
      <alignment horizontal="center" vertical="center"/>
    </xf>
    <xf numFmtId="0" fontId="26" fillId="26" borderId="1" xfId="0" applyFont="1" applyFill="1" applyBorder="1" applyAlignment="1">
      <alignment horizontal="center" vertical="center"/>
    </xf>
    <xf numFmtId="0" fontId="25" fillId="26" borderId="1" xfId="0" applyFont="1" applyFill="1" applyBorder="1" applyAlignment="1">
      <alignment horizontal="right" vertical="center"/>
    </xf>
    <xf numFmtId="0" fontId="31" fillId="23" borderId="1" xfId="0" applyFont="1" applyFill="1" applyBorder="1" applyAlignment="1">
      <alignment horizontal="center" vertical="center"/>
    </xf>
    <xf numFmtId="1" fontId="35" fillId="19" borderId="1" xfId="0" applyNumberFormat="1" applyFont="1" applyFill="1" applyBorder="1" applyAlignment="1">
      <alignment horizontal="left" vertical="center"/>
    </xf>
    <xf numFmtId="0" fontId="23" fillId="0" borderId="1" xfId="4" applyFont="1" applyBorder="1"/>
    <xf numFmtId="0" fontId="37" fillId="0" borderId="1" xfId="4" applyFont="1" applyFill="1" applyBorder="1"/>
    <xf numFmtId="169" fontId="16" fillId="22" borderId="1" xfId="0" applyNumberFormat="1" applyFont="1" applyFill="1" applyBorder="1" applyAlignment="1">
      <alignment horizontal="center" vertical="center"/>
    </xf>
    <xf numFmtId="169" fontId="35" fillId="24" borderId="1" xfId="0" applyNumberFormat="1" applyFont="1" applyFill="1" applyBorder="1" applyAlignment="1">
      <alignment horizontal="left" vertical="center"/>
    </xf>
    <xf numFmtId="164" fontId="10" fillId="0" borderId="0" xfId="2" applyNumberFormat="1" applyFont="1"/>
    <xf numFmtId="0" fontId="38" fillId="0" borderId="0" xfId="4" applyFont="1" applyFill="1" applyBorder="1" applyAlignment="1">
      <alignment horizontal="center"/>
    </xf>
    <xf numFmtId="0" fontId="0" fillId="0" borderId="0" xfId="0" applyAlignment="1">
      <alignment horizontal="center"/>
    </xf>
    <xf numFmtId="168" fontId="39" fillId="0" borderId="0" xfId="0" applyNumberFormat="1" applyFont="1" applyAlignment="1">
      <alignment horizontal="right"/>
    </xf>
    <xf numFmtId="171" fontId="31" fillId="24" borderId="1" xfId="3" applyNumberFormat="1" applyFont="1" applyFill="1" applyBorder="1" applyAlignment="1">
      <alignment horizontal="right" vertical="center"/>
    </xf>
    <xf numFmtId="171" fontId="35" fillId="24" borderId="1" xfId="3" applyNumberFormat="1" applyFont="1" applyFill="1" applyBorder="1" applyAlignment="1">
      <alignment horizontal="right" vertical="center"/>
    </xf>
    <xf numFmtId="0" fontId="0" fillId="0" borderId="0" xfId="0" applyAlignment="1">
      <alignment horizontal="center"/>
    </xf>
    <xf numFmtId="0" fontId="8" fillId="0" borderId="0" xfId="0" applyFont="1"/>
    <xf numFmtId="168" fontId="35" fillId="24" borderId="1" xfId="3" applyNumberFormat="1" applyFont="1" applyFill="1" applyBorder="1" applyAlignment="1">
      <alignment horizontal="right" vertical="center"/>
    </xf>
    <xf numFmtId="0" fontId="2" fillId="19" borderId="1" xfId="0" applyFont="1" applyFill="1" applyBorder="1" applyAlignment="1">
      <alignment horizontal="center"/>
    </xf>
    <xf numFmtId="0" fontId="2" fillId="3" borderId="0" xfId="0" applyFont="1" applyFill="1" applyAlignment="1">
      <alignment horizontal="center"/>
    </xf>
    <xf numFmtId="170" fontId="0" fillId="0" borderId="0" xfId="0" applyNumberFormat="1" applyAlignment="1">
      <alignment horizontal="center"/>
    </xf>
    <xf numFmtId="1" fontId="0" fillId="0" borderId="0" xfId="0" applyNumberFormat="1" applyAlignment="1">
      <alignment horizontal="center"/>
    </xf>
    <xf numFmtId="0" fontId="31" fillId="20" borderId="1" xfId="0" applyFont="1" applyFill="1" applyBorder="1" applyAlignment="1">
      <alignment horizontal="center" vertical="center"/>
    </xf>
    <xf numFmtId="14" fontId="0" fillId="0" borderId="1" xfId="0" applyNumberFormat="1" applyBorder="1" applyAlignment="1">
      <alignment horizontal="center"/>
    </xf>
    <xf numFmtId="0" fontId="2" fillId="0" borderId="0" xfId="0" applyFont="1" applyAlignment="1">
      <alignment horizontal="center" vertical="center" wrapText="1"/>
    </xf>
    <xf numFmtId="0" fontId="0" fillId="12" borderId="1" xfId="0" applyFill="1" applyBorder="1"/>
    <xf numFmtId="0" fontId="0" fillId="17" borderId="1" xfId="0" applyFill="1" applyBorder="1"/>
    <xf numFmtId="0" fontId="7" fillId="12" borderId="1" xfId="0" applyFont="1" applyFill="1" applyBorder="1" applyAlignment="1">
      <alignment horizontal="center"/>
    </xf>
    <xf numFmtId="0" fontId="7" fillId="17" borderId="1" xfId="0" applyFont="1" applyFill="1" applyBorder="1" applyAlignment="1">
      <alignment horizontal="center"/>
    </xf>
    <xf numFmtId="2" fontId="20" fillId="0" borderId="1" xfId="0" applyNumberFormat="1" applyFont="1" applyFill="1" applyBorder="1" applyAlignment="1">
      <alignment horizontal="center"/>
    </xf>
    <xf numFmtId="1" fontId="19" fillId="0" borderId="0" xfId="0" applyNumberFormat="1" applyFont="1" applyFill="1"/>
    <xf numFmtId="2" fontId="7" fillId="0" borderId="1" xfId="0" applyNumberFormat="1" applyFont="1" applyFill="1" applyBorder="1" applyAlignment="1">
      <alignment horizontal="center"/>
    </xf>
    <xf numFmtId="2" fontId="2" fillId="0" borderId="0" xfId="0" applyNumberFormat="1" applyFont="1"/>
    <xf numFmtId="1" fontId="7" fillId="0" borderId="1" xfId="0" applyNumberFormat="1" applyFont="1" applyFill="1" applyBorder="1" applyAlignment="1">
      <alignment horizontal="center"/>
    </xf>
    <xf numFmtId="0" fontId="7" fillId="0" borderId="0" xfId="0" applyFont="1" applyFill="1"/>
    <xf numFmtId="169" fontId="20" fillId="0" borderId="0" xfId="0" applyNumberFormat="1" applyFont="1" applyFill="1"/>
    <xf numFmtId="0" fontId="35" fillId="0" borderId="1" xfId="0" applyFont="1" applyFill="1" applyBorder="1" applyAlignment="1">
      <alignment horizontal="left" vertical="center"/>
    </xf>
    <xf numFmtId="0" fontId="20" fillId="0" borderId="1" xfId="0" applyFont="1" applyBorder="1"/>
    <xf numFmtId="169" fontId="40" fillId="0" borderId="1" xfId="0" applyNumberFormat="1" applyFont="1" applyBorder="1"/>
    <xf numFmtId="0" fontId="35" fillId="22" borderId="1" xfId="0" applyFont="1" applyFill="1" applyBorder="1" applyAlignment="1">
      <alignment horizontal="left" vertical="center"/>
    </xf>
    <xf numFmtId="0" fontId="35" fillId="24" borderId="1" xfId="0" applyFont="1" applyFill="1" applyBorder="1" applyAlignment="1">
      <alignment horizontal="center" vertical="center"/>
    </xf>
    <xf numFmtId="169" fontId="35" fillId="24" borderId="1" xfId="0" applyNumberFormat="1" applyFont="1" applyFill="1" applyBorder="1" applyAlignment="1">
      <alignment horizontal="center" vertical="center"/>
    </xf>
    <xf numFmtId="168" fontId="0" fillId="0" borderId="0" xfId="0" applyNumberFormat="1"/>
    <xf numFmtId="0" fontId="41" fillId="0" borderId="1" xfId="0" applyFont="1" applyFill="1" applyBorder="1" applyAlignment="1">
      <alignment horizontal="left" vertical="center"/>
    </xf>
    <xf numFmtId="1" fontId="35" fillId="22" borderId="1" xfId="0" applyNumberFormat="1" applyFont="1" applyFill="1" applyBorder="1" applyAlignment="1">
      <alignment horizontal="left" vertical="center"/>
    </xf>
    <xf numFmtId="10" fontId="0" fillId="0" borderId="0" xfId="2" applyNumberFormat="1" applyFont="1"/>
    <xf numFmtId="0" fontId="2" fillId="3" borderId="0" xfId="0" applyFont="1" applyFill="1"/>
    <xf numFmtId="170" fontId="0" fillId="0" borderId="0" xfId="0" applyNumberFormat="1"/>
    <xf numFmtId="9" fontId="0" fillId="0" borderId="0" xfId="2" applyFont="1" applyAlignment="1">
      <alignment horizontal="center"/>
    </xf>
    <xf numFmtId="14" fontId="22" fillId="0" borderId="0" xfId="4" applyNumberFormat="1" applyFont="1" applyFill="1" applyAlignment="1">
      <alignment horizontal="center"/>
    </xf>
    <xf numFmtId="0" fontId="31" fillId="4" borderId="1" xfId="0" applyFont="1" applyFill="1" applyBorder="1" applyAlignment="1">
      <alignment horizontal="center" vertical="center"/>
    </xf>
    <xf numFmtId="0" fontId="25" fillId="4" borderId="1" xfId="0" applyFont="1" applyFill="1" applyBorder="1" applyAlignment="1">
      <alignment horizontal="center" vertical="center"/>
    </xf>
    <xf numFmtId="0" fontId="0" fillId="0" borderId="1" xfId="0" applyFont="1" applyBorder="1" applyAlignment="1">
      <alignment horizontal="center"/>
    </xf>
    <xf numFmtId="1" fontId="0" fillId="0" borderId="1" xfId="0" applyNumberFormat="1" applyFont="1" applyBorder="1" applyAlignment="1">
      <alignment horizontal="center"/>
    </xf>
    <xf numFmtId="0" fontId="0" fillId="0" borderId="0" xfId="0" applyAlignment="1">
      <alignment horizontal="center"/>
    </xf>
    <xf numFmtId="170" fontId="0" fillId="0" borderId="0" xfId="0" applyNumberFormat="1" applyAlignment="1">
      <alignment horizontal="right"/>
    </xf>
    <xf numFmtId="0" fontId="0" fillId="0" borderId="0" xfId="0" applyAlignment="1">
      <alignment horizontal="center"/>
    </xf>
    <xf numFmtId="0" fontId="25" fillId="26" borderId="13" xfId="0" applyFont="1" applyFill="1" applyBorder="1" applyAlignment="1">
      <alignment horizontal="center" vertical="center"/>
    </xf>
    <xf numFmtId="14" fontId="16" fillId="22" borderId="0"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0" xfId="0" applyAlignment="1">
      <alignment horizontal="center"/>
    </xf>
    <xf numFmtId="2" fontId="19" fillId="0" borderId="0" xfId="0" applyNumberFormat="1" applyFont="1"/>
    <xf numFmtId="2" fontId="34" fillId="0" borderId="0" xfId="4" applyNumberFormat="1" applyFont="1"/>
    <xf numFmtId="0" fontId="22" fillId="0" borderId="1" xfId="4" applyFont="1" applyBorder="1" applyAlignment="1">
      <alignment horizontal="center"/>
    </xf>
    <xf numFmtId="0" fontId="42" fillId="0" borderId="1" xfId="4" applyFont="1" applyFill="1" applyBorder="1" applyAlignment="1">
      <alignment horizontal="center"/>
    </xf>
    <xf numFmtId="0" fontId="2" fillId="0" borderId="1" xfId="0" applyFont="1" applyBorder="1" applyAlignment="1">
      <alignment horizontal="center"/>
    </xf>
    <xf numFmtId="0" fontId="2" fillId="0" borderId="0" xfId="0" applyFont="1" applyBorder="1" applyAlignment="1">
      <alignment horizontal="center"/>
    </xf>
    <xf numFmtId="0" fontId="0" fillId="0" borderId="0" xfId="0" applyFont="1" applyBorder="1"/>
    <xf numFmtId="170" fontId="23" fillId="0" borderId="1" xfId="4" applyNumberFormat="1" applyFont="1" applyBorder="1"/>
    <xf numFmtId="170" fontId="37" fillId="0" borderId="1" xfId="4" applyNumberFormat="1" applyFont="1" applyFill="1" applyBorder="1"/>
    <xf numFmtId="170" fontId="0" fillId="0" borderId="1" xfId="0" applyNumberFormat="1" applyFont="1" applyBorder="1"/>
    <xf numFmtId="2" fontId="23" fillId="0" borderId="1" xfId="4" applyNumberFormat="1" applyFont="1" applyBorder="1"/>
    <xf numFmtId="2" fontId="37" fillId="0" borderId="1" xfId="4" applyNumberFormat="1" applyFont="1" applyFill="1" applyBorder="1"/>
    <xf numFmtId="2" fontId="0" fillId="0" borderId="1" xfId="0" applyNumberFormat="1" applyFont="1" applyBorder="1"/>
    <xf numFmtId="170" fontId="22" fillId="0" borderId="1" xfId="4" applyNumberFormat="1" applyFont="1" applyBorder="1"/>
    <xf numFmtId="2" fontId="22" fillId="0" borderId="1" xfId="4" applyNumberFormat="1" applyFont="1" applyBorder="1"/>
    <xf numFmtId="0" fontId="0" fillId="0" borderId="0" xfId="0" applyAlignment="1">
      <alignment horizontal="center"/>
    </xf>
    <xf numFmtId="0" fontId="10" fillId="10" borderId="8" xfId="0" applyFont="1" applyFill="1" applyBorder="1" applyAlignment="1">
      <alignment horizontal="center"/>
    </xf>
    <xf numFmtId="0" fontId="11" fillId="3" borderId="8" xfId="0" applyFont="1" applyFill="1" applyBorder="1" applyAlignment="1">
      <alignment horizontal="center"/>
    </xf>
    <xf numFmtId="9" fontId="0" fillId="0" borderId="1" xfId="0" applyNumberFormat="1" applyBorder="1" applyAlignment="1">
      <alignment horizontal="center"/>
    </xf>
    <xf numFmtId="170" fontId="2" fillId="0" borderId="1" xfId="0" applyNumberFormat="1" applyFont="1" applyFill="1" applyBorder="1" applyAlignment="1">
      <alignment horizontal="center"/>
    </xf>
    <xf numFmtId="170" fontId="11" fillId="3" borderId="1" xfId="0" applyNumberFormat="1" applyFont="1" applyFill="1" applyBorder="1" applyAlignment="1">
      <alignment horizontal="center"/>
    </xf>
    <xf numFmtId="0" fontId="20" fillId="0" borderId="0" xfId="0" applyFont="1" applyAlignment="1">
      <alignment horizontal="center"/>
    </xf>
    <xf numFmtId="0" fontId="0" fillId="0" borderId="0" xfId="0" applyAlignment="1">
      <alignment horizontal="center"/>
    </xf>
    <xf numFmtId="1" fontId="35" fillId="24" borderId="1" xfId="0" applyNumberFormat="1" applyFont="1" applyFill="1" applyBorder="1" applyAlignment="1">
      <alignment horizontal="center" vertical="center"/>
    </xf>
    <xf numFmtId="1" fontId="16" fillId="24" borderId="1" xfId="0" applyNumberFormat="1" applyFont="1" applyFill="1" applyBorder="1" applyAlignment="1">
      <alignment horizontal="center" vertic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171" fontId="0" fillId="0" borderId="0" xfId="3" applyNumberFormat="1" applyFont="1"/>
    <xf numFmtId="2" fontId="35" fillId="22" borderId="1" xfId="0" applyNumberFormat="1" applyFont="1" applyFill="1" applyBorder="1" applyAlignment="1">
      <alignment horizontal="left" vertical="center"/>
    </xf>
    <xf numFmtId="2" fontId="35" fillId="24" borderId="1" xfId="0" applyNumberFormat="1" applyFont="1" applyFill="1" applyBorder="1" applyAlignment="1">
      <alignment horizontal="left" vertical="center"/>
    </xf>
    <xf numFmtId="0" fontId="0" fillId="0" borderId="0" xfId="0" applyAlignment="1">
      <alignment horizontal="center"/>
    </xf>
    <xf numFmtId="0" fontId="43" fillId="29" borderId="0" xfId="0" applyFont="1" applyFill="1"/>
    <xf numFmtId="0" fontId="43" fillId="29" borderId="0" xfId="0" applyFont="1" applyFill="1" applyAlignment="1">
      <alignment horizontal="center"/>
    </xf>
    <xf numFmtId="0" fontId="43" fillId="9" borderId="0" xfId="0" applyFont="1" applyFill="1" applyAlignment="1">
      <alignment horizontal="center"/>
    </xf>
    <xf numFmtId="0" fontId="43" fillId="30" borderId="0" xfId="0" applyFont="1" applyFill="1" applyAlignment="1">
      <alignment horizontal="center"/>
    </xf>
    <xf numFmtId="0" fontId="43" fillId="31" borderId="0" xfId="0" applyFont="1" applyFill="1" applyAlignment="1">
      <alignment horizontal="center"/>
    </xf>
    <xf numFmtId="0" fontId="43" fillId="32" borderId="0" xfId="0" applyFont="1" applyFill="1" applyAlignment="1">
      <alignment horizontal="center"/>
    </xf>
    <xf numFmtId="0" fontId="43" fillId="33" borderId="0" xfId="0" applyFont="1" applyFill="1"/>
    <xf numFmtId="0" fontId="43" fillId="32" borderId="0" xfId="0" applyFont="1" applyFill="1"/>
    <xf numFmtId="43" fontId="0" fillId="0" borderId="0" xfId="3" applyFont="1" applyAlignment="1">
      <alignment horizontal="center"/>
    </xf>
    <xf numFmtId="169" fontId="0" fillId="0" borderId="0" xfId="0" applyNumberFormat="1" applyAlignment="1">
      <alignment horizontal="center"/>
    </xf>
    <xf numFmtId="170" fontId="9" fillId="0" borderId="1" xfId="0" applyNumberFormat="1" applyFont="1" applyFill="1" applyBorder="1" applyAlignment="1">
      <alignment horizontal="center"/>
    </xf>
    <xf numFmtId="170" fontId="12" fillId="3" borderId="1" xfId="0" applyNumberFormat="1" applyFont="1" applyFill="1" applyBorder="1" applyAlignment="1">
      <alignment horizontal="center"/>
    </xf>
    <xf numFmtId="9" fontId="35" fillId="24" borderId="1" xfId="2" applyFont="1" applyFill="1" applyBorder="1" applyAlignment="1">
      <alignment horizontal="center" vertical="center"/>
    </xf>
    <xf numFmtId="2" fontId="16" fillId="22" borderId="1" xfId="0" applyNumberFormat="1" applyFont="1" applyFill="1" applyBorder="1" applyAlignment="1">
      <alignment horizontal="center" vertical="center"/>
    </xf>
    <xf numFmtId="0" fontId="0" fillId="0" borderId="0" xfId="0" applyAlignment="1">
      <alignment horizontal="center"/>
    </xf>
    <xf numFmtId="173" fontId="0" fillId="0" borderId="0" xfId="0" applyNumberFormat="1" applyAlignment="1">
      <alignment horizontal="center"/>
    </xf>
    <xf numFmtId="0" fontId="0" fillId="0" borderId="3" xfId="0" applyBorder="1" applyAlignment="1">
      <alignment horizontal="center"/>
    </xf>
    <xf numFmtId="0" fontId="0" fillId="0" borderId="4" xfId="0" applyBorder="1" applyAlignment="1">
      <alignment horizontal="center"/>
    </xf>
    <xf numFmtId="0" fontId="2" fillId="19" borderId="5" xfId="0" applyFont="1" applyFill="1" applyBorder="1" applyAlignment="1">
      <alignment horizontal="center"/>
    </xf>
    <xf numFmtId="173" fontId="0" fillId="0" borderId="14" xfId="0" applyNumberFormat="1" applyFill="1" applyBorder="1" applyAlignment="1">
      <alignment horizontal="center"/>
    </xf>
    <xf numFmtId="164" fontId="0" fillId="0" borderId="16" xfId="2" applyNumberFormat="1" applyFont="1" applyFill="1" applyBorder="1" applyAlignment="1">
      <alignment horizontal="center"/>
    </xf>
    <xf numFmtId="164" fontId="0" fillId="0" borderId="14" xfId="2" applyNumberFormat="1" applyFont="1" applyFill="1" applyBorder="1" applyAlignment="1">
      <alignment horizontal="center"/>
    </xf>
    <xf numFmtId="0" fontId="0" fillId="4" borderId="0" xfId="0" applyFill="1" applyAlignment="1">
      <alignment horizontal="center"/>
    </xf>
    <xf numFmtId="14" fontId="0" fillId="4" borderId="0" xfId="0" applyNumberFormat="1" applyFill="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173" fontId="0" fillId="0" borderId="1" xfId="0" applyNumberFormat="1" applyFill="1" applyBorder="1" applyAlignment="1">
      <alignment horizontal="center"/>
    </xf>
    <xf numFmtId="173" fontId="0" fillId="0" borderId="5" xfId="0" applyNumberFormat="1" applyFill="1" applyBorder="1" applyAlignment="1">
      <alignment horizontal="center"/>
    </xf>
    <xf numFmtId="173" fontId="0" fillId="0" borderId="16" xfId="0" applyNumberFormat="1" applyFill="1" applyBorder="1" applyAlignment="1">
      <alignment horizontal="center"/>
    </xf>
    <xf numFmtId="164" fontId="0" fillId="0" borderId="1" xfId="2" applyNumberFormat="1" applyFont="1" applyFill="1" applyBorder="1" applyAlignment="1">
      <alignment horizontal="center"/>
    </xf>
    <xf numFmtId="164" fontId="0" fillId="0" borderId="5" xfId="2" applyNumberFormat="1" applyFont="1" applyFill="1" applyBorder="1" applyAlignment="1">
      <alignment horizontal="center"/>
    </xf>
    <xf numFmtId="164" fontId="0" fillId="0" borderId="8" xfId="2" applyNumberFormat="1" applyFont="1" applyFill="1" applyBorder="1" applyAlignment="1">
      <alignment horizontal="center"/>
    </xf>
    <xf numFmtId="164" fontId="0" fillId="0" borderId="7" xfId="2" applyNumberFormat="1" applyFont="1" applyFill="1" applyBorder="1" applyAlignment="1">
      <alignment horizontal="center"/>
    </xf>
    <xf numFmtId="164" fontId="0" fillId="0" borderId="13" xfId="2" applyNumberFormat="1" applyFont="1" applyFill="1" applyBorder="1" applyAlignment="1">
      <alignment horizontal="center"/>
    </xf>
    <xf numFmtId="164" fontId="0" fillId="0" borderId="2" xfId="2" applyNumberFormat="1" applyFont="1" applyFill="1" applyBorder="1" applyAlignment="1">
      <alignment horizontal="center"/>
    </xf>
    <xf numFmtId="0" fontId="0" fillId="0" borderId="0" xfId="0" applyAlignment="1">
      <alignment horizontal="center"/>
    </xf>
    <xf numFmtId="0" fontId="0" fillId="0" borderId="1" xfId="0" applyBorder="1" applyAlignment="1">
      <alignment horizontal="center" vertical="center"/>
    </xf>
    <xf numFmtId="2" fontId="8" fillId="0" borderId="1" xfId="0" applyNumberFormat="1" applyFont="1" applyBorder="1"/>
    <xf numFmtId="2" fontId="44" fillId="0" borderId="1" xfId="4" applyNumberFormat="1" applyFont="1" applyBorder="1"/>
    <xf numFmtId="0" fontId="0" fillId="0" borderId="17" xfId="0" applyBorder="1" applyAlignment="1">
      <alignment horizontal="center" vertical="center"/>
    </xf>
    <xf numFmtId="0" fontId="0" fillId="0" borderId="3" xfId="0" applyBorder="1" applyAlignment="1">
      <alignment horizontal="center" vertical="center"/>
    </xf>
    <xf numFmtId="173" fontId="0" fillId="0" borderId="7" xfId="0" applyNumberFormat="1" applyFill="1" applyBorder="1" applyAlignment="1">
      <alignment horizontal="center"/>
    </xf>
    <xf numFmtId="0" fontId="2" fillId="34" borderId="5" xfId="0" applyFont="1" applyFill="1" applyBorder="1" applyAlignment="1">
      <alignment horizontal="center"/>
    </xf>
    <xf numFmtId="173" fontId="0" fillId="0" borderId="13" xfId="0" applyNumberFormat="1" applyFill="1" applyBorder="1" applyAlignment="1">
      <alignment horizontal="center"/>
    </xf>
    <xf numFmtId="173" fontId="0" fillId="0" borderId="2" xfId="0" applyNumberFormat="1" applyFill="1" applyBorder="1" applyAlignment="1">
      <alignment horizontal="center"/>
    </xf>
    <xf numFmtId="172" fontId="0" fillId="0" borderId="0" xfId="0" applyNumberFormat="1" applyFill="1" applyAlignment="1">
      <alignment horizontal="center"/>
    </xf>
    <xf numFmtId="0" fontId="0" fillId="0" borderId="1" xfId="0" applyFill="1" applyBorder="1" applyAlignment="1">
      <alignment horizontal="center"/>
    </xf>
    <xf numFmtId="0" fontId="0" fillId="0" borderId="3" xfId="0" applyFill="1" applyBorder="1" applyAlignment="1">
      <alignment horizontal="center"/>
    </xf>
    <xf numFmtId="173" fontId="0" fillId="0" borderId="8" xfId="0" applyNumberFormat="1" applyFill="1" applyBorder="1" applyAlignment="1">
      <alignment horizont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43" fillId="6" borderId="0" xfId="0" applyFont="1" applyFill="1"/>
    <xf numFmtId="170" fontId="2" fillId="0" borderId="0" xfId="0" applyNumberFormat="1" applyFont="1"/>
    <xf numFmtId="2" fontId="2" fillId="6" borderId="0" xfId="0" applyNumberFormat="1" applyFont="1" applyFill="1"/>
    <xf numFmtId="9" fontId="35" fillId="24" borderId="1" xfId="2" applyNumberFormat="1" applyFont="1" applyFill="1" applyBorder="1" applyAlignment="1">
      <alignment horizontal="center" vertical="center"/>
    </xf>
    <xf numFmtId="0" fontId="8" fillId="0" borderId="0" xfId="0" applyFont="1" applyAlignment="1"/>
    <xf numFmtId="170" fontId="20" fillId="0" borderId="1" xfId="0" applyNumberFormat="1" applyFont="1" applyBorder="1" applyAlignment="1">
      <alignment horizontal="center"/>
    </xf>
    <xf numFmtId="2" fontId="0" fillId="0" borderId="1" xfId="0" applyNumberFormat="1" applyBorder="1"/>
    <xf numFmtId="2" fontId="2" fillId="0" borderId="1" xfId="0" applyNumberFormat="1" applyFont="1" applyBorder="1"/>
    <xf numFmtId="2" fontId="2" fillId="11" borderId="1" xfId="0" applyNumberFormat="1" applyFont="1" applyFill="1" applyBorder="1"/>
    <xf numFmtId="169" fontId="45" fillId="3" borderId="0" xfId="0" applyNumberFormat="1" applyFont="1" applyFill="1"/>
    <xf numFmtId="2" fontId="0" fillId="0" borderId="13" xfId="0" applyNumberFormat="1" applyFill="1" applyBorder="1"/>
    <xf numFmtId="1" fontId="0" fillId="0" borderId="0" xfId="0" applyNumberFormat="1" applyFill="1" applyBorder="1"/>
    <xf numFmtId="1" fontId="0" fillId="0" borderId="0" xfId="0" applyNumberFormat="1" applyBorder="1"/>
    <xf numFmtId="168" fontId="0" fillId="0" borderId="0" xfId="0" applyNumberFormat="1" applyAlignment="1">
      <alignment horizontal="right"/>
    </xf>
    <xf numFmtId="0" fontId="0" fillId="0" borderId="0" xfId="0" applyAlignment="1">
      <alignment horizontal="center"/>
    </xf>
    <xf numFmtId="14" fontId="46" fillId="0" borderId="0" xfId="0" applyNumberFormat="1" applyFont="1" applyAlignment="1">
      <alignment vertical="center"/>
    </xf>
    <xf numFmtId="2" fontId="0" fillId="3" borderId="0" xfId="0" applyNumberFormat="1" applyFill="1"/>
    <xf numFmtId="169" fontId="45" fillId="12" borderId="0" xfId="0" applyNumberFormat="1" applyFont="1" applyFill="1"/>
    <xf numFmtId="0" fontId="0" fillId="0" borderId="0" xfId="0" applyAlignment="1">
      <alignment horizontal="center"/>
    </xf>
    <xf numFmtId="9" fontId="25" fillId="26" borderId="1" xfId="0" applyNumberFormat="1" applyFont="1" applyFill="1" applyBorder="1" applyAlignment="1">
      <alignment horizontal="center" vertical="center"/>
    </xf>
    <xf numFmtId="0" fontId="25" fillId="9" borderId="1" xfId="0" applyFont="1" applyFill="1" applyBorder="1" applyAlignment="1">
      <alignment horizontal="center" vertical="center"/>
    </xf>
    <xf numFmtId="9" fontId="25" fillId="9" borderId="1" xfId="0" applyNumberFormat="1" applyFont="1" applyFill="1" applyBorder="1" applyAlignment="1">
      <alignment horizontal="center" vertical="center"/>
    </xf>
    <xf numFmtId="170" fontId="0" fillId="0" borderId="0" xfId="0" applyNumberFormat="1" applyFill="1" applyBorder="1" applyAlignment="1">
      <alignment horizontal="center"/>
    </xf>
    <xf numFmtId="0" fontId="25" fillId="9" borderId="13" xfId="0" applyFont="1" applyFill="1" applyBorder="1" applyAlignment="1">
      <alignment horizontal="center" vertical="center"/>
    </xf>
    <xf numFmtId="0" fontId="0" fillId="0" borderId="0" xfId="0" applyAlignment="1">
      <alignment horizontal="center"/>
    </xf>
    <xf numFmtId="9" fontId="25" fillId="9" borderId="13" xfId="0" applyNumberFormat="1" applyFont="1" applyFill="1" applyBorder="1" applyAlignment="1">
      <alignment horizontal="center" vertical="center"/>
    </xf>
    <xf numFmtId="170" fontId="2" fillId="0" borderId="0" xfId="0" applyNumberFormat="1" applyFont="1" applyAlignment="1">
      <alignment horizontal="center"/>
    </xf>
    <xf numFmtId="14" fontId="0" fillId="0" borderId="0" xfId="0" applyNumberFormat="1" applyAlignment="1">
      <alignment horizontal="center"/>
    </xf>
    <xf numFmtId="0" fontId="29" fillId="28" borderId="1" xfId="0" applyFont="1" applyFill="1" applyBorder="1" applyAlignment="1">
      <alignment horizontal="center" vertical="top" wrapText="1"/>
    </xf>
    <xf numFmtId="166" fontId="0" fillId="10" borderId="0" xfId="0" applyNumberFormat="1" applyFill="1" applyAlignment="1">
      <alignment horizontal="center"/>
    </xf>
    <xf numFmtId="168" fontId="35" fillId="24" borderId="1" xfId="3" applyNumberFormat="1" applyFont="1" applyFill="1" applyBorder="1" applyAlignment="1">
      <alignment horizontal="left" vertical="center"/>
    </xf>
    <xf numFmtId="168" fontId="16" fillId="24" borderId="1" xfId="3" applyNumberFormat="1" applyFont="1" applyFill="1" applyBorder="1" applyAlignment="1">
      <alignment horizontal="right" vertical="center"/>
    </xf>
    <xf numFmtId="169" fontId="33" fillId="0" borderId="0" xfId="4" applyNumberFormat="1" applyFont="1" applyFill="1" applyBorder="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Fill="1" applyBorder="1"/>
    <xf numFmtId="0" fontId="0" fillId="0" borderId="0" xfId="0" applyAlignment="1">
      <alignment horizontal="center"/>
    </xf>
    <xf numFmtId="0" fontId="2" fillId="11" borderId="3" xfId="0" applyFont="1" applyFill="1" applyBorder="1" applyAlignment="1">
      <alignment horizontal="center"/>
    </xf>
    <xf numFmtId="0" fontId="2" fillId="11" borderId="1" xfId="0" applyFont="1" applyFill="1" applyBorder="1" applyAlignment="1">
      <alignment horizontal="center"/>
    </xf>
    <xf numFmtId="164" fontId="0" fillId="0" borderId="6" xfId="2" applyNumberFormat="1" applyFont="1" applyFill="1" applyBorder="1" applyAlignment="1">
      <alignment horizontal="center"/>
    </xf>
    <xf numFmtId="164" fontId="0" fillId="0" borderId="15" xfId="2" applyNumberFormat="1" applyFont="1" applyFill="1" applyBorder="1" applyAlignment="1">
      <alignment horizontal="center"/>
    </xf>
    <xf numFmtId="164" fontId="0" fillId="0" borderId="17" xfId="2" applyNumberFormat="1" applyFont="1" applyFill="1" applyBorder="1" applyAlignment="1">
      <alignment horizontal="center"/>
    </xf>
    <xf numFmtId="171" fontId="0" fillId="0" borderId="0" xfId="3" applyNumberFormat="1" applyFont="1" applyAlignment="1">
      <alignment horizontal="center"/>
    </xf>
    <xf numFmtId="171" fontId="0" fillId="0" borderId="5" xfId="3" applyNumberFormat="1" applyFont="1" applyFill="1" applyBorder="1" applyAlignment="1">
      <alignment horizontal="center"/>
    </xf>
    <xf numFmtId="171" fontId="0" fillId="0" borderId="7" xfId="3" applyNumberFormat="1" applyFont="1" applyFill="1" applyBorder="1" applyAlignment="1">
      <alignment horizontal="center"/>
    </xf>
    <xf numFmtId="171" fontId="0" fillId="0" borderId="16" xfId="3" applyNumberFormat="1" applyFont="1" applyFill="1" applyBorder="1" applyAlignment="1">
      <alignment horizontal="center"/>
    </xf>
    <xf numFmtId="171" fontId="0" fillId="0" borderId="14" xfId="3" applyNumberFormat="1" applyFont="1" applyFill="1" applyBorder="1" applyAlignment="1">
      <alignment horizontal="center"/>
    </xf>
    <xf numFmtId="171" fontId="0" fillId="0" borderId="13" xfId="3" applyNumberFormat="1" applyFont="1" applyFill="1" applyBorder="1" applyAlignment="1">
      <alignment horizontal="center"/>
    </xf>
    <xf numFmtId="171" fontId="0" fillId="0" borderId="8" xfId="3" applyNumberFormat="1" applyFont="1" applyFill="1" applyBorder="1" applyAlignment="1">
      <alignment horizontal="center"/>
    </xf>
    <xf numFmtId="171" fontId="0" fillId="0" borderId="2" xfId="3" applyNumberFormat="1" applyFont="1" applyFill="1" applyBorder="1" applyAlignment="1">
      <alignment horizontal="center"/>
    </xf>
    <xf numFmtId="171" fontId="0" fillId="0" borderId="1" xfId="3" applyNumberFormat="1" applyFont="1" applyFill="1" applyBorder="1" applyAlignment="1">
      <alignment horizontal="center"/>
    </xf>
    <xf numFmtId="171" fontId="0" fillId="0" borderId="18" xfId="3" applyNumberFormat="1" applyFont="1" applyFill="1" applyBorder="1" applyAlignment="1">
      <alignment horizontal="center"/>
    </xf>
    <xf numFmtId="171" fontId="0" fillId="0" borderId="0" xfId="3" applyNumberFormat="1" applyFont="1" applyFill="1" applyBorder="1" applyAlignment="1">
      <alignment horizontal="center"/>
    </xf>
    <xf numFmtId="171" fontId="0" fillId="0" borderId="19" xfId="3" applyNumberFormat="1" applyFont="1" applyFill="1" applyBorder="1" applyAlignment="1">
      <alignment horizontal="center"/>
    </xf>
    <xf numFmtId="2" fontId="2" fillId="0" borderId="1" xfId="0" applyNumberFormat="1" applyFont="1" applyFill="1" applyBorder="1"/>
    <xf numFmtId="169" fontId="0" fillId="0" borderId="0" xfId="0" applyNumberFormat="1" applyFill="1" applyAlignment="1">
      <alignment horizontal="left"/>
    </xf>
    <xf numFmtId="0" fontId="37" fillId="10" borderId="1" xfId="4" applyFont="1" applyFill="1" applyBorder="1" applyAlignment="1">
      <alignment horizontal="right"/>
    </xf>
    <xf numFmtId="2" fontId="17" fillId="0" borderId="0" xfId="0" applyNumberFormat="1" applyFont="1"/>
    <xf numFmtId="0" fontId="2" fillId="19" borderId="0" xfId="0" applyFont="1" applyFill="1" applyAlignment="1">
      <alignment horizontal="center"/>
    </xf>
    <xf numFmtId="0" fontId="2" fillId="19" borderId="0" xfId="0" applyFont="1" applyFill="1"/>
    <xf numFmtId="0" fontId="20" fillId="15" borderId="1" xfId="0" applyFont="1" applyFill="1" applyBorder="1"/>
    <xf numFmtId="0" fontId="20" fillId="21" borderId="1" xfId="0" applyFont="1" applyFill="1" applyBorder="1"/>
    <xf numFmtId="2" fontId="2" fillId="3" borderId="0" xfId="0" applyNumberFormat="1" applyFont="1" applyFill="1"/>
    <xf numFmtId="0" fontId="0" fillId="0" borderId="0" xfId="0" applyAlignment="1">
      <alignment horizontal="center"/>
    </xf>
    <xf numFmtId="168" fontId="17" fillId="0" borderId="0" xfId="0" applyNumberFormat="1" applyFont="1"/>
    <xf numFmtId="14" fontId="35" fillId="24" borderId="1" xfId="0" applyNumberFormat="1" applyFont="1" applyFill="1" applyBorder="1" applyAlignment="1">
      <alignment horizontal="center" vertical="center"/>
    </xf>
    <xf numFmtId="2" fontId="35" fillId="24" borderId="1" xfId="0" applyNumberFormat="1" applyFont="1" applyFill="1" applyBorder="1" applyAlignment="1">
      <alignment horizontal="center" vertical="center"/>
    </xf>
    <xf numFmtId="0" fontId="0" fillId="0" borderId="0" xfId="0" applyNumberFormat="1" applyAlignment="1">
      <alignment horizontal="center"/>
    </xf>
    <xf numFmtId="0" fontId="0" fillId="0" borderId="0" xfId="0" applyAlignment="1">
      <alignment horizontal="center"/>
    </xf>
    <xf numFmtId="0" fontId="7" fillId="0" borderId="0" xfId="0" applyFont="1" applyFill="1" applyAlignment="1">
      <alignment horizontal="center"/>
    </xf>
    <xf numFmtId="0" fontId="0" fillId="0" borderId="0" xfId="0" applyAlignment="1">
      <alignment horizontal="center"/>
    </xf>
    <xf numFmtId="0" fontId="47" fillId="0" borderId="1" xfId="0" applyFont="1" applyFill="1" applyBorder="1" applyAlignment="1">
      <alignment horizontal="left" vertical="center"/>
    </xf>
    <xf numFmtId="0" fontId="48" fillId="0" borderId="1" xfId="0" applyFont="1" applyFill="1" applyBorder="1" applyAlignment="1">
      <alignment horizontal="left" vertical="center"/>
    </xf>
    <xf numFmtId="169" fontId="19" fillId="0" borderId="0" xfId="0" applyNumberFormat="1" applyFont="1"/>
    <xf numFmtId="168" fontId="49" fillId="24" borderId="1" xfId="3" applyNumberFormat="1" applyFont="1" applyFill="1" applyBorder="1" applyAlignment="1">
      <alignment horizontal="right" vertical="center"/>
    </xf>
    <xf numFmtId="168" fontId="50" fillId="24" borderId="1" xfId="3" applyNumberFormat="1" applyFont="1" applyFill="1" applyBorder="1" applyAlignment="1">
      <alignment horizontal="right" vertical="center"/>
    </xf>
    <xf numFmtId="168" fontId="35" fillId="24" borderId="1" xfId="3" applyNumberFormat="1" applyFont="1" applyFill="1" applyBorder="1" applyAlignment="1">
      <alignment horizontal="center" vertical="center"/>
    </xf>
    <xf numFmtId="0" fontId="37" fillId="19" borderId="1" xfId="4" applyFont="1" applyFill="1" applyBorder="1" applyAlignment="1">
      <alignment horizontal="right"/>
    </xf>
    <xf numFmtId="0" fontId="25" fillId="26" borderId="0" xfId="0" applyFont="1" applyFill="1" applyBorder="1" applyAlignment="1">
      <alignment horizontal="center" vertical="center"/>
    </xf>
    <xf numFmtId="168" fontId="35" fillId="24" borderId="0" xfId="3" applyNumberFormat="1" applyFont="1" applyFill="1" applyBorder="1" applyAlignment="1">
      <alignment horizontal="right" vertical="center"/>
    </xf>
    <xf numFmtId="168" fontId="16" fillId="24" borderId="0" xfId="3" applyNumberFormat="1" applyFont="1" applyFill="1" applyBorder="1" applyAlignment="1">
      <alignment horizontal="right" vertical="center"/>
    </xf>
    <xf numFmtId="168" fontId="50" fillId="24" borderId="0" xfId="3" applyNumberFormat="1" applyFont="1" applyFill="1" applyBorder="1" applyAlignment="1">
      <alignment horizontal="right" vertical="center"/>
    </xf>
    <xf numFmtId="0" fontId="0" fillId="0" borderId="0" xfId="0" applyAlignment="1">
      <alignment horizontal="center"/>
    </xf>
    <xf numFmtId="171" fontId="35" fillId="24" borderId="1" xfId="3" applyNumberFormat="1" applyFont="1" applyFill="1" applyBorder="1" applyAlignment="1">
      <alignment horizontal="center" vertical="center"/>
    </xf>
    <xf numFmtId="0" fontId="19" fillId="0" borderId="0" xfId="0" applyFont="1" applyFill="1"/>
    <xf numFmtId="0" fontId="8" fillId="0" borderId="0" xfId="0" applyFont="1" applyFill="1"/>
    <xf numFmtId="169" fontId="8" fillId="0" borderId="0" xfId="0" applyNumberFormat="1" applyFont="1" applyFill="1"/>
    <xf numFmtId="2" fontId="8" fillId="0" borderId="1" xfId="0" applyNumberFormat="1" applyFont="1" applyFill="1" applyBorder="1" applyAlignment="1">
      <alignment horizontal="center"/>
    </xf>
    <xf numFmtId="1" fontId="19" fillId="0" borderId="1" xfId="0" applyNumberFormat="1" applyFont="1" applyFill="1" applyBorder="1" applyAlignment="1">
      <alignment horizontal="center"/>
    </xf>
    <xf numFmtId="169" fontId="2" fillId="0" borderId="0" xfId="0" applyNumberFormat="1" applyFont="1"/>
    <xf numFmtId="0" fontId="31" fillId="0" borderId="1" xfId="0" applyFont="1" applyFill="1" applyBorder="1" applyAlignment="1">
      <alignment horizontal="left" vertical="center"/>
    </xf>
    <xf numFmtId="0" fontId="20" fillId="0" borderId="0" xfId="0" applyFont="1" applyFill="1" applyBorder="1" applyAlignment="1">
      <alignment horizontal="center"/>
    </xf>
    <xf numFmtId="0" fontId="0" fillId="0" borderId="1" xfId="0" applyBorder="1" applyAlignment="1">
      <alignment horizontal="right"/>
    </xf>
    <xf numFmtId="0" fontId="20" fillId="0" borderId="1" xfId="0" applyFont="1" applyBorder="1" applyAlignment="1">
      <alignment horizontal="center"/>
    </xf>
    <xf numFmtId="169" fontId="35" fillId="22" borderId="1" xfId="0" applyNumberFormat="1" applyFont="1" applyFill="1" applyBorder="1" applyAlignment="1">
      <alignment horizontal="center" vertical="center"/>
    </xf>
    <xf numFmtId="0" fontId="7" fillId="0" borderId="0" xfId="0" applyFont="1" applyAlignment="1">
      <alignment horizontal="center"/>
    </xf>
    <xf numFmtId="0" fontId="42" fillId="0" borderId="0" xfId="4" applyFont="1" applyFill="1" applyAlignment="1">
      <alignment horizontal="center"/>
    </xf>
    <xf numFmtId="0" fontId="51" fillId="0" borderId="0" xfId="4" applyFont="1" applyFill="1" applyAlignment="1">
      <alignment horizontal="center"/>
    </xf>
    <xf numFmtId="169" fontId="42" fillId="0" borderId="0" xfId="4" applyNumberFormat="1" applyFont="1" applyFill="1" applyBorder="1" applyAlignment="1"/>
    <xf numFmtId="169" fontId="42" fillId="0" borderId="0" xfId="4" applyNumberFormat="1" applyFont="1" applyFill="1" applyBorder="1" applyAlignment="1">
      <alignment horizontal="center"/>
    </xf>
    <xf numFmtId="169" fontId="42" fillId="0" borderId="1" xfId="4" applyNumberFormat="1" applyFont="1" applyFill="1" applyBorder="1" applyAlignment="1">
      <alignment horizontal="center"/>
    </xf>
    <xf numFmtId="9" fontId="42" fillId="0" borderId="1" xfId="2" applyFont="1" applyFill="1" applyBorder="1" applyAlignment="1">
      <alignment horizontal="center"/>
    </xf>
    <xf numFmtId="168" fontId="42" fillId="0" borderId="1" xfId="3" applyNumberFormat="1" applyFont="1" applyFill="1" applyBorder="1" applyAlignment="1">
      <alignment horizontal="center"/>
    </xf>
    <xf numFmtId="0" fontId="36" fillId="0" borderId="0" xfId="0" applyFont="1" applyAlignment="1">
      <alignment horizontal="center"/>
    </xf>
    <xf numFmtId="169" fontId="37" fillId="0" borderId="1" xfId="4" applyNumberFormat="1" applyFont="1" applyFill="1" applyBorder="1" applyAlignment="1">
      <alignment horizontal="center"/>
    </xf>
    <xf numFmtId="0" fontId="37" fillId="14" borderId="1" xfId="4" applyFont="1" applyFill="1" applyBorder="1" applyAlignment="1">
      <alignment horizontal="right"/>
    </xf>
    <xf numFmtId="0" fontId="0" fillId="0" borderId="0" xfId="0" applyAlignment="1">
      <alignment horizontal="center"/>
    </xf>
    <xf numFmtId="0" fontId="20" fillId="35" borderId="0" xfId="0" applyFont="1" applyFill="1" applyAlignment="1">
      <alignment horizontal="center"/>
    </xf>
    <xf numFmtId="0" fontId="0" fillId="35" borderId="0" xfId="0" applyFont="1" applyFill="1" applyAlignment="1">
      <alignment horizontal="center"/>
    </xf>
    <xf numFmtId="0" fontId="0" fillId="35" borderId="0" xfId="0" applyFont="1" applyFill="1"/>
    <xf numFmtId="0" fontId="20" fillId="35" borderId="0" xfId="0" applyFont="1" applyFill="1"/>
    <xf numFmtId="14" fontId="20" fillId="35" borderId="0" xfId="0" applyNumberFormat="1" applyFont="1" applyFill="1"/>
    <xf numFmtId="2" fontId="20" fillId="35" borderId="0" xfId="0" applyNumberFormat="1" applyFont="1" applyFill="1"/>
    <xf numFmtId="0" fontId="0" fillId="15" borderId="0" xfId="0" applyFill="1" applyAlignment="1">
      <alignment horizontal="center"/>
    </xf>
    <xf numFmtId="0" fontId="0" fillId="15" borderId="0" xfId="0" applyFill="1"/>
    <xf numFmtId="14" fontId="0" fillId="15" borderId="0" xfId="0" applyNumberFormat="1" applyFill="1"/>
    <xf numFmtId="0" fontId="20" fillId="15" borderId="0" xfId="0" applyFont="1" applyFill="1" applyAlignment="1">
      <alignment horizontal="center"/>
    </xf>
    <xf numFmtId="0" fontId="0" fillId="15" borderId="0" xfId="0" applyFont="1" applyFill="1" applyAlignment="1">
      <alignment horizontal="center"/>
    </xf>
    <xf numFmtId="0" fontId="20" fillId="15" borderId="0" xfId="0" applyFont="1" applyFill="1"/>
    <xf numFmtId="14" fontId="20" fillId="15" borderId="0" xfId="0" applyNumberFormat="1" applyFont="1" applyFill="1"/>
    <xf numFmtId="2" fontId="0" fillId="15" borderId="0" xfId="0" applyNumberFormat="1" applyFill="1"/>
    <xf numFmtId="0" fontId="10" fillId="15" borderId="0" xfId="0" applyFont="1" applyFill="1"/>
    <xf numFmtId="0" fontId="2" fillId="15" borderId="1" xfId="0" applyFont="1" applyFill="1" applyBorder="1" applyAlignment="1">
      <alignment horizontal="center"/>
    </xf>
    <xf numFmtId="0" fontId="0" fillId="15" borderId="1" xfId="0" applyFill="1" applyBorder="1"/>
    <xf numFmtId="14" fontId="0" fillId="15" borderId="1" xfId="0" applyNumberFormat="1" applyFill="1" applyBorder="1"/>
    <xf numFmtId="0" fontId="20" fillId="35" borderId="1" xfId="0" applyFont="1" applyFill="1" applyBorder="1" applyAlignment="1">
      <alignment horizontal="center"/>
    </xf>
    <xf numFmtId="0" fontId="20" fillId="35" borderId="1" xfId="0" applyFont="1" applyFill="1" applyBorder="1"/>
    <xf numFmtId="14" fontId="20" fillId="35" borderId="1" xfId="0" applyNumberFormat="1" applyFont="1" applyFill="1" applyBorder="1"/>
    <xf numFmtId="0" fontId="20" fillId="15" borderId="1" xfId="0" applyFont="1" applyFill="1" applyBorder="1" applyAlignment="1">
      <alignment horizontal="center"/>
    </xf>
    <xf numFmtId="0" fontId="0" fillId="15" borderId="1" xfId="0" applyFill="1" applyBorder="1" applyAlignment="1">
      <alignment horizontal="center"/>
    </xf>
    <xf numFmtId="2" fontId="0" fillId="15" borderId="1" xfId="0" applyNumberFormat="1" applyFill="1" applyBorder="1"/>
    <xf numFmtId="0" fontId="53" fillId="0" borderId="0" xfId="5"/>
    <xf numFmtId="0" fontId="15" fillId="0" borderId="0" xfId="4"/>
    <xf numFmtId="0" fontId="15" fillId="0" borderId="0" xfId="4" applyAlignment="1">
      <alignment horizontal="center"/>
    </xf>
    <xf numFmtId="0" fontId="55" fillId="36" borderId="0" xfId="4" applyFont="1" applyFill="1" applyBorder="1" applyAlignment="1">
      <alignment horizontal="center"/>
    </xf>
    <xf numFmtId="0" fontId="55" fillId="36" borderId="0" xfId="4" applyFont="1" applyFill="1" applyBorder="1" applyAlignment="1">
      <alignment horizontal="left"/>
    </xf>
    <xf numFmtId="0" fontId="56" fillId="36" borderId="0" xfId="4" applyFont="1" applyFill="1" applyBorder="1" applyAlignment="1">
      <alignment horizontal="center"/>
    </xf>
    <xf numFmtId="0" fontId="57" fillId="0" borderId="0" xfId="4" applyFont="1" applyBorder="1" applyAlignment="1">
      <alignment horizontal="left"/>
    </xf>
    <xf numFmtId="0" fontId="58" fillId="36" borderId="0" xfId="4" applyFont="1" applyFill="1" applyBorder="1" applyAlignment="1">
      <alignment horizontal="left"/>
    </xf>
    <xf numFmtId="0" fontId="58" fillId="36" borderId="0" xfId="4" applyFont="1" applyFill="1" applyBorder="1" applyAlignment="1">
      <alignment horizontal="center"/>
    </xf>
    <xf numFmtId="0" fontId="58" fillId="37" borderId="0" xfId="4" applyFont="1" applyFill="1" applyBorder="1" applyAlignment="1">
      <alignment horizontal="left"/>
    </xf>
    <xf numFmtId="0" fontId="59" fillId="36" borderId="0" xfId="4" applyFont="1" applyFill="1" applyBorder="1" applyAlignment="1">
      <alignment horizontal="center"/>
    </xf>
    <xf numFmtId="0" fontId="22" fillId="0" borderId="0" xfId="4" applyFont="1" applyBorder="1"/>
    <xf numFmtId="0" fontId="22" fillId="0" borderId="0" xfId="4" applyFont="1"/>
    <xf numFmtId="0" fontId="55" fillId="38" borderId="0" xfId="4" applyFont="1" applyFill="1" applyBorder="1" applyAlignment="1">
      <alignment horizontal="center"/>
    </xf>
    <xf numFmtId="0" fontId="55" fillId="38" borderId="0" xfId="4" applyFont="1" applyFill="1" applyBorder="1" applyAlignment="1">
      <alignment horizontal="left"/>
    </xf>
    <xf numFmtId="0" fontId="56" fillId="38" borderId="0" xfId="4" applyFont="1" applyFill="1" applyBorder="1" applyAlignment="1">
      <alignment horizontal="center"/>
    </xf>
    <xf numFmtId="0" fontId="58" fillId="38" borderId="0" xfId="4" applyFont="1" applyFill="1" applyBorder="1" applyAlignment="1">
      <alignment horizontal="left"/>
    </xf>
    <xf numFmtId="0" fontId="58" fillId="38" borderId="0" xfId="4" applyFont="1" applyFill="1" applyBorder="1" applyAlignment="1">
      <alignment horizontal="center"/>
    </xf>
    <xf numFmtId="0" fontId="59" fillId="38" borderId="0" xfId="4" applyFont="1" applyFill="1" applyBorder="1" applyAlignment="1">
      <alignment horizontal="center"/>
    </xf>
    <xf numFmtId="0" fontId="15" fillId="0" borderId="0" xfId="4" applyBorder="1" applyAlignment="1">
      <alignment horizontal="left"/>
    </xf>
    <xf numFmtId="0" fontId="58" fillId="39" borderId="0" xfId="4" applyFont="1" applyFill="1" applyBorder="1" applyAlignment="1">
      <alignment horizontal="left"/>
    </xf>
    <xf numFmtId="0" fontId="37" fillId="0" borderId="0" xfId="4" applyFont="1" applyBorder="1"/>
    <xf numFmtId="1" fontId="37" fillId="0" borderId="0" xfId="4" applyNumberFormat="1" applyFont="1" applyBorder="1"/>
    <xf numFmtId="0" fontId="22" fillId="0" borderId="0" xfId="4" applyFont="1" applyFill="1" applyBorder="1" applyAlignment="1">
      <alignment horizontal="center"/>
    </xf>
    <xf numFmtId="14" fontId="37" fillId="0" borderId="0" xfId="4" applyNumberFormat="1" applyFont="1" applyBorder="1"/>
    <xf numFmtId="0" fontId="60" fillId="0" borderId="0" xfId="4" applyFont="1" applyBorder="1"/>
    <xf numFmtId="169" fontId="61" fillId="41" borderId="0" xfId="4" applyNumberFormat="1" applyFont="1" applyFill="1" applyBorder="1" applyAlignment="1">
      <alignment horizontal="center"/>
    </xf>
    <xf numFmtId="2" fontId="62" fillId="41" borderId="0" xfId="4" applyNumberFormat="1" applyFont="1" applyFill="1" applyBorder="1" applyAlignment="1">
      <alignment horizontal="right"/>
    </xf>
    <xf numFmtId="169" fontId="63" fillId="42" borderId="0" xfId="4" applyNumberFormat="1" applyFont="1" applyFill="1" applyBorder="1" applyAlignment="1">
      <alignment horizontal="center"/>
    </xf>
    <xf numFmtId="2" fontId="64" fillId="42" borderId="0" xfId="4" applyNumberFormat="1" applyFont="1" applyFill="1" applyBorder="1" applyAlignment="1">
      <alignment horizontal="right"/>
    </xf>
    <xf numFmtId="2" fontId="65" fillId="43" borderId="0" xfId="4" applyNumberFormat="1" applyFont="1" applyFill="1" applyBorder="1" applyAlignment="1">
      <alignment horizontal="right"/>
    </xf>
    <xf numFmtId="2" fontId="63" fillId="42" borderId="0" xfId="4" applyNumberFormat="1" applyFont="1" applyFill="1" applyBorder="1" applyAlignment="1">
      <alignment horizontal="right"/>
    </xf>
    <xf numFmtId="0" fontId="15" fillId="0" borderId="0" xfId="4" applyFont="1" applyBorder="1" applyAlignment="1">
      <alignment horizontal="center"/>
    </xf>
    <xf numFmtId="0" fontId="32" fillId="0" borderId="0" xfId="4" applyFont="1" applyBorder="1" applyAlignment="1">
      <alignment horizontal="center"/>
    </xf>
    <xf numFmtId="0" fontId="42" fillId="44" borderId="0" xfId="4" applyFont="1" applyFill="1" applyBorder="1" applyAlignment="1">
      <alignment horizontal="center"/>
    </xf>
    <xf numFmtId="0" fontId="42" fillId="0" borderId="0" xfId="4" applyFont="1" applyFill="1" applyBorder="1" applyAlignment="1">
      <alignment horizontal="center"/>
    </xf>
    <xf numFmtId="0" fontId="54" fillId="0" borderId="0" xfId="4" applyFont="1" applyFill="1" applyBorder="1" applyAlignment="1">
      <alignment horizontal="center"/>
    </xf>
    <xf numFmtId="0" fontId="15" fillId="0" borderId="0" xfId="4" applyBorder="1"/>
    <xf numFmtId="0" fontId="42" fillId="0" borderId="0" xfId="4" applyFont="1" applyBorder="1" applyAlignment="1">
      <alignment horizontal="center"/>
    </xf>
    <xf numFmtId="1" fontId="66" fillId="0" borderId="0" xfId="4" applyNumberFormat="1" applyFont="1" applyBorder="1" applyAlignment="1">
      <alignment horizontal="right"/>
    </xf>
    <xf numFmtId="2" fontId="61" fillId="41" borderId="0" xfId="4" applyNumberFormat="1" applyFont="1" applyFill="1" applyBorder="1" applyAlignment="1">
      <alignment horizontal="right"/>
    </xf>
    <xf numFmtId="169" fontId="63" fillId="41" borderId="0" xfId="4" applyNumberFormat="1" applyFont="1" applyFill="1" applyBorder="1" applyAlignment="1">
      <alignment horizontal="center"/>
    </xf>
    <xf numFmtId="2" fontId="63" fillId="41" borderId="0" xfId="4" applyNumberFormat="1" applyFont="1" applyFill="1" applyBorder="1" applyAlignment="1">
      <alignment horizontal="right"/>
    </xf>
    <xf numFmtId="0" fontId="15" fillId="41" borderId="0" xfId="4" applyFont="1" applyFill="1" applyBorder="1" applyAlignment="1">
      <alignment horizontal="center"/>
    </xf>
    <xf numFmtId="169" fontId="67" fillId="41" borderId="0" xfId="4" applyNumberFormat="1" applyFont="1" applyFill="1" applyBorder="1" applyAlignment="1">
      <alignment horizontal="center"/>
    </xf>
    <xf numFmtId="2" fontId="67" fillId="41" borderId="0" xfId="4" applyNumberFormat="1" applyFont="1" applyFill="1" applyBorder="1" applyAlignment="1">
      <alignment horizontal="right"/>
    </xf>
    <xf numFmtId="0" fontId="32" fillId="40" borderId="0" xfId="4" applyFont="1" applyFill="1" applyBorder="1" applyAlignment="1">
      <alignment horizontal="center"/>
    </xf>
    <xf numFmtId="0" fontId="32" fillId="0" borderId="0" xfId="4" applyFont="1" applyFill="1" applyBorder="1" applyAlignment="1">
      <alignment horizontal="center"/>
    </xf>
    <xf numFmtId="0" fontId="59" fillId="45" borderId="0" xfId="4" applyFont="1" applyFill="1" applyBorder="1" applyAlignment="1">
      <alignment horizontal="center"/>
    </xf>
    <xf numFmtId="1" fontId="15" fillId="0" borderId="0" xfId="4" applyNumberFormat="1"/>
    <xf numFmtId="0" fontId="22" fillId="0" borderId="0" xfId="4" applyFont="1" applyAlignment="1">
      <alignment horizontal="center"/>
    </xf>
    <xf numFmtId="1" fontId="15" fillId="0" borderId="0" xfId="4" applyNumberFormat="1" applyBorder="1"/>
    <xf numFmtId="0" fontId="15" fillId="0" borderId="0" xfId="4" applyFill="1" applyAlignment="1">
      <alignment horizontal="center"/>
    </xf>
    <xf numFmtId="0" fontId="15" fillId="0" borderId="0" xfId="4" applyBorder="1" applyAlignment="1">
      <alignment horizontal="center"/>
    </xf>
    <xf numFmtId="0" fontId="54" fillId="0" borderId="0" xfId="4" applyFont="1" applyBorder="1" applyAlignment="1">
      <alignment horizontal="center"/>
    </xf>
    <xf numFmtId="0" fontId="69" fillId="0" borderId="0" xfId="4" applyFont="1" applyAlignment="1">
      <alignment horizontal="center"/>
    </xf>
    <xf numFmtId="0" fontId="53" fillId="0" borderId="0" xfId="5"/>
    <xf numFmtId="0" fontId="37" fillId="0" borderId="0" xfId="4" applyFont="1" applyBorder="1"/>
    <xf numFmtId="1" fontId="37" fillId="0" borderId="0" xfId="4" applyNumberFormat="1" applyFont="1" applyBorder="1"/>
    <xf numFmtId="0" fontId="42" fillId="0" borderId="0" xfId="4" applyFont="1" applyBorder="1" applyAlignment="1">
      <alignment horizontal="center"/>
    </xf>
    <xf numFmtId="0" fontId="58" fillId="38" borderId="21" xfId="4" applyFont="1" applyFill="1" applyBorder="1" applyAlignment="1">
      <alignment horizontal="left"/>
    </xf>
    <xf numFmtId="0" fontId="53" fillId="0" borderId="0" xfId="5"/>
    <xf numFmtId="0" fontId="15" fillId="0" borderId="0" xfId="4"/>
    <xf numFmtId="0" fontId="37" fillId="0" borderId="0" xfId="4" applyFont="1" applyBorder="1"/>
    <xf numFmtId="1" fontId="37" fillId="0" borderId="0" xfId="4" applyNumberFormat="1" applyFont="1" applyBorder="1"/>
    <xf numFmtId="0" fontId="15" fillId="0" borderId="0" xfId="4" applyBorder="1"/>
    <xf numFmtId="0" fontId="42" fillId="0" borderId="0" xfId="4" applyFont="1" applyBorder="1" applyAlignment="1">
      <alignment horizontal="center"/>
    </xf>
    <xf numFmtId="1" fontId="66" fillId="0" borderId="0" xfId="4" applyNumberFormat="1" applyFont="1" applyBorder="1" applyAlignment="1">
      <alignment horizontal="right"/>
    </xf>
    <xf numFmtId="14" fontId="70" fillId="0" borderId="0" xfId="4" applyNumberFormat="1" applyFont="1" applyBorder="1"/>
    <xf numFmtId="0" fontId="53" fillId="46" borderId="0" xfId="5" applyFill="1" applyBorder="1"/>
    <xf numFmtId="0" fontId="34" fillId="41" borderId="20" xfId="4" applyFont="1" applyFill="1" applyBorder="1" applyAlignment="1">
      <alignment horizontal="center"/>
    </xf>
    <xf numFmtId="0" fontId="34" fillId="0" borderId="0" xfId="4" applyFont="1" applyAlignment="1">
      <alignment horizontal="left" indent="1"/>
    </xf>
    <xf numFmtId="0" fontId="15" fillId="0" borderId="0" xfId="4" applyFont="1" applyAlignment="1">
      <alignment horizontal="left" indent="1"/>
    </xf>
    <xf numFmtId="0" fontId="55" fillId="50" borderId="0" xfId="4" applyFont="1" applyFill="1" applyBorder="1" applyAlignment="1">
      <alignment horizontal="left"/>
    </xf>
    <xf numFmtId="0" fontId="55" fillId="50" borderId="0" xfId="4" applyFont="1" applyFill="1" applyBorder="1" applyAlignment="1">
      <alignment horizontal="center"/>
    </xf>
    <xf numFmtId="0" fontId="56" fillId="50" borderId="0" xfId="4" applyFont="1" applyFill="1" applyBorder="1" applyAlignment="1">
      <alignment horizontal="center"/>
    </xf>
    <xf numFmtId="0" fontId="58" fillId="50" borderId="0" xfId="4" applyFont="1" applyFill="1" applyBorder="1" applyAlignment="1">
      <alignment horizontal="left"/>
    </xf>
    <xf numFmtId="0" fontId="58" fillId="50" borderId="0" xfId="4" applyFont="1" applyFill="1" applyBorder="1" applyAlignment="1">
      <alignment horizontal="center"/>
    </xf>
    <xf numFmtId="0" fontId="59" fillId="50" borderId="0" xfId="4" applyFont="1" applyFill="1" applyBorder="1" applyAlignment="1">
      <alignment horizontal="center"/>
    </xf>
    <xf numFmtId="0" fontId="58" fillId="51" borderId="0" xfId="4" applyFont="1" applyFill="1" applyBorder="1" applyAlignment="1">
      <alignment horizontal="left"/>
    </xf>
    <xf numFmtId="0" fontId="37" fillId="52" borderId="0" xfId="4" applyFont="1" applyFill="1" applyBorder="1" applyAlignment="1">
      <alignment horizontal="right"/>
    </xf>
    <xf numFmtId="0" fontId="15" fillId="52" borderId="0" xfId="4" applyFill="1" applyAlignment="1">
      <alignment horizontal="right"/>
    </xf>
    <xf numFmtId="0" fontId="23" fillId="52" borderId="0" xfId="4" applyFont="1" applyFill="1" applyBorder="1" applyAlignment="1">
      <alignment horizontal="right"/>
    </xf>
    <xf numFmtId="0" fontId="51" fillId="52" borderId="0" xfId="4" applyFont="1" applyFill="1" applyBorder="1" applyAlignment="1">
      <alignment horizontal="right"/>
    </xf>
    <xf numFmtId="0" fontId="68" fillId="52" borderId="0" xfId="4" applyFont="1" applyFill="1" applyBorder="1" applyAlignment="1">
      <alignment horizontal="right"/>
    </xf>
    <xf numFmtId="0" fontId="34" fillId="0" borderId="0" xfId="4" applyFont="1" applyBorder="1"/>
    <xf numFmtId="14" fontId="34" fillId="0" borderId="0" xfId="4" applyNumberFormat="1" applyFont="1" applyBorder="1"/>
    <xf numFmtId="0" fontId="53" fillId="0" borderId="0" xfId="5" applyBorder="1"/>
    <xf numFmtId="14" fontId="15" fillId="0" borderId="0" xfId="4" applyNumberFormat="1" applyBorder="1"/>
    <xf numFmtId="0" fontId="58" fillId="38" borderId="22" xfId="4" applyFont="1" applyFill="1" applyBorder="1" applyAlignment="1">
      <alignment horizontal="center"/>
    </xf>
    <xf numFmtId="0" fontId="58" fillId="38" borderId="1" xfId="4" applyFont="1" applyFill="1" applyBorder="1" applyAlignment="1">
      <alignment horizontal="left"/>
    </xf>
    <xf numFmtId="2" fontId="15" fillId="0" borderId="1" xfId="4" applyNumberFormat="1" applyBorder="1" applyAlignment="1">
      <alignment horizontal="right"/>
    </xf>
    <xf numFmtId="2" fontId="72" fillId="41" borderId="1" xfId="4" applyNumberFormat="1" applyFont="1" applyFill="1" applyBorder="1" applyAlignment="1">
      <alignment horizontal="right"/>
    </xf>
    <xf numFmtId="2" fontId="15" fillId="42" borderId="1" xfId="4" applyNumberFormat="1" applyFill="1" applyBorder="1" applyAlignment="1">
      <alignment horizontal="right"/>
    </xf>
    <xf numFmtId="2" fontId="23" fillId="42" borderId="1" xfId="4" applyNumberFormat="1" applyFont="1" applyFill="1" applyBorder="1" applyAlignment="1">
      <alignment horizontal="right"/>
    </xf>
    <xf numFmtId="2" fontId="23" fillId="41" borderId="1" xfId="4" applyNumberFormat="1" applyFont="1" applyFill="1" applyBorder="1" applyAlignment="1">
      <alignment horizontal="right"/>
    </xf>
    <xf numFmtId="2" fontId="68" fillId="41" borderId="1" xfId="4" applyNumberFormat="1" applyFont="1" applyFill="1" applyBorder="1" applyAlignment="1">
      <alignment horizontal="right"/>
    </xf>
    <xf numFmtId="2" fontId="15" fillId="41" borderId="1" xfId="4" applyNumberFormat="1" applyFill="1" applyBorder="1" applyAlignment="1">
      <alignment horizontal="right"/>
    </xf>
    <xf numFmtId="2" fontId="22" fillId="41" borderId="1" xfId="4" applyNumberFormat="1" applyFont="1" applyFill="1" applyBorder="1" applyAlignment="1">
      <alignment horizontal="right"/>
    </xf>
    <xf numFmtId="2" fontId="63" fillId="0" borderId="1" xfId="4" applyNumberFormat="1" applyFont="1" applyBorder="1" applyAlignment="1">
      <alignment horizontal="right"/>
    </xf>
    <xf numFmtId="2" fontId="63" fillId="41" borderId="1" xfId="4" applyNumberFormat="1" applyFont="1" applyFill="1" applyBorder="1" applyAlignment="1">
      <alignment horizontal="right"/>
    </xf>
    <xf numFmtId="2" fontId="64" fillId="41" borderId="1" xfId="4" applyNumberFormat="1" applyFont="1" applyFill="1" applyBorder="1" applyAlignment="1">
      <alignment horizontal="right"/>
    </xf>
    <xf numFmtId="2" fontId="61" fillId="41" borderId="1" xfId="4" applyNumberFormat="1" applyFont="1" applyFill="1" applyBorder="1" applyAlignment="1">
      <alignment horizontal="right"/>
    </xf>
    <xf numFmtId="2" fontId="62" fillId="41" borderId="1" xfId="4" applyNumberFormat="1" applyFont="1" applyFill="1" applyBorder="1" applyAlignment="1">
      <alignment horizontal="right"/>
    </xf>
    <xf numFmtId="2" fontId="64" fillId="42" borderId="1" xfId="4" applyNumberFormat="1" applyFont="1" applyFill="1" applyBorder="1" applyAlignment="1">
      <alignment horizontal="right"/>
    </xf>
    <xf numFmtId="2" fontId="63" fillId="42" borderId="1" xfId="4" applyNumberFormat="1" applyFont="1" applyFill="1" applyBorder="1" applyAlignment="1">
      <alignment horizontal="right"/>
    </xf>
    <xf numFmtId="2" fontId="65" fillId="43" borderId="1" xfId="4" applyNumberFormat="1" applyFont="1" applyFill="1" applyBorder="1" applyAlignment="1">
      <alignment horizontal="right"/>
    </xf>
    <xf numFmtId="2" fontId="74" fillId="41" borderId="1" xfId="4" applyNumberFormat="1" applyFont="1" applyFill="1" applyBorder="1" applyAlignment="1">
      <alignment horizontal="right"/>
    </xf>
    <xf numFmtId="0" fontId="63" fillId="0" borderId="1" xfId="4" applyFont="1" applyBorder="1"/>
    <xf numFmtId="2" fontId="67" fillId="0" borderId="1" xfId="4" applyNumberFormat="1" applyFont="1" applyBorder="1" applyAlignment="1">
      <alignment horizontal="right"/>
    </xf>
    <xf numFmtId="0" fontId="15" fillId="0" borderId="1" xfId="4" applyBorder="1"/>
    <xf numFmtId="2" fontId="75" fillId="41" borderId="1" xfId="4" applyNumberFormat="1" applyFont="1" applyFill="1" applyBorder="1" applyAlignment="1">
      <alignment horizontal="right"/>
    </xf>
    <xf numFmtId="0" fontId="37" fillId="0" borderId="1" xfId="4" applyFont="1" applyBorder="1"/>
    <xf numFmtId="0" fontId="73" fillId="0" borderId="1" xfId="4" applyFont="1" applyBorder="1"/>
    <xf numFmtId="2" fontId="65" fillId="41" borderId="1" xfId="4" applyNumberFormat="1" applyFont="1" applyFill="1" applyBorder="1" applyAlignment="1">
      <alignment horizontal="right"/>
    </xf>
    <xf numFmtId="2" fontId="60" fillId="0" borderId="1" xfId="4" applyNumberFormat="1" applyFont="1" applyBorder="1" applyAlignment="1">
      <alignment horizontal="right"/>
    </xf>
    <xf numFmtId="2" fontId="63" fillId="47" borderId="1" xfId="4" applyNumberFormat="1" applyFont="1" applyFill="1" applyBorder="1" applyAlignment="1">
      <alignment horizontal="right"/>
    </xf>
    <xf numFmtId="2" fontId="65" fillId="47" borderId="1" xfId="4" applyNumberFormat="1" applyFont="1" applyFill="1" applyBorder="1" applyAlignment="1">
      <alignment horizontal="right"/>
    </xf>
    <xf numFmtId="2" fontId="75" fillId="42" borderId="1" xfId="4" applyNumberFormat="1" applyFont="1" applyFill="1" applyBorder="1" applyAlignment="1">
      <alignment horizontal="right"/>
    </xf>
    <xf numFmtId="0" fontId="60" fillId="0" borderId="1" xfId="4" applyFont="1" applyBorder="1"/>
    <xf numFmtId="0" fontId="76" fillId="0" borderId="1" xfId="4" applyFont="1" applyBorder="1"/>
    <xf numFmtId="169" fontId="61" fillId="41" borderId="1" xfId="4" applyNumberFormat="1" applyFont="1" applyFill="1" applyBorder="1" applyAlignment="1">
      <alignment horizontal="center"/>
    </xf>
    <xf numFmtId="169" fontId="63" fillId="41" borderId="1" xfId="4" applyNumberFormat="1" applyFont="1" applyFill="1" applyBorder="1" applyAlignment="1">
      <alignment horizontal="center"/>
    </xf>
    <xf numFmtId="169" fontId="63" fillId="42" borderId="1" xfId="4" applyNumberFormat="1" applyFont="1" applyFill="1" applyBorder="1" applyAlignment="1">
      <alignment horizontal="center"/>
    </xf>
    <xf numFmtId="0" fontId="53" fillId="0" borderId="1" xfId="5" applyBorder="1"/>
    <xf numFmtId="169" fontId="67" fillId="41" borderId="1" xfId="4" applyNumberFormat="1" applyFont="1" applyFill="1" applyBorder="1" applyAlignment="1">
      <alignment horizontal="center"/>
    </xf>
    <xf numFmtId="2" fontId="67" fillId="41" borderId="1" xfId="4" applyNumberFormat="1" applyFont="1" applyFill="1" applyBorder="1" applyAlignment="1">
      <alignment horizontal="right"/>
    </xf>
    <xf numFmtId="169" fontId="63" fillId="48" borderId="1" xfId="4" applyNumberFormat="1" applyFont="1" applyFill="1" applyBorder="1" applyAlignment="1">
      <alignment horizontal="center"/>
    </xf>
    <xf numFmtId="2" fontId="65" fillId="49" borderId="1" xfId="4" applyNumberFormat="1" applyFont="1" applyFill="1" applyBorder="1" applyAlignment="1">
      <alignment horizontal="right"/>
    </xf>
    <xf numFmtId="2" fontId="64" fillId="48" borderId="1" xfId="4" applyNumberFormat="1" applyFont="1" applyFill="1" applyBorder="1" applyAlignment="1">
      <alignment horizontal="right"/>
    </xf>
    <xf numFmtId="0" fontId="37" fillId="53" borderId="0" xfId="4" applyFont="1" applyFill="1" applyBorder="1" applyAlignment="1">
      <alignment horizontal="left"/>
    </xf>
    <xf numFmtId="0" fontId="77" fillId="0" borderId="0" xfId="0" applyFont="1" applyBorder="1"/>
    <xf numFmtId="0" fontId="78" fillId="0" borderId="0" xfId="0" applyFont="1"/>
    <xf numFmtId="166" fontId="0" fillId="0" borderId="0" xfId="0" applyNumberFormat="1"/>
    <xf numFmtId="0" fontId="79" fillId="0" borderId="0" xfId="0" applyFont="1"/>
    <xf numFmtId="0" fontId="79" fillId="0" borderId="0" xfId="0" applyFont="1" applyBorder="1"/>
    <xf numFmtId="14" fontId="79" fillId="0" borderId="0" xfId="0" applyNumberFormat="1" applyFont="1" applyAlignment="1">
      <alignment horizontal="center"/>
    </xf>
    <xf numFmtId="0" fontId="77" fillId="0" borderId="0" xfId="0" applyFont="1" applyBorder="1" applyAlignment="1">
      <alignment horizontal="center"/>
    </xf>
    <xf numFmtId="0" fontId="77" fillId="54" borderId="27" xfId="0" applyFont="1" applyFill="1" applyBorder="1" applyAlignment="1">
      <alignment horizontal="center" wrapText="1"/>
    </xf>
    <xf numFmtId="0" fontId="77" fillId="0" borderId="0" xfId="0" applyFont="1" applyAlignment="1">
      <alignment horizontal="center"/>
    </xf>
    <xf numFmtId="0" fontId="77" fillId="0" borderId="0" xfId="0" applyFont="1" applyBorder="1" applyAlignment="1">
      <alignment horizontal="right"/>
    </xf>
    <xf numFmtId="1" fontId="77" fillId="54" borderId="28" xfId="0" applyNumberFormat="1" applyFont="1" applyFill="1" applyBorder="1" applyAlignment="1">
      <alignment horizontal="center" wrapText="1"/>
    </xf>
    <xf numFmtId="0" fontId="77" fillId="0" borderId="0" xfId="0" applyFont="1"/>
    <xf numFmtId="0" fontId="10" fillId="0" borderId="28" xfId="0" applyFont="1" applyBorder="1" applyAlignment="1">
      <alignment horizontal="center"/>
    </xf>
    <xf numFmtId="0" fontId="81" fillId="56" borderId="29" xfId="0" applyFont="1" applyFill="1" applyBorder="1"/>
    <xf numFmtId="175" fontId="81" fillId="56" borderId="29" xfId="0" applyNumberFormat="1" applyFont="1" applyFill="1" applyBorder="1"/>
    <xf numFmtId="175" fontId="81" fillId="56" borderId="28" xfId="0" applyNumberFormat="1" applyFont="1" applyFill="1" applyBorder="1"/>
    <xf numFmtId="0" fontId="82" fillId="0" borderId="0" xfId="0" applyFont="1"/>
    <xf numFmtId="0" fontId="2" fillId="0" borderId="30" xfId="0" applyFont="1" applyBorder="1"/>
    <xf numFmtId="166" fontId="0" fillId="0" borderId="32" xfId="0" applyNumberFormat="1" applyBorder="1"/>
    <xf numFmtId="0" fontId="77" fillId="58" borderId="28" xfId="0" applyFont="1" applyFill="1" applyBorder="1" applyAlignment="1">
      <alignment wrapText="1"/>
    </xf>
    <xf numFmtId="164" fontId="77" fillId="57" borderId="28" xfId="2" applyNumberFormat="1" applyFont="1" applyFill="1" applyBorder="1" applyAlignment="1" applyProtection="1"/>
    <xf numFmtId="0" fontId="2" fillId="0" borderId="15" xfId="0" applyFont="1" applyBorder="1"/>
    <xf numFmtId="166" fontId="2" fillId="0" borderId="16" xfId="0" applyNumberFormat="1" applyFont="1" applyBorder="1"/>
    <xf numFmtId="164" fontId="2" fillId="0" borderId="13" xfId="2" applyNumberFormat="1" applyFont="1" applyBorder="1"/>
    <xf numFmtId="0" fontId="0" fillId="17" borderId="15" xfId="0" applyFill="1" applyBorder="1" applyAlignment="1">
      <alignment horizontal="right"/>
    </xf>
    <xf numFmtId="166" fontId="0" fillId="17" borderId="16" xfId="0" applyNumberFormat="1" applyFill="1" applyBorder="1"/>
    <xf numFmtId="0" fontId="0" fillId="10" borderId="15" xfId="0" applyFill="1" applyBorder="1" applyAlignment="1">
      <alignment horizontal="right"/>
    </xf>
    <xf numFmtId="164" fontId="1" fillId="0" borderId="13" xfId="2" applyNumberFormat="1" applyFont="1" applyBorder="1"/>
    <xf numFmtId="0" fontId="0" fillId="35" borderId="15" xfId="0" applyFill="1" applyBorder="1" applyAlignment="1">
      <alignment horizontal="right"/>
    </xf>
    <xf numFmtId="166" fontId="0" fillId="35" borderId="16" xfId="0" applyNumberFormat="1" applyFill="1" applyBorder="1" applyAlignment="1">
      <alignment horizontal="right"/>
    </xf>
    <xf numFmtId="0" fontId="0" fillId="0" borderId="15" xfId="0" applyBorder="1"/>
    <xf numFmtId="166" fontId="0" fillId="0" borderId="16" xfId="0" applyNumberFormat="1" applyBorder="1"/>
    <xf numFmtId="0" fontId="0" fillId="0" borderId="15" xfId="0" applyBorder="1" applyAlignment="1">
      <alignment horizontal="right"/>
    </xf>
    <xf numFmtId="0" fontId="0" fillId="15" borderId="15" xfId="0" applyFill="1" applyBorder="1" applyAlignment="1">
      <alignment horizontal="right"/>
    </xf>
    <xf numFmtId="166" fontId="0" fillId="15" borderId="16" xfId="0" applyNumberFormat="1" applyFill="1" applyBorder="1" applyAlignment="1">
      <alignment horizontal="right"/>
    </xf>
    <xf numFmtId="175" fontId="77" fillId="59" borderId="28" xfId="0" applyNumberFormat="1" applyFont="1" applyFill="1" applyBorder="1"/>
    <xf numFmtId="0" fontId="0" fillId="0" borderId="15" xfId="0" applyFill="1" applyBorder="1" applyAlignment="1">
      <alignment horizontal="right"/>
    </xf>
    <xf numFmtId="166" fontId="0" fillId="0" borderId="16" xfId="0" applyNumberFormat="1" applyFill="1" applyBorder="1" applyAlignment="1">
      <alignment horizontal="right"/>
    </xf>
    <xf numFmtId="166" fontId="2" fillId="0" borderId="16" xfId="0" applyNumberFormat="1" applyFont="1" applyFill="1" applyBorder="1" applyAlignment="1">
      <alignment horizontal="right"/>
    </xf>
    <xf numFmtId="166" fontId="0" fillId="0" borderId="13" xfId="0" applyNumberFormat="1" applyBorder="1"/>
    <xf numFmtId="0" fontId="0" fillId="21" borderId="15" xfId="0" applyFill="1" applyBorder="1" applyAlignment="1">
      <alignment horizontal="right"/>
    </xf>
    <xf numFmtId="164" fontId="1" fillId="0" borderId="13" xfId="2" applyNumberFormat="1" applyFont="1" applyFill="1" applyBorder="1"/>
    <xf numFmtId="175" fontId="84" fillId="59" borderId="28" xfId="0" applyNumberFormat="1" applyFont="1" applyFill="1" applyBorder="1"/>
    <xf numFmtId="0" fontId="84" fillId="0" borderId="0" xfId="0" applyFont="1"/>
    <xf numFmtId="0" fontId="77" fillId="60" borderId="28" xfId="0" applyFont="1" applyFill="1" applyBorder="1"/>
    <xf numFmtId="164" fontId="77" fillId="59" borderId="28" xfId="2" applyNumberFormat="1" applyFont="1" applyFill="1" applyBorder="1" applyAlignment="1" applyProtection="1"/>
    <xf numFmtId="0" fontId="81" fillId="56" borderId="28" xfId="0" applyFont="1" applyFill="1" applyBorder="1"/>
    <xf numFmtId="0" fontId="79" fillId="0" borderId="0" xfId="0" applyFont="1" applyAlignment="1">
      <alignment wrapText="1"/>
    </xf>
    <xf numFmtId="14" fontId="79" fillId="0" borderId="0" xfId="0" applyNumberFormat="1" applyFont="1" applyAlignment="1">
      <alignment wrapText="1"/>
    </xf>
    <xf numFmtId="176" fontId="77" fillId="0" borderId="0" xfId="0" applyNumberFormat="1" applyFont="1"/>
    <xf numFmtId="0" fontId="20" fillId="0" borderId="15" xfId="0" applyFont="1" applyFill="1" applyBorder="1" applyAlignment="1">
      <alignment horizontal="right"/>
    </xf>
    <xf numFmtId="164" fontId="20" fillId="0" borderId="13" xfId="2" applyNumberFormat="1" applyFont="1" applyFill="1" applyBorder="1"/>
    <xf numFmtId="176" fontId="77" fillId="0" borderId="0" xfId="0" applyNumberFormat="1" applyFont="1" applyAlignment="1">
      <alignment horizontal="center"/>
    </xf>
    <xf numFmtId="0" fontId="77" fillId="61" borderId="28" xfId="0" applyFont="1" applyFill="1" applyBorder="1" applyAlignment="1">
      <alignment horizontal="center"/>
    </xf>
    <xf numFmtId="177" fontId="77" fillId="61" borderId="28" xfId="3" applyNumberFormat="1" applyFont="1" applyFill="1" applyBorder="1" applyAlignment="1" applyProtection="1">
      <alignment horizontal="center" wrapText="1"/>
    </xf>
    <xf numFmtId="0" fontId="77" fillId="61" borderId="28" xfId="0" applyFont="1" applyFill="1" applyBorder="1" applyAlignment="1">
      <alignment horizontal="right"/>
    </xf>
    <xf numFmtId="0" fontId="0" fillId="19" borderId="15" xfId="0" applyFill="1" applyBorder="1" applyAlignment="1">
      <alignment horizontal="right"/>
    </xf>
    <xf numFmtId="166" fontId="0" fillId="19" borderId="16" xfId="0" applyNumberFormat="1" applyFill="1" applyBorder="1"/>
    <xf numFmtId="178" fontId="77" fillId="61" borderId="28" xfId="1" applyNumberFormat="1" applyFont="1" applyFill="1" applyBorder="1" applyAlignment="1" applyProtection="1">
      <alignment horizontal="center" wrapText="1"/>
    </xf>
    <xf numFmtId="164" fontId="84" fillId="0" borderId="28" xfId="2" applyNumberFormat="1" applyFont="1" applyBorder="1" applyAlignment="1" applyProtection="1"/>
    <xf numFmtId="43" fontId="77" fillId="61" borderId="28" xfId="3" applyFont="1" applyFill="1" applyBorder="1" applyAlignment="1" applyProtection="1">
      <alignment horizontal="center" wrapText="1"/>
    </xf>
    <xf numFmtId="164" fontId="84" fillId="0" borderId="27" xfId="2" applyNumberFormat="1" applyFont="1" applyBorder="1" applyAlignment="1" applyProtection="1">
      <alignment horizontal="center"/>
    </xf>
    <xf numFmtId="9" fontId="2" fillId="0" borderId="32" xfId="2" applyNumberFormat="1" applyFont="1" applyBorder="1"/>
    <xf numFmtId="166" fontId="0" fillId="0" borderId="35" xfId="0" applyNumberFormat="1" applyBorder="1"/>
    <xf numFmtId="0" fontId="8" fillId="0" borderId="0" xfId="0" applyFont="1" applyFill="1" applyBorder="1" applyAlignment="1">
      <alignment horizontal="right"/>
    </xf>
    <xf numFmtId="166" fontId="8" fillId="0" borderId="0" xfId="0" applyNumberFormat="1" applyFont="1"/>
    <xf numFmtId="0" fontId="77" fillId="0" borderId="0" xfId="0" applyFont="1" applyAlignment="1">
      <alignment horizontal="right"/>
    </xf>
    <xf numFmtId="2" fontId="85" fillId="0" borderId="0" xfId="0" applyNumberFormat="1" applyFont="1"/>
    <xf numFmtId="0" fontId="52" fillId="0" borderId="0" xfId="0" applyFont="1" applyAlignment="1">
      <alignment horizontal="right"/>
    </xf>
    <xf numFmtId="166" fontId="52" fillId="0" borderId="0" xfId="0" applyNumberFormat="1" applyFont="1"/>
    <xf numFmtId="166" fontId="2" fillId="0" borderId="0" xfId="0" applyNumberFormat="1" applyFont="1"/>
    <xf numFmtId="177" fontId="0" fillId="0" borderId="0" xfId="0" applyNumberFormat="1"/>
    <xf numFmtId="175" fontId="0" fillId="0" borderId="0" xfId="0" applyNumberFormat="1"/>
    <xf numFmtId="0" fontId="0" fillId="0" borderId="0" xfId="0" applyAlignment="1">
      <alignment wrapText="1"/>
    </xf>
    <xf numFmtId="0" fontId="77" fillId="0" borderId="0" xfId="0" applyFont="1" applyAlignment="1">
      <alignment wrapText="1"/>
    </xf>
    <xf numFmtId="0" fontId="77" fillId="62" borderId="28" xfId="0" applyFont="1" applyFill="1" applyBorder="1" applyAlignment="1">
      <alignment wrapText="1"/>
    </xf>
    <xf numFmtId="175" fontId="0" fillId="62" borderId="28" xfId="0" applyNumberFormat="1" applyFill="1" applyBorder="1"/>
    <xf numFmtId="175" fontId="0" fillId="62" borderId="28" xfId="0" applyNumberFormat="1" applyFill="1" applyBorder="1" applyAlignment="1">
      <alignment horizontal="center"/>
    </xf>
    <xf numFmtId="14" fontId="79" fillId="15" borderId="0" xfId="0" applyNumberFormat="1" applyFont="1" applyFill="1" applyAlignment="1">
      <alignment horizontal="center"/>
    </xf>
    <xf numFmtId="1" fontId="77" fillId="63" borderId="28" xfId="0" applyNumberFormat="1" applyFont="1" applyFill="1" applyBorder="1" applyAlignment="1">
      <alignment horizontal="center" wrapText="1"/>
    </xf>
    <xf numFmtId="175" fontId="0" fillId="64" borderId="28" xfId="0" applyNumberFormat="1" applyFill="1" applyBorder="1"/>
    <xf numFmtId="175" fontId="84" fillId="64" borderId="28" xfId="0" applyNumberFormat="1" applyFont="1" applyFill="1" applyBorder="1"/>
    <xf numFmtId="0" fontId="77" fillId="64" borderId="28" xfId="0" applyFont="1" applyFill="1" applyBorder="1" applyAlignment="1">
      <alignment wrapText="1"/>
    </xf>
    <xf numFmtId="0" fontId="77" fillId="64" borderId="28" xfId="0" applyFont="1" applyFill="1" applyBorder="1"/>
    <xf numFmtId="0" fontId="84" fillId="64" borderId="28" xfId="0" applyFont="1" applyFill="1" applyBorder="1" applyAlignment="1">
      <alignment wrapText="1"/>
    </xf>
    <xf numFmtId="0" fontId="84" fillId="64" borderId="28" xfId="0" applyFont="1" applyFill="1" applyBorder="1"/>
    <xf numFmtId="0" fontId="86" fillId="62" borderId="28" xfId="0" applyFont="1" applyFill="1" applyBorder="1"/>
    <xf numFmtId="0" fontId="86" fillId="62" borderId="28" xfId="0" applyFont="1" applyFill="1" applyBorder="1" applyAlignment="1">
      <alignment wrapText="1"/>
    </xf>
    <xf numFmtId="175" fontId="86" fillId="62" borderId="28" xfId="0" applyNumberFormat="1" applyFont="1" applyFill="1" applyBorder="1"/>
    <xf numFmtId="0" fontId="86" fillId="0" borderId="0" xfId="0" applyFont="1"/>
    <xf numFmtId="164" fontId="86" fillId="0" borderId="28" xfId="0" applyNumberFormat="1" applyFont="1" applyBorder="1"/>
    <xf numFmtId="0" fontId="87" fillId="0" borderId="0" xfId="0" applyFont="1"/>
    <xf numFmtId="175" fontId="77" fillId="65" borderId="28" xfId="0" applyNumberFormat="1" applyFont="1" applyFill="1" applyBorder="1"/>
    <xf numFmtId="175" fontId="86" fillId="65" borderId="28" xfId="0" applyNumberFormat="1" applyFont="1" applyFill="1" applyBorder="1"/>
    <xf numFmtId="0" fontId="77" fillId="63" borderId="28" xfId="0" applyFont="1" applyFill="1" applyBorder="1" applyAlignment="1">
      <alignment horizontal="center" wrapText="1"/>
    </xf>
    <xf numFmtId="0" fontId="81" fillId="66" borderId="29" xfId="0" applyFont="1" applyFill="1" applyBorder="1"/>
    <xf numFmtId="175" fontId="81" fillId="66" borderId="29" xfId="0" applyNumberFormat="1" applyFont="1" applyFill="1" applyBorder="1"/>
    <xf numFmtId="175" fontId="81" fillId="66" borderId="28" xfId="0" applyNumberFormat="1" applyFont="1" applyFill="1" applyBorder="1"/>
    <xf numFmtId="0" fontId="20" fillId="15" borderId="15" xfId="0" applyFont="1" applyFill="1" applyBorder="1" applyAlignment="1">
      <alignment horizontal="right"/>
    </xf>
    <xf numFmtId="166" fontId="20" fillId="15" borderId="16" xfId="0" applyNumberFormat="1" applyFont="1" applyFill="1" applyBorder="1" applyAlignment="1">
      <alignment horizontal="right"/>
    </xf>
    <xf numFmtId="164" fontId="20" fillId="0" borderId="13" xfId="2" applyNumberFormat="1" applyFont="1" applyBorder="1"/>
    <xf numFmtId="164" fontId="2" fillId="0" borderId="0" xfId="2" applyNumberFormat="1" applyFont="1" applyBorder="1"/>
    <xf numFmtId="164" fontId="1" fillId="0" borderId="0" xfId="2" applyNumberFormat="1" applyFont="1" applyBorder="1"/>
    <xf numFmtId="164" fontId="20" fillId="0" borderId="0" xfId="2" applyNumberFormat="1" applyFont="1" applyBorder="1"/>
    <xf numFmtId="0" fontId="0" fillId="0" borderId="16" xfId="0" applyBorder="1"/>
    <xf numFmtId="0" fontId="0" fillId="19" borderId="33" xfId="0" applyFill="1" applyBorder="1" applyAlignment="1">
      <alignment horizontal="right"/>
    </xf>
    <xf numFmtId="166" fontId="0" fillId="19" borderId="34" xfId="0" applyNumberFormat="1" applyFill="1" applyBorder="1"/>
    <xf numFmtId="0" fontId="0" fillId="0" borderId="0" xfId="0" applyBorder="1"/>
    <xf numFmtId="0" fontId="10" fillId="0" borderId="33" xfId="0" applyFont="1" applyBorder="1" applyAlignment="1">
      <alignment horizontal="right"/>
    </xf>
    <xf numFmtId="166" fontId="10" fillId="0" borderId="34" xfId="0" applyNumberFormat="1" applyFont="1" applyBorder="1"/>
    <xf numFmtId="166" fontId="0" fillId="0" borderId="0" xfId="0" applyNumberFormat="1" applyBorder="1"/>
    <xf numFmtId="166" fontId="2" fillId="0" borderId="0" xfId="0" applyNumberFormat="1" applyFont="1" applyBorder="1"/>
    <xf numFmtId="166" fontId="0" fillId="10" borderId="0" xfId="0" applyNumberFormat="1" applyFill="1" applyBorder="1"/>
    <xf numFmtId="166" fontId="0" fillId="12" borderId="0" xfId="0" applyNumberFormat="1" applyFill="1" applyBorder="1"/>
    <xf numFmtId="166" fontId="2" fillId="0" borderId="0" xfId="0" applyNumberFormat="1" applyFont="1" applyFill="1" applyBorder="1" applyAlignment="1">
      <alignment horizontal="right"/>
    </xf>
    <xf numFmtId="166" fontId="0" fillId="21" borderId="0" xfId="0" applyNumberFormat="1" applyFill="1" applyBorder="1" applyAlignment="1">
      <alignment horizontal="right"/>
    </xf>
    <xf numFmtId="166" fontId="0" fillId="0" borderId="0" xfId="0" applyNumberFormat="1" applyFill="1" applyBorder="1"/>
    <xf numFmtId="166" fontId="0" fillId="21" borderId="0" xfId="0" applyNumberFormat="1" applyFill="1" applyBorder="1"/>
    <xf numFmtId="166" fontId="20" fillId="0" borderId="0" xfId="0" applyNumberFormat="1" applyFont="1" applyFill="1" applyBorder="1"/>
    <xf numFmtId="0" fontId="0" fillId="12" borderId="15" xfId="0" applyFill="1" applyBorder="1" applyAlignment="1">
      <alignment horizontal="right"/>
    </xf>
    <xf numFmtId="9" fontId="2" fillId="0" borderId="29" xfId="2" applyNumberFormat="1" applyFont="1" applyBorder="1"/>
    <xf numFmtId="164" fontId="1" fillId="0" borderId="29" xfId="2" applyNumberFormat="1" applyFont="1" applyFill="1" applyBorder="1"/>
    <xf numFmtId="0" fontId="0" fillId="0" borderId="33" xfId="0" applyFill="1" applyBorder="1" applyAlignment="1">
      <alignment horizontal="right"/>
    </xf>
    <xf numFmtId="166" fontId="0" fillId="0" borderId="36" xfId="0" applyNumberFormat="1" applyFill="1" applyBorder="1"/>
    <xf numFmtId="166" fontId="0" fillId="19" borderId="0" xfId="0" applyNumberFormat="1" applyFill="1" applyBorder="1" applyAlignment="1">
      <alignment horizontal="right"/>
    </xf>
    <xf numFmtId="0" fontId="20" fillId="19" borderId="15" xfId="0" applyFont="1" applyFill="1" applyBorder="1" applyAlignment="1">
      <alignment horizontal="right"/>
    </xf>
    <xf numFmtId="166" fontId="20" fillId="19" borderId="0" xfId="0" applyNumberFormat="1" applyFont="1" applyFill="1" applyBorder="1" applyAlignment="1">
      <alignment horizontal="right"/>
    </xf>
    <xf numFmtId="0" fontId="10" fillId="0" borderId="5" xfId="0" applyFont="1" applyBorder="1" applyAlignment="1">
      <alignment horizontal="center"/>
    </xf>
    <xf numFmtId="169" fontId="63" fillId="48" borderId="0" xfId="4" applyNumberFormat="1" applyFont="1" applyFill="1" applyBorder="1" applyAlignment="1">
      <alignment horizontal="center"/>
    </xf>
    <xf numFmtId="2" fontId="63" fillId="48" borderId="0" xfId="4" applyNumberFormat="1" applyFont="1" applyFill="1" applyBorder="1" applyAlignment="1">
      <alignment horizontal="right"/>
    </xf>
    <xf numFmtId="169" fontId="88" fillId="41" borderId="0" xfId="4" applyNumberFormat="1" applyFont="1" applyFill="1" applyBorder="1" applyAlignment="1">
      <alignment horizontal="center"/>
    </xf>
    <xf numFmtId="2" fontId="89" fillId="41" borderId="0" xfId="4" applyNumberFormat="1" applyFont="1" applyFill="1" applyBorder="1" applyAlignment="1">
      <alignment horizontal="right"/>
    </xf>
    <xf numFmtId="0" fontId="0" fillId="35" borderId="0" xfId="0" applyFill="1"/>
    <xf numFmtId="14" fontId="0" fillId="35" borderId="0" xfId="0" applyNumberFormat="1" applyFill="1"/>
    <xf numFmtId="0" fontId="37" fillId="67" borderId="0" xfId="4" applyFont="1" applyFill="1" applyBorder="1" applyAlignment="1">
      <alignment horizontal="left"/>
    </xf>
    <xf numFmtId="0" fontId="0" fillId="0" borderId="0" xfId="0" applyAlignment="1">
      <alignment horizontal="center"/>
    </xf>
    <xf numFmtId="0" fontId="10" fillId="0" borderId="0" xfId="0" applyFont="1" applyAlignment="1">
      <alignment horizontal="left"/>
    </xf>
    <xf numFmtId="2" fontId="65" fillId="49" borderId="0" xfId="4" applyNumberFormat="1" applyFont="1" applyFill="1" applyBorder="1" applyAlignment="1">
      <alignment horizontal="right"/>
    </xf>
    <xf numFmtId="169" fontId="88" fillId="48" borderId="0" xfId="4" applyNumberFormat="1" applyFont="1" applyFill="1" applyBorder="1" applyAlignment="1">
      <alignment horizontal="center"/>
    </xf>
    <xf numFmtId="2" fontId="88" fillId="48" borderId="0" xfId="4" applyNumberFormat="1" applyFont="1" applyFill="1" applyBorder="1" applyAlignment="1">
      <alignment horizontal="right"/>
    </xf>
    <xf numFmtId="0" fontId="37" fillId="15" borderId="1" xfId="4" applyFont="1" applyFill="1" applyBorder="1" applyAlignment="1">
      <alignment horizontal="right"/>
    </xf>
    <xf numFmtId="0" fontId="2" fillId="0" borderId="1" xfId="0" applyFont="1" applyFill="1" applyBorder="1" applyAlignment="1">
      <alignment horizontal="center"/>
    </xf>
    <xf numFmtId="2" fontId="88" fillId="41" borderId="0" xfId="4" applyNumberFormat="1" applyFont="1" applyFill="1" applyBorder="1" applyAlignment="1">
      <alignment horizontal="right"/>
    </xf>
    <xf numFmtId="0" fontId="90" fillId="0" borderId="0" xfId="4" applyFont="1" applyFill="1"/>
    <xf numFmtId="0" fontId="91" fillId="0" borderId="0" xfId="4" applyFont="1" applyFill="1" applyBorder="1" applyAlignment="1">
      <alignment horizontal="center"/>
    </xf>
    <xf numFmtId="0" fontId="92" fillId="0" borderId="0" xfId="4" applyFont="1" applyFill="1" applyBorder="1" applyAlignment="1">
      <alignment horizontal="left"/>
    </xf>
    <xf numFmtId="0" fontId="93" fillId="0" borderId="0" xfId="0" applyFont="1" applyAlignment="1">
      <alignment horizontal="center"/>
    </xf>
    <xf numFmtId="0" fontId="94" fillId="0" borderId="0" xfId="0" applyFont="1" applyAlignment="1">
      <alignment horizontal="center"/>
    </xf>
    <xf numFmtId="169" fontId="95" fillId="0" borderId="1" xfId="0" applyNumberFormat="1" applyFont="1" applyBorder="1"/>
    <xf numFmtId="171" fontId="94" fillId="0" borderId="1" xfId="3" applyNumberFormat="1" applyFont="1" applyBorder="1" applyAlignment="1">
      <alignment horizontal="center"/>
    </xf>
    <xf numFmtId="0" fontId="95" fillId="0" borderId="0" xfId="0" applyFont="1"/>
    <xf numFmtId="168" fontId="96" fillId="0" borderId="0" xfId="3" applyNumberFormat="1" applyFont="1"/>
    <xf numFmtId="0" fontId="95" fillId="0" borderId="0" xfId="0" applyFont="1" applyAlignment="1">
      <alignment horizontal="center"/>
    </xf>
    <xf numFmtId="0" fontId="10" fillId="0" borderId="0" xfId="0" applyFont="1" applyAlignment="1">
      <alignment horizontal="left"/>
    </xf>
    <xf numFmtId="0" fontId="10" fillId="0" borderId="0" xfId="0" applyFont="1" applyAlignment="1">
      <alignment horizontal="center"/>
    </xf>
    <xf numFmtId="0" fontId="2" fillId="16" borderId="0" xfId="0" applyFont="1" applyFill="1" applyAlignment="1">
      <alignment horizontal="center"/>
    </xf>
    <xf numFmtId="14" fontId="0" fillId="16" borderId="0" xfId="0" applyNumberFormat="1" applyFill="1" applyAlignment="1">
      <alignment horizontal="center"/>
    </xf>
    <xf numFmtId="14" fontId="0" fillId="0" borderId="1" xfId="0" applyNumberFormat="1" applyBorder="1" applyAlignment="1">
      <alignment horizontal="center"/>
    </xf>
    <xf numFmtId="0" fontId="55" fillId="36" borderId="0" xfId="4" applyFont="1" applyFill="1" applyBorder="1" applyAlignment="1">
      <alignment horizontal="center"/>
    </xf>
    <xf numFmtId="0" fontId="58" fillId="38" borderId="23" xfId="4" applyFont="1" applyFill="1" applyBorder="1" applyAlignment="1">
      <alignment horizontal="left"/>
    </xf>
    <xf numFmtId="0" fontId="58" fillId="38" borderId="24" xfId="4" applyFont="1" applyFill="1" applyBorder="1" applyAlignment="1">
      <alignment horizontal="left"/>
    </xf>
    <xf numFmtId="0" fontId="71" fillId="0" borderId="0" xfId="5" applyFont="1" applyAlignment="1">
      <alignment horizontal="center"/>
    </xf>
    <xf numFmtId="0" fontId="55" fillId="38" borderId="0" xfId="4" applyFont="1" applyFill="1" applyBorder="1" applyAlignment="1">
      <alignment horizontal="center"/>
    </xf>
    <xf numFmtId="0" fontId="55" fillId="50" borderId="0" xfId="4" applyFont="1" applyFill="1" applyBorder="1" applyAlignment="1">
      <alignment horizontal="center"/>
    </xf>
    <xf numFmtId="0" fontId="0" fillId="0" borderId="0" xfId="0" applyBorder="1" applyAlignment="1">
      <alignment wrapText="1"/>
    </xf>
    <xf numFmtId="0" fontId="77" fillId="62" borderId="32" xfId="0" applyFont="1" applyFill="1" applyBorder="1" applyAlignment="1">
      <alignment horizontal="center" vertical="top" wrapText="1"/>
    </xf>
    <xf numFmtId="0" fontId="77" fillId="62" borderId="13" xfId="0" applyFont="1" applyFill="1" applyBorder="1" applyAlignment="1">
      <alignment horizontal="center" vertical="top" wrapText="1"/>
    </xf>
    <xf numFmtId="0" fontId="77" fillId="62" borderId="29" xfId="0" applyFont="1" applyFill="1" applyBorder="1" applyAlignment="1">
      <alignment horizontal="center" vertical="top" wrapText="1"/>
    </xf>
    <xf numFmtId="0" fontId="77" fillId="64" borderId="32" xfId="0" applyFont="1" applyFill="1" applyBorder="1" applyAlignment="1">
      <alignment horizontal="center" vertical="top" wrapText="1"/>
    </xf>
    <xf numFmtId="0" fontId="77" fillId="64" borderId="13" xfId="0" applyFont="1" applyFill="1" applyBorder="1" applyAlignment="1">
      <alignment horizontal="center" vertical="top" wrapText="1"/>
    </xf>
    <xf numFmtId="0" fontId="77" fillId="64" borderId="29" xfId="0" applyFont="1" applyFill="1" applyBorder="1" applyAlignment="1">
      <alignment horizontal="center" vertical="top" wrapText="1"/>
    </xf>
    <xf numFmtId="0" fontId="77" fillId="61" borderId="16" xfId="0" applyFont="1" applyFill="1" applyBorder="1" applyAlignment="1">
      <alignment horizontal="center" vertical="top" wrapText="1"/>
    </xf>
    <xf numFmtId="175" fontId="84" fillId="59" borderId="28" xfId="0" applyNumberFormat="1" applyFont="1" applyFill="1" applyBorder="1" applyAlignment="1">
      <alignment horizontal="center"/>
    </xf>
    <xf numFmtId="0" fontId="77" fillId="0" borderId="0" xfId="0" applyFont="1" applyBorder="1" applyAlignment="1">
      <alignment horizontal="center" vertical="center" wrapText="1"/>
    </xf>
    <xf numFmtId="0" fontId="80" fillId="3" borderId="25" xfId="0" applyFont="1" applyFill="1" applyBorder="1" applyAlignment="1">
      <alignment horizontal="center"/>
    </xf>
    <xf numFmtId="0" fontId="80" fillId="3" borderId="26" xfId="0" applyFont="1" applyFill="1" applyBorder="1" applyAlignment="1">
      <alignment horizontal="center"/>
    </xf>
    <xf numFmtId="0" fontId="80" fillId="3" borderId="27" xfId="0" applyFont="1" applyFill="1" applyBorder="1" applyAlignment="1">
      <alignment horizontal="center"/>
    </xf>
    <xf numFmtId="0" fontId="0" fillId="0" borderId="30" xfId="0" applyBorder="1" applyAlignment="1">
      <alignment horizontal="right"/>
    </xf>
    <xf numFmtId="0" fontId="0" fillId="0" borderId="35" xfId="0" applyBorder="1" applyAlignment="1">
      <alignment horizontal="right"/>
    </xf>
    <xf numFmtId="0" fontId="0" fillId="0" borderId="26" xfId="0" applyBorder="1" applyAlignment="1">
      <alignment horizontal="right"/>
    </xf>
    <xf numFmtId="0" fontId="0" fillId="0" borderId="27" xfId="0" applyBorder="1" applyAlignment="1">
      <alignment horizontal="right"/>
    </xf>
    <xf numFmtId="0" fontId="10" fillId="4" borderId="30" xfId="0" applyFont="1" applyFill="1" applyBorder="1" applyAlignment="1">
      <alignment horizontal="center"/>
    </xf>
    <xf numFmtId="0" fontId="10" fillId="4" borderId="31" xfId="0" applyFont="1" applyFill="1" applyBorder="1" applyAlignment="1">
      <alignment horizontal="center"/>
    </xf>
    <xf numFmtId="0" fontId="10" fillId="55" borderId="35" xfId="0" applyFont="1" applyFill="1" applyBorder="1" applyAlignment="1">
      <alignment horizontal="center"/>
    </xf>
    <xf numFmtId="0" fontId="10" fillId="55" borderId="31" xfId="0" applyFont="1" applyFill="1" applyBorder="1" applyAlignment="1">
      <alignment horizontal="center"/>
    </xf>
    <xf numFmtId="175" fontId="83" fillId="57" borderId="28" xfId="0" applyNumberFormat="1" applyFont="1" applyFill="1" applyBorder="1" applyAlignment="1">
      <alignment horizontal="center"/>
    </xf>
    <xf numFmtId="14" fontId="52" fillId="14" borderId="0" xfId="0" applyNumberFormat="1" applyFont="1" applyFill="1" applyAlignment="1">
      <alignment horizontal="center"/>
    </xf>
    <xf numFmtId="0" fontId="52" fillId="14" borderId="0" xfId="0" applyFont="1" applyFill="1" applyAlignment="1">
      <alignment horizontal="center"/>
    </xf>
    <xf numFmtId="0" fontId="10" fillId="14" borderId="0" xfId="0" applyFont="1" applyFill="1" applyAlignment="1">
      <alignment horizontal="center"/>
    </xf>
    <xf numFmtId="0" fontId="27" fillId="27" borderId="1" xfId="0" applyFont="1" applyFill="1" applyBorder="1" applyAlignment="1">
      <alignment horizontal="center" vertical="top" wrapText="1"/>
    </xf>
    <xf numFmtId="0" fontId="28" fillId="28" borderId="1" xfId="0" applyFont="1" applyFill="1" applyBorder="1" applyAlignment="1">
      <alignment horizontal="center" vertical="top" wrapText="1"/>
    </xf>
    <xf numFmtId="0" fontId="29" fillId="28" borderId="1" xfId="0" applyFont="1" applyFill="1" applyBorder="1" applyAlignment="1">
      <alignment horizontal="center" vertical="top" wrapText="1"/>
    </xf>
    <xf numFmtId="0" fontId="0" fillId="0" borderId="0" xfId="0" applyAlignment="1">
      <alignment horizontal="center"/>
    </xf>
    <xf numFmtId="0" fontId="7" fillId="11" borderId="3" xfId="0" applyFont="1" applyFill="1" applyBorder="1" applyAlignment="1">
      <alignment horizontal="center"/>
    </xf>
    <xf numFmtId="0" fontId="7" fillId="11" borderId="5" xfId="0" applyFont="1" applyFill="1" applyBorder="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0" fillId="4"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168" fontId="97" fillId="24" borderId="1" xfId="3" applyNumberFormat="1" applyFont="1" applyFill="1" applyBorder="1" applyAlignment="1">
      <alignment horizontal="right" vertical="center"/>
    </xf>
  </cellXfs>
  <cellStyles count="7">
    <cellStyle name="Excel Built-in Normal" xfId="4" xr:uid="{00000000-0005-0000-0000-000001000000}"/>
    <cellStyle name="Millares" xfId="3" builtinId="3"/>
    <cellStyle name="Moneda" xfId="1" builtinId="4"/>
    <cellStyle name="Normal" xfId="0" builtinId="0"/>
    <cellStyle name="Normal 2" xfId="5" xr:uid="{00000000-0005-0000-0000-000031000000}"/>
    <cellStyle name="Porcentaje" xfId="2" builtinId="5"/>
    <cellStyle name="Porcentaje 2" xfId="6" xr:uid="{00000000-0005-0000-0000-000032000000}"/>
  </cellStyles>
  <dxfs count="53">
    <dxf>
      <font>
        <condense val="0"/>
        <extend val="0"/>
        <color rgb="FF006100"/>
      </font>
      <fill>
        <patternFill>
          <bgColor rgb="FFC6EFCE"/>
        </patternFill>
      </fill>
    </dxf>
    <dxf>
      <font>
        <condense val="0"/>
        <extend val="0"/>
        <color rgb="FF9C0006"/>
      </font>
      <fill>
        <patternFill>
          <bgColor rgb="FFFFC7CE"/>
        </patternFill>
      </fill>
    </dxf>
    <dxf>
      <font>
        <color rgb="FF006100"/>
      </font>
      <fill>
        <patternFill>
          <bgColor rgb="FFC6EFCE"/>
        </patternFill>
      </fill>
    </dxf>
    <dxf>
      <font>
        <b/>
        <i val="0"/>
      </font>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i val="0"/>
        <color auto="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6" Type="http://schemas.openxmlformats.org/officeDocument/2006/relationships/hyperlink" Target="http://www83.hattrick.org/World/Leagues/League.aspx?LeagueID=24" TargetMode="External"/><Relationship Id="rId21" Type="http://schemas.openxmlformats.org/officeDocument/2006/relationships/hyperlink" Target="http://www83.hattrick.org/World/Leagues/League.aspx?LeagueID=19" TargetMode="External"/><Relationship Id="rId42" Type="http://schemas.openxmlformats.org/officeDocument/2006/relationships/hyperlink" Target="http://www93.hattrick.org/World/Leagues/League.aspx?LeagueID=70" TargetMode="External"/><Relationship Id="rId47" Type="http://schemas.openxmlformats.org/officeDocument/2006/relationships/hyperlink" Target="http://www94.hattrick.org/World/Leagues/League.aspx?LeagueID=12" TargetMode="External"/><Relationship Id="rId63" Type="http://schemas.openxmlformats.org/officeDocument/2006/relationships/hyperlink" Target="http://www78.hattrick.org/World/Leagues/League.aspx?LeagueID=36" TargetMode="External"/><Relationship Id="rId68" Type="http://schemas.openxmlformats.org/officeDocument/2006/relationships/hyperlink" Target="http://www78.hattrick.org/World/Leagues/League.aspx?LeagueID=25" TargetMode="External"/><Relationship Id="rId84" Type="http://schemas.openxmlformats.org/officeDocument/2006/relationships/hyperlink" Target="http://www92.hattrick.org/World/Leagues/League.aspx?LeagueID=34" TargetMode="External"/><Relationship Id="rId89" Type="http://schemas.openxmlformats.org/officeDocument/2006/relationships/hyperlink" Target="http://www92.hattrick.org/World/Leagues/League.aspx?LeagueID=37" TargetMode="External"/><Relationship Id="rId16" Type="http://schemas.openxmlformats.org/officeDocument/2006/relationships/hyperlink" Target="http://www88.hattrick.org/World/Leagues/League.aspx?LeagueID=25" TargetMode="External"/><Relationship Id="rId11" Type="http://schemas.openxmlformats.org/officeDocument/2006/relationships/hyperlink" Target="http://www88.hattrick.org/World/Leagues/League.aspx?LeagueID=11" TargetMode="External"/><Relationship Id="rId32" Type="http://schemas.openxmlformats.org/officeDocument/2006/relationships/hyperlink" Target="http://www93.hattrick.org/World/Leagues/League.aspx?LeagueID=7" TargetMode="External"/><Relationship Id="rId37" Type="http://schemas.openxmlformats.org/officeDocument/2006/relationships/hyperlink" Target="http://www93.hattrick.org/World/Leagues/League.aspx?LeagueID=14" TargetMode="External"/><Relationship Id="rId53" Type="http://schemas.openxmlformats.org/officeDocument/2006/relationships/hyperlink" Target="http://www94.hattrick.org/World/Leagues/League.aspx?LeagueID=34" TargetMode="External"/><Relationship Id="rId58" Type="http://schemas.openxmlformats.org/officeDocument/2006/relationships/hyperlink" Target="http://www94.hattrick.org/World/Leagues/League.aspx?LeagueID=37" TargetMode="External"/><Relationship Id="rId74" Type="http://schemas.openxmlformats.org/officeDocument/2006/relationships/hyperlink" Target="http://www78.hattrick.org/World/Leagues/League.aspx?LeagueID=5" TargetMode="External"/><Relationship Id="rId79" Type="http://schemas.openxmlformats.org/officeDocument/2006/relationships/hyperlink" Target="http://www92.hattrick.org/World/Leagues/League.aspx?LeagueID=3" TargetMode="External"/><Relationship Id="rId102" Type="http://schemas.openxmlformats.org/officeDocument/2006/relationships/hyperlink" Target="http://www76.hattrick.org/World/Leagues/League.aspx?LeagueID=3" TargetMode="External"/><Relationship Id="rId5" Type="http://schemas.openxmlformats.org/officeDocument/2006/relationships/hyperlink" Target="http://www88.hattrick.org/World/Leagues/League.aspx?LeagueID=24" TargetMode="External"/><Relationship Id="rId90" Type="http://schemas.openxmlformats.org/officeDocument/2006/relationships/hyperlink" Target="http://www76.hattrick.org/World/Leagues/League.aspx?LeagueID=36" TargetMode="External"/><Relationship Id="rId95" Type="http://schemas.openxmlformats.org/officeDocument/2006/relationships/hyperlink" Target="http://www76.hattrick.org/World/Leagues/League.aspx?LeagueID=14" TargetMode="External"/><Relationship Id="rId22" Type="http://schemas.openxmlformats.org/officeDocument/2006/relationships/hyperlink" Target="http://www83.hattrick.org/World/Leagues/League.aspx?LeagueID=25" TargetMode="External"/><Relationship Id="rId27" Type="http://schemas.openxmlformats.org/officeDocument/2006/relationships/hyperlink" Target="http://www83.hattrick.org/World/Leagues/League.aspx?LeagueID=11" TargetMode="External"/><Relationship Id="rId43" Type="http://schemas.openxmlformats.org/officeDocument/2006/relationships/hyperlink" Target="http://www93.hattrick.org/World/Leagues/League.aspx?LeagueID=4" TargetMode="External"/><Relationship Id="rId48" Type="http://schemas.openxmlformats.org/officeDocument/2006/relationships/hyperlink" Target="http://www94.hattrick.org/World/Leagues/League.aspx?LeagueID=3" TargetMode="External"/><Relationship Id="rId64" Type="http://schemas.openxmlformats.org/officeDocument/2006/relationships/hyperlink" Target="http://www78.hattrick.org/World/Leagues/League.aspx?LeagueID=7" TargetMode="External"/><Relationship Id="rId69" Type="http://schemas.openxmlformats.org/officeDocument/2006/relationships/hyperlink" Target="http://www78.hattrick.org/World/Leagues/League.aspx?LeagueID=14" TargetMode="External"/><Relationship Id="rId80" Type="http://schemas.openxmlformats.org/officeDocument/2006/relationships/hyperlink" Target="http://www92.hattrick.org/World/Leagues/League.aspx?LeagueID=19" TargetMode="External"/><Relationship Id="rId85" Type="http://schemas.openxmlformats.org/officeDocument/2006/relationships/hyperlink" Target="http://www92.hattrick.org/World/Leagues/League.aspx?LeagueID=24" TargetMode="External"/><Relationship Id="rId12" Type="http://schemas.openxmlformats.org/officeDocument/2006/relationships/hyperlink" Target="http://www88.hattrick.org/World/Leagues/League.aspx?LeagueID=3" TargetMode="External"/><Relationship Id="rId17" Type="http://schemas.openxmlformats.org/officeDocument/2006/relationships/hyperlink" Target="http://www83.hattrick.org/World/Leagues/League.aspx?LeagueID=36" TargetMode="External"/><Relationship Id="rId33" Type="http://schemas.openxmlformats.org/officeDocument/2006/relationships/hyperlink" Target="http://www93.hattrick.org/World/Leagues/League.aspx?LeagueID=12" TargetMode="External"/><Relationship Id="rId38" Type="http://schemas.openxmlformats.org/officeDocument/2006/relationships/hyperlink" Target="http://www93.hattrick.org/World/Leagues/League.aspx?LeagueID=93" TargetMode="External"/><Relationship Id="rId59" Type="http://schemas.openxmlformats.org/officeDocument/2006/relationships/hyperlink" Target="http://www88.hattrick.org/World/Leagues/League.aspx?LeagueID=12" TargetMode="External"/><Relationship Id="rId103" Type="http://schemas.openxmlformats.org/officeDocument/2006/relationships/hyperlink" Target="http://www76.hattrick.org/World/Leagues/League.aspx?LeagueID=63" TargetMode="External"/><Relationship Id="rId20" Type="http://schemas.openxmlformats.org/officeDocument/2006/relationships/hyperlink" Target="http://www83.hattrick.org/World/Leagues/League.aspx?LeagueID=3" TargetMode="External"/><Relationship Id="rId41" Type="http://schemas.openxmlformats.org/officeDocument/2006/relationships/hyperlink" Target="http://www93.hattrick.org/World/Leagues/League.aspx?LeagueID=11" TargetMode="External"/><Relationship Id="rId54" Type="http://schemas.openxmlformats.org/officeDocument/2006/relationships/hyperlink" Target="http://www94.hattrick.org/World/Leagues/League.aspx?LeagueID=24" TargetMode="External"/><Relationship Id="rId62" Type="http://schemas.openxmlformats.org/officeDocument/2006/relationships/hyperlink" Target="http://www88.hattrick.org/World/Leagues/League.aspx?LeagueID=37" TargetMode="External"/><Relationship Id="rId70" Type="http://schemas.openxmlformats.org/officeDocument/2006/relationships/hyperlink" Target="http://www78.hattrick.org/World/Leagues/League.aspx?LeagueID=93" TargetMode="External"/><Relationship Id="rId75" Type="http://schemas.openxmlformats.org/officeDocument/2006/relationships/hyperlink" Target="http://www78.hattrick.org/World/Leagues/League.aspx?LeagueID=4" TargetMode="External"/><Relationship Id="rId83" Type="http://schemas.openxmlformats.org/officeDocument/2006/relationships/hyperlink" Target="http://www92.hattrick.org/World/Leagues/League.aspx?LeagueID=93" TargetMode="External"/><Relationship Id="rId88" Type="http://schemas.openxmlformats.org/officeDocument/2006/relationships/hyperlink" Target="http://www92.hattrick.org/World/Leagues/League.aspx?LeagueID=5" TargetMode="External"/><Relationship Id="rId91" Type="http://schemas.openxmlformats.org/officeDocument/2006/relationships/hyperlink" Target="http://www76.hattrick.org/World/Leagues/League.aspx?LeagueID=8" TargetMode="External"/><Relationship Id="rId96" Type="http://schemas.openxmlformats.org/officeDocument/2006/relationships/hyperlink" Target="http://www76.hattrick.org/World/Leagues/League.aspx?LeagueID=4" TargetMode="External"/><Relationship Id="rId1" Type="http://schemas.openxmlformats.org/officeDocument/2006/relationships/hyperlink" Target="http://www88.hattrick.org/World/Leagues/League.aspx?LeagueID=36" TargetMode="External"/><Relationship Id="rId6" Type="http://schemas.openxmlformats.org/officeDocument/2006/relationships/hyperlink" Target="http://www88.hattrick.org/World/Leagues/League.aspx?LeagueID=50" TargetMode="External"/><Relationship Id="rId15" Type="http://schemas.openxmlformats.org/officeDocument/2006/relationships/hyperlink" Target="http://www88.hattrick.org/World/Leagues/League.aspx?LeagueID=44" TargetMode="External"/><Relationship Id="rId23" Type="http://schemas.openxmlformats.org/officeDocument/2006/relationships/hyperlink" Target="http://www83.hattrick.org/World/Leagues/League.aspx?LeagueID=14" TargetMode="External"/><Relationship Id="rId28" Type="http://schemas.openxmlformats.org/officeDocument/2006/relationships/hyperlink" Target="http://www83.hattrick.org/World/Leagues/League.aspx?LeagueID=70" TargetMode="External"/><Relationship Id="rId36" Type="http://schemas.openxmlformats.org/officeDocument/2006/relationships/hyperlink" Target="http://www93.hattrick.org/World/Leagues/League.aspx?LeagueID=25" TargetMode="External"/><Relationship Id="rId49" Type="http://schemas.openxmlformats.org/officeDocument/2006/relationships/hyperlink" Target="http://www94.hattrick.org/World/Leagues/League.aspx?LeagueID=19" TargetMode="External"/><Relationship Id="rId57" Type="http://schemas.openxmlformats.org/officeDocument/2006/relationships/hyperlink" Target="http://www94.hattrick.org/World/Leagues/League.aspx?LeagueID=4" TargetMode="External"/><Relationship Id="rId10" Type="http://schemas.openxmlformats.org/officeDocument/2006/relationships/hyperlink" Target="http://www88.hattrick.org/World/Leagues/League.aspx?LeagueID=14" TargetMode="External"/><Relationship Id="rId31" Type="http://schemas.openxmlformats.org/officeDocument/2006/relationships/hyperlink" Target="http://www93.hattrick.org/World/Leagues/League.aspx?LeagueID=36" TargetMode="External"/><Relationship Id="rId44" Type="http://schemas.openxmlformats.org/officeDocument/2006/relationships/hyperlink" Target="http://www93.hattrick.org/World/Leagues/League.aspx?LeagueID=37" TargetMode="External"/><Relationship Id="rId52" Type="http://schemas.openxmlformats.org/officeDocument/2006/relationships/hyperlink" Target="http://www94.hattrick.org/World/Leagues/League.aspx?LeagueID=93" TargetMode="External"/><Relationship Id="rId60" Type="http://schemas.openxmlformats.org/officeDocument/2006/relationships/hyperlink" Target="http://www88.hattrick.org/World/Leagues/League.aspx?LeagueID=93" TargetMode="External"/><Relationship Id="rId65" Type="http://schemas.openxmlformats.org/officeDocument/2006/relationships/hyperlink" Target="http://www78.hattrick.org/World/Leagues/League.aspx?LeagueID=12" TargetMode="External"/><Relationship Id="rId73" Type="http://schemas.openxmlformats.org/officeDocument/2006/relationships/hyperlink" Target="http://www78.hattrick.org/World/Leagues/League.aspx?LeagueID=11" TargetMode="External"/><Relationship Id="rId78" Type="http://schemas.openxmlformats.org/officeDocument/2006/relationships/hyperlink" Target="http://www92.hattrick.org/World/Leagues/League.aspx?LeagueID=12" TargetMode="External"/><Relationship Id="rId81" Type="http://schemas.openxmlformats.org/officeDocument/2006/relationships/hyperlink" Target="http://www92.hattrick.org/World/Leagues/League.aspx?LeagueID=25" TargetMode="External"/><Relationship Id="rId86" Type="http://schemas.openxmlformats.org/officeDocument/2006/relationships/hyperlink" Target="http://www92.hattrick.org/World/Leagues/League.aspx?LeagueID=11" TargetMode="External"/><Relationship Id="rId94" Type="http://schemas.openxmlformats.org/officeDocument/2006/relationships/hyperlink" Target="http://www76.hattrick.org/World/Leagues/League.aspx?LeagueID=12" TargetMode="External"/><Relationship Id="rId99" Type="http://schemas.openxmlformats.org/officeDocument/2006/relationships/hyperlink" Target="http://www76.hattrick.org/World/Leagues/League.aspx?LeagueID=120" TargetMode="External"/><Relationship Id="rId101" Type="http://schemas.openxmlformats.org/officeDocument/2006/relationships/hyperlink" Target="http://www76.hattrick.org/World/Leagues/League.aspx?LeagueID=28" TargetMode="External"/><Relationship Id="rId4" Type="http://schemas.openxmlformats.org/officeDocument/2006/relationships/hyperlink" Target="http://www88.hattrick.org/World/Leagues/League.aspx?LeagueID=4" TargetMode="External"/><Relationship Id="rId9" Type="http://schemas.openxmlformats.org/officeDocument/2006/relationships/hyperlink" Target="http://www88.hattrick.org/World/Leagues/League.aspx?LeagueID=62" TargetMode="External"/><Relationship Id="rId13" Type="http://schemas.openxmlformats.org/officeDocument/2006/relationships/hyperlink" Target="http://www88.hattrick.org/World/Leagues/League.aspx?LeagueID=63" TargetMode="External"/><Relationship Id="rId18" Type="http://schemas.openxmlformats.org/officeDocument/2006/relationships/hyperlink" Target="http://www83.hattrick.org/World/Leagues/League.aspx?LeagueID=7" TargetMode="External"/><Relationship Id="rId39" Type="http://schemas.openxmlformats.org/officeDocument/2006/relationships/hyperlink" Target="http://www93.hattrick.org/World/Leagues/League.aspx?LeagueID=34" TargetMode="External"/><Relationship Id="rId34" Type="http://schemas.openxmlformats.org/officeDocument/2006/relationships/hyperlink" Target="http://www93.hattrick.org/World/Leagues/League.aspx?LeagueID=3" TargetMode="External"/><Relationship Id="rId50" Type="http://schemas.openxmlformats.org/officeDocument/2006/relationships/hyperlink" Target="http://www94.hattrick.org/World/Leagues/League.aspx?LeagueID=25" TargetMode="External"/><Relationship Id="rId55" Type="http://schemas.openxmlformats.org/officeDocument/2006/relationships/hyperlink" Target="http://www94.hattrick.org/World/Leagues/League.aspx?LeagueID=11" TargetMode="External"/><Relationship Id="rId76" Type="http://schemas.openxmlformats.org/officeDocument/2006/relationships/hyperlink" Target="http://www78.hattrick.org/World/Leagues/League.aspx?LeagueID=37" TargetMode="External"/><Relationship Id="rId97" Type="http://schemas.openxmlformats.org/officeDocument/2006/relationships/hyperlink" Target="http://www76.hattrick.org/World/Leagues/League.aspx?LeagueID=5" TargetMode="External"/><Relationship Id="rId104" Type="http://schemas.openxmlformats.org/officeDocument/2006/relationships/hyperlink" Target="http://www76.hattrick.org/World/Leagues/League.aspx?LeagueID=67" TargetMode="External"/><Relationship Id="rId7" Type="http://schemas.openxmlformats.org/officeDocument/2006/relationships/hyperlink" Target="http://www88.hattrick.org/World/Leagues/League.aspx?LeagueID=26" TargetMode="External"/><Relationship Id="rId71" Type="http://schemas.openxmlformats.org/officeDocument/2006/relationships/hyperlink" Target="http://www78.hattrick.org/World/Leagues/League.aspx?LeagueID=34" TargetMode="External"/><Relationship Id="rId92" Type="http://schemas.openxmlformats.org/officeDocument/2006/relationships/hyperlink" Target="http://www76.hattrick.org/World/Leagues/League.aspx?LeagueID=52" TargetMode="External"/><Relationship Id="rId2" Type="http://schemas.openxmlformats.org/officeDocument/2006/relationships/image" Target="../media/image1.gif"/><Relationship Id="rId29" Type="http://schemas.openxmlformats.org/officeDocument/2006/relationships/hyperlink" Target="http://www83.hattrick.org/World/Leagues/League.aspx?LeagueID=4" TargetMode="External"/><Relationship Id="rId24" Type="http://schemas.openxmlformats.org/officeDocument/2006/relationships/hyperlink" Target="http://www83.hattrick.org/World/Leagues/League.aspx?LeagueID=93" TargetMode="External"/><Relationship Id="rId40" Type="http://schemas.openxmlformats.org/officeDocument/2006/relationships/hyperlink" Target="http://www93.hattrick.org/World/Leagues/League.aspx?LeagueID=24" TargetMode="External"/><Relationship Id="rId45" Type="http://schemas.openxmlformats.org/officeDocument/2006/relationships/hyperlink" Target="http://www94.hattrick.org/World/Leagues/League.aspx?LeagueID=36" TargetMode="External"/><Relationship Id="rId66" Type="http://schemas.openxmlformats.org/officeDocument/2006/relationships/hyperlink" Target="http://www78.hattrick.org/World/Leagues/League.aspx?LeagueID=3" TargetMode="External"/><Relationship Id="rId87" Type="http://schemas.openxmlformats.org/officeDocument/2006/relationships/hyperlink" Target="http://www92.hattrick.org/World/Leagues/League.aspx?LeagueID=64" TargetMode="External"/><Relationship Id="rId61" Type="http://schemas.openxmlformats.org/officeDocument/2006/relationships/hyperlink" Target="http://www88.hattrick.org/World/Leagues/League.aspx?LeagueID=34" TargetMode="External"/><Relationship Id="rId82" Type="http://schemas.openxmlformats.org/officeDocument/2006/relationships/hyperlink" Target="http://www92.hattrick.org/World/Leagues/League.aspx?LeagueID=14" TargetMode="External"/><Relationship Id="rId19" Type="http://schemas.openxmlformats.org/officeDocument/2006/relationships/hyperlink" Target="http://www83.hattrick.org/World/Leagues/League.aspx?LeagueID=12" TargetMode="External"/><Relationship Id="rId14" Type="http://schemas.openxmlformats.org/officeDocument/2006/relationships/hyperlink" Target="http://www88.hattrick.org/World/Leagues/League.aspx?LeagueID=70" TargetMode="External"/><Relationship Id="rId30" Type="http://schemas.openxmlformats.org/officeDocument/2006/relationships/hyperlink" Target="http://www83.hattrick.org/World/Leagues/League.aspx?LeagueID=37" TargetMode="External"/><Relationship Id="rId35" Type="http://schemas.openxmlformats.org/officeDocument/2006/relationships/hyperlink" Target="http://www93.hattrick.org/World/Leagues/League.aspx?LeagueID=19" TargetMode="External"/><Relationship Id="rId56" Type="http://schemas.openxmlformats.org/officeDocument/2006/relationships/hyperlink" Target="http://www94.hattrick.org/World/Leagues/League.aspx?LeagueID=70" TargetMode="External"/><Relationship Id="rId77" Type="http://schemas.openxmlformats.org/officeDocument/2006/relationships/hyperlink" Target="http://www92.hattrick.org/World/Leagues/League.aspx?LeagueID=36" TargetMode="External"/><Relationship Id="rId100" Type="http://schemas.openxmlformats.org/officeDocument/2006/relationships/hyperlink" Target="http://www76.hattrick.org/World/Leagues/League.aspx?LeagueID=51" TargetMode="External"/><Relationship Id="rId105" Type="http://schemas.openxmlformats.org/officeDocument/2006/relationships/hyperlink" Target="http://www75.hattrick.org/World/Leagues/League.aspx?LeagueID=36" TargetMode="External"/><Relationship Id="rId8" Type="http://schemas.openxmlformats.org/officeDocument/2006/relationships/hyperlink" Target="http://www88.hattrick.org/World/Leagues/League.aspx?LeagueID=19" TargetMode="External"/><Relationship Id="rId51" Type="http://schemas.openxmlformats.org/officeDocument/2006/relationships/hyperlink" Target="http://www94.hattrick.org/World/Leagues/League.aspx?LeagueID=14" TargetMode="External"/><Relationship Id="rId72" Type="http://schemas.openxmlformats.org/officeDocument/2006/relationships/hyperlink" Target="http://www78.hattrick.org/World/Leagues/League.aspx?LeagueID=24" TargetMode="External"/><Relationship Id="rId93" Type="http://schemas.openxmlformats.org/officeDocument/2006/relationships/hyperlink" Target="http://www76.hattrick.org/World/Leagues/League.aspx?LeagueID=1" TargetMode="External"/><Relationship Id="rId98" Type="http://schemas.openxmlformats.org/officeDocument/2006/relationships/hyperlink" Target="http://www76.hattrick.org/World/Leagues/League.aspx?LeagueID=7" TargetMode="External"/><Relationship Id="rId3" Type="http://schemas.openxmlformats.org/officeDocument/2006/relationships/hyperlink" Target="http://www88.hattrick.org/World/Leagues/League.aspx?LeagueID=7" TargetMode="External"/><Relationship Id="rId25" Type="http://schemas.openxmlformats.org/officeDocument/2006/relationships/hyperlink" Target="http://www83.hattrick.org/World/Leagues/League.aspx?LeagueID=34" TargetMode="External"/><Relationship Id="rId46" Type="http://schemas.openxmlformats.org/officeDocument/2006/relationships/hyperlink" Target="http://www94.hattrick.org/World/Leagues/League.aspx?LeagueID=7" TargetMode="External"/><Relationship Id="rId67" Type="http://schemas.openxmlformats.org/officeDocument/2006/relationships/hyperlink" Target="http://www78.hattrick.org/World/Leagues/League.aspx?LeagueID=19"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9525</xdr:colOff>
      <xdr:row>1</xdr:row>
      <xdr:rowOff>9525</xdr:rowOff>
    </xdr:to>
    <xdr:pic>
      <xdr:nvPicPr>
        <xdr:cNvPr id="2" name="Picture 7" descr="España">
          <a:hlinkClick xmlns:r="http://schemas.openxmlformats.org/officeDocument/2006/relationships" r:id="rId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 name="Picture 8" descr="Argentina">
          <a:hlinkClick xmlns:r="http://schemas.openxmlformats.org/officeDocument/2006/relationships" r:id="rId3"/>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4" name="Picture 9" descr="Italia">
          <a:hlinkClick xmlns:r="http://schemas.openxmlformats.org/officeDocument/2006/relationships" r:id="rId4"/>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5" name="Picture 10" descr="Polska">
          <a:hlinkClick xmlns:r="http://schemas.openxmlformats.org/officeDocument/2006/relationships" r:id="rId5"/>
          <a:extLst>
            <a:ext uri="{FF2B5EF4-FFF2-40B4-BE49-F238E27FC236}">
              <a16:creationId xmlns:a16="http://schemas.microsoft.com/office/drawing/2014/main" id="{00000000-0008-0000-0400-00000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6" name="Picture 11" descr="Hellas">
          <a:hlinkClick xmlns:r="http://schemas.openxmlformats.org/officeDocument/2006/relationships" r:id="rId6"/>
          <a:extLst>
            <a:ext uri="{FF2B5EF4-FFF2-40B4-BE49-F238E27FC236}">
              <a16:creationId xmlns:a16="http://schemas.microsoft.com/office/drawing/2014/main" id="{00000000-0008-0000-0400-00000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7" name="Picture 12" descr="Scotland">
          <a:hlinkClick xmlns:r="http://schemas.openxmlformats.org/officeDocument/2006/relationships" r:id="rId7"/>
          <a:extLst>
            <a:ext uri="{FF2B5EF4-FFF2-40B4-BE49-F238E27FC236}">
              <a16:creationId xmlns:a16="http://schemas.microsoft.com/office/drawing/2014/main" id="{00000000-0008-0000-0400-00000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8" name="Picture 13" descr="Colombia">
          <a:hlinkClick xmlns:r="http://schemas.openxmlformats.org/officeDocument/2006/relationships" r:id="rId8"/>
          <a:extLst>
            <a:ext uri="{FF2B5EF4-FFF2-40B4-BE49-F238E27FC236}">
              <a16:creationId xmlns:a16="http://schemas.microsoft.com/office/drawing/2014/main" id="{00000000-0008-0000-0400-00000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 name="Picture 14" descr="España">
          <a:hlinkClick xmlns:r="http://schemas.openxmlformats.org/officeDocument/2006/relationships" r:id="rId1"/>
          <a:extLst>
            <a:ext uri="{FF2B5EF4-FFF2-40B4-BE49-F238E27FC236}">
              <a16:creationId xmlns:a16="http://schemas.microsoft.com/office/drawing/2014/main" id="{00000000-0008-0000-0400-00000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0" name="Picture 15" descr="Bulgaria">
          <a:hlinkClick xmlns:r="http://schemas.openxmlformats.org/officeDocument/2006/relationships" r:id="rId9"/>
          <a:extLst>
            <a:ext uri="{FF2B5EF4-FFF2-40B4-BE49-F238E27FC236}">
              <a16:creationId xmlns:a16="http://schemas.microsoft.com/office/drawing/2014/main" id="{00000000-0008-0000-0400-00000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1" name="Picture 16" descr="Nederland">
          <a:hlinkClick xmlns:r="http://schemas.openxmlformats.org/officeDocument/2006/relationships" r:id="rId10"/>
          <a:extLst>
            <a:ext uri="{FF2B5EF4-FFF2-40B4-BE49-F238E27FC236}">
              <a16:creationId xmlns:a16="http://schemas.microsoft.com/office/drawing/2014/main" id="{00000000-0008-0000-0400-00000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 name="Picture 17" descr="Polska">
          <a:hlinkClick xmlns:r="http://schemas.openxmlformats.org/officeDocument/2006/relationships" r:id="rId5"/>
          <a:extLst>
            <a:ext uri="{FF2B5EF4-FFF2-40B4-BE49-F238E27FC236}">
              <a16:creationId xmlns:a16="http://schemas.microsoft.com/office/drawing/2014/main" id="{00000000-0008-0000-0400-00000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3" name="Picture 18" descr="Nederland">
          <a:hlinkClick xmlns:r="http://schemas.openxmlformats.org/officeDocument/2006/relationships" r:id="rId10"/>
          <a:extLst>
            <a:ext uri="{FF2B5EF4-FFF2-40B4-BE49-F238E27FC236}">
              <a16:creationId xmlns:a16="http://schemas.microsoft.com/office/drawing/2014/main" id="{00000000-0008-0000-0400-00000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 name="Picture 19" descr="Danmark">
          <a:hlinkClick xmlns:r="http://schemas.openxmlformats.org/officeDocument/2006/relationships" r:id="rId11"/>
          <a:extLst>
            <a:ext uri="{FF2B5EF4-FFF2-40B4-BE49-F238E27FC236}">
              <a16:creationId xmlns:a16="http://schemas.microsoft.com/office/drawing/2014/main" id="{00000000-0008-0000-0400-00000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 name="Picture 20" descr="España">
          <a:hlinkClick xmlns:r="http://schemas.openxmlformats.org/officeDocument/2006/relationships" r:id="rId1"/>
          <a:extLst>
            <a:ext uri="{FF2B5EF4-FFF2-40B4-BE49-F238E27FC236}">
              <a16:creationId xmlns:a16="http://schemas.microsoft.com/office/drawing/2014/main" id="{00000000-0008-0000-0400-00000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6" name="Picture 21" descr="Deutschland">
          <a:hlinkClick xmlns:r="http://schemas.openxmlformats.org/officeDocument/2006/relationships" r:id="rId12"/>
          <a:extLst>
            <a:ext uri="{FF2B5EF4-FFF2-40B4-BE49-F238E27FC236}">
              <a16:creationId xmlns:a16="http://schemas.microsoft.com/office/drawing/2014/main" id="{00000000-0008-0000-0400-00001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 name="Picture 22" descr="España">
          <a:hlinkClick xmlns:r="http://schemas.openxmlformats.org/officeDocument/2006/relationships" r:id="rId1"/>
          <a:extLst>
            <a:ext uri="{FF2B5EF4-FFF2-40B4-BE49-F238E27FC236}">
              <a16:creationId xmlns:a16="http://schemas.microsoft.com/office/drawing/2014/main" id="{00000000-0008-0000-0400-00001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 name="Picture 23" descr="España">
          <a:hlinkClick xmlns:r="http://schemas.openxmlformats.org/officeDocument/2006/relationships" r:id="rId1"/>
          <a:extLst>
            <a:ext uri="{FF2B5EF4-FFF2-40B4-BE49-F238E27FC236}">
              <a16:creationId xmlns:a16="http://schemas.microsoft.com/office/drawing/2014/main" id="{00000000-0008-0000-0400-00001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9" name="Picture 24" descr="España">
          <a:hlinkClick xmlns:r="http://schemas.openxmlformats.org/officeDocument/2006/relationships" r:id="rId1"/>
          <a:extLst>
            <a:ext uri="{FF2B5EF4-FFF2-40B4-BE49-F238E27FC236}">
              <a16:creationId xmlns:a16="http://schemas.microsoft.com/office/drawing/2014/main" id="{00000000-0008-0000-0400-00001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0" name="Picture 25" descr="Israel">
          <a:hlinkClick xmlns:r="http://schemas.openxmlformats.org/officeDocument/2006/relationships" r:id="rId13"/>
          <a:extLst>
            <a:ext uri="{FF2B5EF4-FFF2-40B4-BE49-F238E27FC236}">
              <a16:creationId xmlns:a16="http://schemas.microsoft.com/office/drawing/2014/main" id="{00000000-0008-0000-0400-00001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1" name="Picture 26" descr="España">
          <a:hlinkClick xmlns:r="http://schemas.openxmlformats.org/officeDocument/2006/relationships" r:id="rId1"/>
          <a:extLst>
            <a:ext uri="{FF2B5EF4-FFF2-40B4-BE49-F238E27FC236}">
              <a16:creationId xmlns:a16="http://schemas.microsoft.com/office/drawing/2014/main" id="{00000000-0008-0000-0400-00001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 name="Picture 27" descr="Việt Nam">
          <a:hlinkClick xmlns:r="http://schemas.openxmlformats.org/officeDocument/2006/relationships" r:id="rId14"/>
          <a:extLst>
            <a:ext uri="{FF2B5EF4-FFF2-40B4-BE49-F238E27FC236}">
              <a16:creationId xmlns:a16="http://schemas.microsoft.com/office/drawing/2014/main" id="{00000000-0008-0000-0400-00001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 name="Picture 28" descr="Italia">
          <a:hlinkClick xmlns:r="http://schemas.openxmlformats.org/officeDocument/2006/relationships" r:id="rId4"/>
          <a:extLst>
            <a:ext uri="{FF2B5EF4-FFF2-40B4-BE49-F238E27FC236}">
              <a16:creationId xmlns:a16="http://schemas.microsoft.com/office/drawing/2014/main" id="{00000000-0008-0000-0400-00001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24" name="Picture 29" descr="Belgium">
          <a:hlinkClick xmlns:r="http://schemas.openxmlformats.org/officeDocument/2006/relationships" r:id="rId15"/>
          <a:extLst>
            <a:ext uri="{FF2B5EF4-FFF2-40B4-BE49-F238E27FC236}">
              <a16:creationId xmlns:a16="http://schemas.microsoft.com/office/drawing/2014/main" id="{00000000-0008-0000-0400-00001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 name="Picture 30" descr="España">
          <a:hlinkClick xmlns:r="http://schemas.openxmlformats.org/officeDocument/2006/relationships" r:id="rId1"/>
          <a:extLst>
            <a:ext uri="{FF2B5EF4-FFF2-40B4-BE49-F238E27FC236}">
              <a16:creationId xmlns:a16="http://schemas.microsoft.com/office/drawing/2014/main" id="{00000000-0008-0000-0400-00001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6" name="Picture 31" descr="Italia">
          <a:hlinkClick xmlns:r="http://schemas.openxmlformats.org/officeDocument/2006/relationships" r:id="rId4"/>
          <a:extLst>
            <a:ext uri="{FF2B5EF4-FFF2-40B4-BE49-F238E27FC236}">
              <a16:creationId xmlns:a16="http://schemas.microsoft.com/office/drawing/2014/main" id="{00000000-0008-0000-0400-00001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 name="Picture 32" descr="Portugal">
          <a:hlinkClick xmlns:r="http://schemas.openxmlformats.org/officeDocument/2006/relationships" r:id="rId16"/>
          <a:extLst>
            <a:ext uri="{FF2B5EF4-FFF2-40B4-BE49-F238E27FC236}">
              <a16:creationId xmlns:a16="http://schemas.microsoft.com/office/drawing/2014/main" id="{00000000-0008-0000-0400-00001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8" name="Picture 7" descr="España">
          <a:hlinkClick xmlns:r="http://schemas.openxmlformats.org/officeDocument/2006/relationships" r:id="rId17"/>
          <a:extLst>
            <a:ext uri="{FF2B5EF4-FFF2-40B4-BE49-F238E27FC236}">
              <a16:creationId xmlns:a16="http://schemas.microsoft.com/office/drawing/2014/main" id="{00000000-0008-0000-0400-00001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9" name="Picture 9" descr="Argentina">
          <a:hlinkClick xmlns:r="http://schemas.openxmlformats.org/officeDocument/2006/relationships" r:id="rId18"/>
          <a:extLst>
            <a:ext uri="{FF2B5EF4-FFF2-40B4-BE49-F238E27FC236}">
              <a16:creationId xmlns:a16="http://schemas.microsoft.com/office/drawing/2014/main" id="{00000000-0008-0000-0400-00001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0" name="Picture 11" descr="España">
          <a:hlinkClick xmlns:r="http://schemas.openxmlformats.org/officeDocument/2006/relationships" r:id="rId17"/>
          <a:extLst>
            <a:ext uri="{FF2B5EF4-FFF2-40B4-BE49-F238E27FC236}">
              <a16:creationId xmlns:a16="http://schemas.microsoft.com/office/drawing/2014/main" id="{00000000-0008-0000-0400-00001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 name="Picture 12" descr="Suomi">
          <a:hlinkClick xmlns:r="http://schemas.openxmlformats.org/officeDocument/2006/relationships" r:id="rId19"/>
          <a:extLst>
            <a:ext uri="{FF2B5EF4-FFF2-40B4-BE49-F238E27FC236}">
              <a16:creationId xmlns:a16="http://schemas.microsoft.com/office/drawing/2014/main" id="{00000000-0008-0000-0400-00001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32" name="Picture 13" descr="Deutschland">
          <a:hlinkClick xmlns:r="http://schemas.openxmlformats.org/officeDocument/2006/relationships" r:id="rId20"/>
          <a:extLst>
            <a:ext uri="{FF2B5EF4-FFF2-40B4-BE49-F238E27FC236}">
              <a16:creationId xmlns:a16="http://schemas.microsoft.com/office/drawing/2014/main" id="{00000000-0008-0000-0400-00002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 name="Picture 14" descr="Deutschland">
          <a:hlinkClick xmlns:r="http://schemas.openxmlformats.org/officeDocument/2006/relationships" r:id="rId20"/>
          <a:extLst>
            <a:ext uri="{FF2B5EF4-FFF2-40B4-BE49-F238E27FC236}">
              <a16:creationId xmlns:a16="http://schemas.microsoft.com/office/drawing/2014/main" id="{00000000-0008-0000-0400-00002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 name="Picture 15" descr="España">
          <a:hlinkClick xmlns:r="http://schemas.openxmlformats.org/officeDocument/2006/relationships" r:id="rId17"/>
          <a:extLst>
            <a:ext uri="{FF2B5EF4-FFF2-40B4-BE49-F238E27FC236}">
              <a16:creationId xmlns:a16="http://schemas.microsoft.com/office/drawing/2014/main" id="{00000000-0008-0000-0400-00002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35" name="Picture 16" descr="Colombia">
          <a:hlinkClick xmlns:r="http://schemas.openxmlformats.org/officeDocument/2006/relationships" r:id="rId21"/>
          <a:extLst>
            <a:ext uri="{FF2B5EF4-FFF2-40B4-BE49-F238E27FC236}">
              <a16:creationId xmlns:a16="http://schemas.microsoft.com/office/drawing/2014/main" id="{00000000-0008-0000-0400-00002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 name="Picture 17" descr="Portugal">
          <a:hlinkClick xmlns:r="http://schemas.openxmlformats.org/officeDocument/2006/relationships" r:id="rId22"/>
          <a:extLst>
            <a:ext uri="{FF2B5EF4-FFF2-40B4-BE49-F238E27FC236}">
              <a16:creationId xmlns:a16="http://schemas.microsoft.com/office/drawing/2014/main" id="{00000000-0008-0000-0400-00002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7" name="Picture 18" descr="Nederland">
          <a:hlinkClick xmlns:r="http://schemas.openxmlformats.org/officeDocument/2006/relationships" r:id="rId23"/>
          <a:extLst>
            <a:ext uri="{FF2B5EF4-FFF2-40B4-BE49-F238E27FC236}">
              <a16:creationId xmlns:a16="http://schemas.microsoft.com/office/drawing/2014/main" id="{00000000-0008-0000-0400-00002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8" name="Picture 19" descr="Northern Ireland">
          <a:hlinkClick xmlns:r="http://schemas.openxmlformats.org/officeDocument/2006/relationships" r:id="rId24"/>
          <a:extLst>
            <a:ext uri="{FF2B5EF4-FFF2-40B4-BE49-F238E27FC236}">
              <a16:creationId xmlns:a16="http://schemas.microsoft.com/office/drawing/2014/main" id="{00000000-0008-0000-0400-00002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 name="Picture 20" descr="China">
          <a:hlinkClick xmlns:r="http://schemas.openxmlformats.org/officeDocument/2006/relationships" r:id="rId25"/>
          <a:extLst>
            <a:ext uri="{FF2B5EF4-FFF2-40B4-BE49-F238E27FC236}">
              <a16:creationId xmlns:a16="http://schemas.microsoft.com/office/drawing/2014/main" id="{00000000-0008-0000-0400-00002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 name="Picture 21" descr="Polska">
          <a:hlinkClick xmlns:r="http://schemas.openxmlformats.org/officeDocument/2006/relationships" r:id="rId26"/>
          <a:extLst>
            <a:ext uri="{FF2B5EF4-FFF2-40B4-BE49-F238E27FC236}">
              <a16:creationId xmlns:a16="http://schemas.microsoft.com/office/drawing/2014/main" id="{00000000-0008-0000-0400-00002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 name="Picture 23" descr="Nederland">
          <a:hlinkClick xmlns:r="http://schemas.openxmlformats.org/officeDocument/2006/relationships" r:id="rId23"/>
          <a:extLst>
            <a:ext uri="{FF2B5EF4-FFF2-40B4-BE49-F238E27FC236}">
              <a16:creationId xmlns:a16="http://schemas.microsoft.com/office/drawing/2014/main" id="{00000000-0008-0000-0400-00002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 name="Picture 25" descr="Danmark">
          <a:hlinkClick xmlns:r="http://schemas.openxmlformats.org/officeDocument/2006/relationships" r:id="rId27"/>
          <a:extLst>
            <a:ext uri="{FF2B5EF4-FFF2-40B4-BE49-F238E27FC236}">
              <a16:creationId xmlns:a16="http://schemas.microsoft.com/office/drawing/2014/main" id="{00000000-0008-0000-0400-00002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 name="Picture 26" descr="España">
          <a:hlinkClick xmlns:r="http://schemas.openxmlformats.org/officeDocument/2006/relationships" r:id="rId17"/>
          <a:extLst>
            <a:ext uri="{FF2B5EF4-FFF2-40B4-BE49-F238E27FC236}">
              <a16:creationId xmlns:a16="http://schemas.microsoft.com/office/drawing/2014/main" id="{00000000-0008-0000-0400-00002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 name="Picture 27" descr="Deutschland">
          <a:hlinkClick xmlns:r="http://schemas.openxmlformats.org/officeDocument/2006/relationships" r:id="rId20"/>
          <a:extLst>
            <a:ext uri="{FF2B5EF4-FFF2-40B4-BE49-F238E27FC236}">
              <a16:creationId xmlns:a16="http://schemas.microsoft.com/office/drawing/2014/main" id="{00000000-0008-0000-0400-00002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 name="Picture 28" descr="Polska">
          <a:hlinkClick xmlns:r="http://schemas.openxmlformats.org/officeDocument/2006/relationships" r:id="rId26"/>
          <a:extLst>
            <a:ext uri="{FF2B5EF4-FFF2-40B4-BE49-F238E27FC236}">
              <a16:creationId xmlns:a16="http://schemas.microsoft.com/office/drawing/2014/main" id="{00000000-0008-0000-0400-00002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46" name="Picture 30" descr="España">
          <a:hlinkClick xmlns:r="http://schemas.openxmlformats.org/officeDocument/2006/relationships" r:id="rId17"/>
          <a:extLst>
            <a:ext uri="{FF2B5EF4-FFF2-40B4-BE49-F238E27FC236}">
              <a16:creationId xmlns:a16="http://schemas.microsoft.com/office/drawing/2014/main" id="{00000000-0008-0000-0400-00002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 name="Picture 31" descr="España">
          <a:hlinkClick xmlns:r="http://schemas.openxmlformats.org/officeDocument/2006/relationships" r:id="rId17"/>
          <a:extLst>
            <a:ext uri="{FF2B5EF4-FFF2-40B4-BE49-F238E27FC236}">
              <a16:creationId xmlns:a16="http://schemas.microsoft.com/office/drawing/2014/main" id="{00000000-0008-0000-0400-00002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48" name="Picture 32" descr="España">
          <a:hlinkClick xmlns:r="http://schemas.openxmlformats.org/officeDocument/2006/relationships" r:id="rId17"/>
          <a:extLst>
            <a:ext uri="{FF2B5EF4-FFF2-40B4-BE49-F238E27FC236}">
              <a16:creationId xmlns:a16="http://schemas.microsoft.com/office/drawing/2014/main" id="{00000000-0008-0000-0400-00003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 name="Picture 33" descr="España">
          <a:hlinkClick xmlns:r="http://schemas.openxmlformats.org/officeDocument/2006/relationships" r:id="rId17"/>
          <a:extLst>
            <a:ext uri="{FF2B5EF4-FFF2-40B4-BE49-F238E27FC236}">
              <a16:creationId xmlns:a16="http://schemas.microsoft.com/office/drawing/2014/main" id="{00000000-0008-0000-0400-00003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50" name="Picture 36" descr="España">
          <a:hlinkClick xmlns:r="http://schemas.openxmlformats.org/officeDocument/2006/relationships" r:id="rId17"/>
          <a:extLst>
            <a:ext uri="{FF2B5EF4-FFF2-40B4-BE49-F238E27FC236}">
              <a16:creationId xmlns:a16="http://schemas.microsoft.com/office/drawing/2014/main" id="{00000000-0008-0000-0400-00003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 name="Picture 37" descr="Việt Nam">
          <a:hlinkClick xmlns:r="http://schemas.openxmlformats.org/officeDocument/2006/relationships" r:id="rId28"/>
          <a:extLst>
            <a:ext uri="{FF2B5EF4-FFF2-40B4-BE49-F238E27FC236}">
              <a16:creationId xmlns:a16="http://schemas.microsoft.com/office/drawing/2014/main" id="{00000000-0008-0000-0400-00003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 name="Picture 38" descr="Italia">
          <a:hlinkClick xmlns:r="http://schemas.openxmlformats.org/officeDocument/2006/relationships" r:id="rId29"/>
          <a:extLst>
            <a:ext uri="{FF2B5EF4-FFF2-40B4-BE49-F238E27FC236}">
              <a16:creationId xmlns:a16="http://schemas.microsoft.com/office/drawing/2014/main" id="{00000000-0008-0000-0400-00003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 name="Picture 39" descr="España">
          <a:hlinkClick xmlns:r="http://schemas.openxmlformats.org/officeDocument/2006/relationships" r:id="rId17"/>
          <a:extLst>
            <a:ext uri="{FF2B5EF4-FFF2-40B4-BE49-F238E27FC236}">
              <a16:creationId xmlns:a16="http://schemas.microsoft.com/office/drawing/2014/main" id="{00000000-0008-0000-0400-00003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54" name="Picture 40" descr="España">
          <a:hlinkClick xmlns:r="http://schemas.openxmlformats.org/officeDocument/2006/relationships" r:id="rId17"/>
          <a:extLst>
            <a:ext uri="{FF2B5EF4-FFF2-40B4-BE49-F238E27FC236}">
              <a16:creationId xmlns:a16="http://schemas.microsoft.com/office/drawing/2014/main" id="{00000000-0008-0000-0400-00003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55" name="Picture 41" descr="România">
          <a:hlinkClick xmlns:r="http://schemas.openxmlformats.org/officeDocument/2006/relationships" r:id="rId30"/>
          <a:extLst>
            <a:ext uri="{FF2B5EF4-FFF2-40B4-BE49-F238E27FC236}">
              <a16:creationId xmlns:a16="http://schemas.microsoft.com/office/drawing/2014/main" id="{00000000-0008-0000-0400-00003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56" name="Picture 42" descr="Portugal">
          <a:hlinkClick xmlns:r="http://schemas.openxmlformats.org/officeDocument/2006/relationships" r:id="rId22"/>
          <a:extLst>
            <a:ext uri="{FF2B5EF4-FFF2-40B4-BE49-F238E27FC236}">
              <a16:creationId xmlns:a16="http://schemas.microsoft.com/office/drawing/2014/main" id="{00000000-0008-0000-0400-00003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7" name="Picture 7" descr="España">
          <a:hlinkClick xmlns:r="http://schemas.openxmlformats.org/officeDocument/2006/relationships" r:id="rId31"/>
          <a:extLst>
            <a:ext uri="{FF2B5EF4-FFF2-40B4-BE49-F238E27FC236}">
              <a16:creationId xmlns:a16="http://schemas.microsoft.com/office/drawing/2014/main" id="{00000000-0008-0000-0400-00003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58" name="Picture 8" descr="Argentina">
          <a:hlinkClick xmlns:r="http://schemas.openxmlformats.org/officeDocument/2006/relationships" r:id="rId32"/>
          <a:extLst>
            <a:ext uri="{FF2B5EF4-FFF2-40B4-BE49-F238E27FC236}">
              <a16:creationId xmlns:a16="http://schemas.microsoft.com/office/drawing/2014/main" id="{00000000-0008-0000-0400-00003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9" name="Picture 9" descr="España">
          <a:hlinkClick xmlns:r="http://schemas.openxmlformats.org/officeDocument/2006/relationships" r:id="rId31"/>
          <a:extLst>
            <a:ext uri="{FF2B5EF4-FFF2-40B4-BE49-F238E27FC236}">
              <a16:creationId xmlns:a16="http://schemas.microsoft.com/office/drawing/2014/main" id="{00000000-0008-0000-0400-00003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0" name="Picture 10" descr="Suomi">
          <a:hlinkClick xmlns:r="http://schemas.openxmlformats.org/officeDocument/2006/relationships" r:id="rId33"/>
          <a:extLst>
            <a:ext uri="{FF2B5EF4-FFF2-40B4-BE49-F238E27FC236}">
              <a16:creationId xmlns:a16="http://schemas.microsoft.com/office/drawing/2014/main" id="{00000000-0008-0000-0400-00003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61" name="Picture 11" descr="Deutschland">
          <a:hlinkClick xmlns:r="http://schemas.openxmlformats.org/officeDocument/2006/relationships" r:id="rId34"/>
          <a:extLst>
            <a:ext uri="{FF2B5EF4-FFF2-40B4-BE49-F238E27FC236}">
              <a16:creationId xmlns:a16="http://schemas.microsoft.com/office/drawing/2014/main" id="{00000000-0008-0000-0400-00003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2" name="Picture 12" descr="Deutschland">
          <a:hlinkClick xmlns:r="http://schemas.openxmlformats.org/officeDocument/2006/relationships" r:id="rId34"/>
          <a:extLst>
            <a:ext uri="{FF2B5EF4-FFF2-40B4-BE49-F238E27FC236}">
              <a16:creationId xmlns:a16="http://schemas.microsoft.com/office/drawing/2014/main" id="{00000000-0008-0000-0400-00003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3" name="Picture 13" descr="España">
          <a:hlinkClick xmlns:r="http://schemas.openxmlformats.org/officeDocument/2006/relationships" r:id="rId31"/>
          <a:extLst>
            <a:ext uri="{FF2B5EF4-FFF2-40B4-BE49-F238E27FC236}">
              <a16:creationId xmlns:a16="http://schemas.microsoft.com/office/drawing/2014/main" id="{00000000-0008-0000-0400-00003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4" name="Picture 14" descr="Colombia">
          <a:hlinkClick xmlns:r="http://schemas.openxmlformats.org/officeDocument/2006/relationships" r:id="rId35"/>
          <a:extLst>
            <a:ext uri="{FF2B5EF4-FFF2-40B4-BE49-F238E27FC236}">
              <a16:creationId xmlns:a16="http://schemas.microsoft.com/office/drawing/2014/main" id="{00000000-0008-0000-0400-00004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5" name="Picture 15" descr="Portugal">
          <a:hlinkClick xmlns:r="http://schemas.openxmlformats.org/officeDocument/2006/relationships" r:id="rId36"/>
          <a:extLst>
            <a:ext uri="{FF2B5EF4-FFF2-40B4-BE49-F238E27FC236}">
              <a16:creationId xmlns:a16="http://schemas.microsoft.com/office/drawing/2014/main" id="{00000000-0008-0000-0400-00004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6" name="Picture 16" descr="Nederland">
          <a:hlinkClick xmlns:r="http://schemas.openxmlformats.org/officeDocument/2006/relationships" r:id="rId37"/>
          <a:extLst>
            <a:ext uri="{FF2B5EF4-FFF2-40B4-BE49-F238E27FC236}">
              <a16:creationId xmlns:a16="http://schemas.microsoft.com/office/drawing/2014/main" id="{00000000-0008-0000-0400-00004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7" name="Picture 17" descr="Northern Ireland">
          <a:hlinkClick xmlns:r="http://schemas.openxmlformats.org/officeDocument/2006/relationships" r:id="rId38"/>
          <a:extLst>
            <a:ext uri="{FF2B5EF4-FFF2-40B4-BE49-F238E27FC236}">
              <a16:creationId xmlns:a16="http://schemas.microsoft.com/office/drawing/2014/main" id="{00000000-0008-0000-0400-00004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8" name="Picture 18" descr="China">
          <a:hlinkClick xmlns:r="http://schemas.openxmlformats.org/officeDocument/2006/relationships" r:id="rId39"/>
          <a:extLst>
            <a:ext uri="{FF2B5EF4-FFF2-40B4-BE49-F238E27FC236}">
              <a16:creationId xmlns:a16="http://schemas.microsoft.com/office/drawing/2014/main" id="{00000000-0008-0000-0400-00004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9" name="Picture 19" descr="Polska">
          <a:hlinkClick xmlns:r="http://schemas.openxmlformats.org/officeDocument/2006/relationships" r:id="rId40"/>
          <a:extLst>
            <a:ext uri="{FF2B5EF4-FFF2-40B4-BE49-F238E27FC236}">
              <a16:creationId xmlns:a16="http://schemas.microsoft.com/office/drawing/2014/main" id="{00000000-0008-0000-0400-00004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0" name="Picture 20" descr="Danmark">
          <a:hlinkClick xmlns:r="http://schemas.openxmlformats.org/officeDocument/2006/relationships" r:id="rId41"/>
          <a:extLst>
            <a:ext uri="{FF2B5EF4-FFF2-40B4-BE49-F238E27FC236}">
              <a16:creationId xmlns:a16="http://schemas.microsoft.com/office/drawing/2014/main" id="{00000000-0008-0000-0400-00004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1" name="Picture 21" descr="España">
          <a:hlinkClick xmlns:r="http://schemas.openxmlformats.org/officeDocument/2006/relationships" r:id="rId31"/>
          <a:extLst>
            <a:ext uri="{FF2B5EF4-FFF2-40B4-BE49-F238E27FC236}">
              <a16:creationId xmlns:a16="http://schemas.microsoft.com/office/drawing/2014/main" id="{00000000-0008-0000-0400-00004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72" name="Picture 22" descr="Deutschland">
          <a:hlinkClick xmlns:r="http://schemas.openxmlformats.org/officeDocument/2006/relationships" r:id="rId34"/>
          <a:extLst>
            <a:ext uri="{FF2B5EF4-FFF2-40B4-BE49-F238E27FC236}">
              <a16:creationId xmlns:a16="http://schemas.microsoft.com/office/drawing/2014/main" id="{00000000-0008-0000-0400-00004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3" name="Picture 24" descr="Polska">
          <a:hlinkClick xmlns:r="http://schemas.openxmlformats.org/officeDocument/2006/relationships" r:id="rId40"/>
          <a:extLst>
            <a:ext uri="{FF2B5EF4-FFF2-40B4-BE49-F238E27FC236}">
              <a16:creationId xmlns:a16="http://schemas.microsoft.com/office/drawing/2014/main" id="{00000000-0008-0000-0400-00004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74" name="Picture 26" descr="España">
          <a:hlinkClick xmlns:r="http://schemas.openxmlformats.org/officeDocument/2006/relationships" r:id="rId31"/>
          <a:extLst>
            <a:ext uri="{FF2B5EF4-FFF2-40B4-BE49-F238E27FC236}">
              <a16:creationId xmlns:a16="http://schemas.microsoft.com/office/drawing/2014/main" id="{00000000-0008-0000-0400-00004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5" name="Picture 27" descr="España">
          <a:hlinkClick xmlns:r="http://schemas.openxmlformats.org/officeDocument/2006/relationships" r:id="rId31"/>
          <a:extLst>
            <a:ext uri="{FF2B5EF4-FFF2-40B4-BE49-F238E27FC236}">
              <a16:creationId xmlns:a16="http://schemas.microsoft.com/office/drawing/2014/main" id="{00000000-0008-0000-0400-00004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76" name="Picture 28" descr="España">
          <a:hlinkClick xmlns:r="http://schemas.openxmlformats.org/officeDocument/2006/relationships" r:id="rId31"/>
          <a:extLst>
            <a:ext uri="{FF2B5EF4-FFF2-40B4-BE49-F238E27FC236}">
              <a16:creationId xmlns:a16="http://schemas.microsoft.com/office/drawing/2014/main" id="{00000000-0008-0000-0400-00004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7" name="Picture 29" descr="España">
          <a:hlinkClick xmlns:r="http://schemas.openxmlformats.org/officeDocument/2006/relationships" r:id="rId31"/>
          <a:extLst>
            <a:ext uri="{FF2B5EF4-FFF2-40B4-BE49-F238E27FC236}">
              <a16:creationId xmlns:a16="http://schemas.microsoft.com/office/drawing/2014/main" id="{00000000-0008-0000-0400-00004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8" name="Picture 30" descr="Việt Nam">
          <a:hlinkClick xmlns:r="http://schemas.openxmlformats.org/officeDocument/2006/relationships" r:id="rId42"/>
          <a:extLst>
            <a:ext uri="{FF2B5EF4-FFF2-40B4-BE49-F238E27FC236}">
              <a16:creationId xmlns:a16="http://schemas.microsoft.com/office/drawing/2014/main" id="{00000000-0008-0000-0400-00004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9" name="Picture 31" descr="Italia">
          <a:hlinkClick xmlns:r="http://schemas.openxmlformats.org/officeDocument/2006/relationships" r:id="rId43"/>
          <a:extLst>
            <a:ext uri="{FF2B5EF4-FFF2-40B4-BE49-F238E27FC236}">
              <a16:creationId xmlns:a16="http://schemas.microsoft.com/office/drawing/2014/main" id="{00000000-0008-0000-0400-00004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80" name="Picture 32" descr="España">
          <a:hlinkClick xmlns:r="http://schemas.openxmlformats.org/officeDocument/2006/relationships" r:id="rId31"/>
          <a:extLst>
            <a:ext uri="{FF2B5EF4-FFF2-40B4-BE49-F238E27FC236}">
              <a16:creationId xmlns:a16="http://schemas.microsoft.com/office/drawing/2014/main" id="{00000000-0008-0000-0400-00005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81" name="Picture 33" descr="España">
          <a:hlinkClick xmlns:r="http://schemas.openxmlformats.org/officeDocument/2006/relationships" r:id="rId31"/>
          <a:extLst>
            <a:ext uri="{FF2B5EF4-FFF2-40B4-BE49-F238E27FC236}">
              <a16:creationId xmlns:a16="http://schemas.microsoft.com/office/drawing/2014/main" id="{00000000-0008-0000-0400-00005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82" name="Picture 34" descr="România">
          <a:hlinkClick xmlns:r="http://schemas.openxmlformats.org/officeDocument/2006/relationships" r:id="rId44"/>
          <a:extLst>
            <a:ext uri="{FF2B5EF4-FFF2-40B4-BE49-F238E27FC236}">
              <a16:creationId xmlns:a16="http://schemas.microsoft.com/office/drawing/2014/main" id="{00000000-0008-0000-0400-00005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83" name="Picture 35" descr="España">
          <a:hlinkClick xmlns:r="http://schemas.openxmlformats.org/officeDocument/2006/relationships" r:id="rId31"/>
          <a:extLst>
            <a:ext uri="{FF2B5EF4-FFF2-40B4-BE49-F238E27FC236}">
              <a16:creationId xmlns:a16="http://schemas.microsoft.com/office/drawing/2014/main" id="{00000000-0008-0000-0400-00005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84" name="Picture 36" descr="Portugal">
          <a:hlinkClick xmlns:r="http://schemas.openxmlformats.org/officeDocument/2006/relationships" r:id="rId36"/>
          <a:extLst>
            <a:ext uri="{FF2B5EF4-FFF2-40B4-BE49-F238E27FC236}">
              <a16:creationId xmlns:a16="http://schemas.microsoft.com/office/drawing/2014/main" id="{00000000-0008-0000-0400-00005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85" name="Picture 7" descr="España">
          <a:hlinkClick xmlns:r="http://schemas.openxmlformats.org/officeDocument/2006/relationships" r:id="rId45"/>
          <a:extLst>
            <a:ext uri="{FF2B5EF4-FFF2-40B4-BE49-F238E27FC236}">
              <a16:creationId xmlns:a16="http://schemas.microsoft.com/office/drawing/2014/main" id="{00000000-0008-0000-0400-00005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86" name="Picture 8" descr="Argentina">
          <a:hlinkClick xmlns:r="http://schemas.openxmlformats.org/officeDocument/2006/relationships" r:id="rId46"/>
          <a:extLst>
            <a:ext uri="{FF2B5EF4-FFF2-40B4-BE49-F238E27FC236}">
              <a16:creationId xmlns:a16="http://schemas.microsoft.com/office/drawing/2014/main" id="{00000000-0008-0000-0400-00005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87" name="Picture 9" descr="España">
          <a:hlinkClick xmlns:r="http://schemas.openxmlformats.org/officeDocument/2006/relationships" r:id="rId45"/>
          <a:extLst>
            <a:ext uri="{FF2B5EF4-FFF2-40B4-BE49-F238E27FC236}">
              <a16:creationId xmlns:a16="http://schemas.microsoft.com/office/drawing/2014/main" id="{00000000-0008-0000-0400-00005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88" name="Picture 10" descr="Suomi">
          <a:hlinkClick xmlns:r="http://schemas.openxmlformats.org/officeDocument/2006/relationships" r:id="rId47"/>
          <a:extLst>
            <a:ext uri="{FF2B5EF4-FFF2-40B4-BE49-F238E27FC236}">
              <a16:creationId xmlns:a16="http://schemas.microsoft.com/office/drawing/2014/main" id="{00000000-0008-0000-0400-00005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89" name="Picture 11" descr="Deutschland">
          <a:hlinkClick xmlns:r="http://schemas.openxmlformats.org/officeDocument/2006/relationships" r:id="rId48"/>
          <a:extLst>
            <a:ext uri="{FF2B5EF4-FFF2-40B4-BE49-F238E27FC236}">
              <a16:creationId xmlns:a16="http://schemas.microsoft.com/office/drawing/2014/main" id="{00000000-0008-0000-0400-00005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0" name="Picture 12" descr="Deutschland">
          <a:hlinkClick xmlns:r="http://schemas.openxmlformats.org/officeDocument/2006/relationships" r:id="rId48"/>
          <a:extLst>
            <a:ext uri="{FF2B5EF4-FFF2-40B4-BE49-F238E27FC236}">
              <a16:creationId xmlns:a16="http://schemas.microsoft.com/office/drawing/2014/main" id="{00000000-0008-0000-0400-00005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1" name="Picture 13" descr="España">
          <a:hlinkClick xmlns:r="http://schemas.openxmlformats.org/officeDocument/2006/relationships" r:id="rId45"/>
          <a:extLst>
            <a:ext uri="{FF2B5EF4-FFF2-40B4-BE49-F238E27FC236}">
              <a16:creationId xmlns:a16="http://schemas.microsoft.com/office/drawing/2014/main" id="{00000000-0008-0000-0400-00005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2" name="Picture 14" descr="Colombia">
          <a:hlinkClick xmlns:r="http://schemas.openxmlformats.org/officeDocument/2006/relationships" r:id="rId49"/>
          <a:extLst>
            <a:ext uri="{FF2B5EF4-FFF2-40B4-BE49-F238E27FC236}">
              <a16:creationId xmlns:a16="http://schemas.microsoft.com/office/drawing/2014/main" id="{00000000-0008-0000-0400-00005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3" name="Picture 15" descr="Portugal">
          <a:hlinkClick xmlns:r="http://schemas.openxmlformats.org/officeDocument/2006/relationships" r:id="rId50"/>
          <a:extLst>
            <a:ext uri="{FF2B5EF4-FFF2-40B4-BE49-F238E27FC236}">
              <a16:creationId xmlns:a16="http://schemas.microsoft.com/office/drawing/2014/main" id="{00000000-0008-0000-0400-00005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4" name="Picture 16" descr="Nederland">
          <a:hlinkClick xmlns:r="http://schemas.openxmlformats.org/officeDocument/2006/relationships" r:id="rId51"/>
          <a:extLst>
            <a:ext uri="{FF2B5EF4-FFF2-40B4-BE49-F238E27FC236}">
              <a16:creationId xmlns:a16="http://schemas.microsoft.com/office/drawing/2014/main" id="{00000000-0008-0000-0400-00005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5" name="Picture 17" descr="Northern Ireland">
          <a:hlinkClick xmlns:r="http://schemas.openxmlformats.org/officeDocument/2006/relationships" r:id="rId52"/>
          <a:extLst>
            <a:ext uri="{FF2B5EF4-FFF2-40B4-BE49-F238E27FC236}">
              <a16:creationId xmlns:a16="http://schemas.microsoft.com/office/drawing/2014/main" id="{00000000-0008-0000-0400-00005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6" name="Picture 18" descr="China">
          <a:hlinkClick xmlns:r="http://schemas.openxmlformats.org/officeDocument/2006/relationships" r:id="rId53"/>
          <a:extLst>
            <a:ext uri="{FF2B5EF4-FFF2-40B4-BE49-F238E27FC236}">
              <a16:creationId xmlns:a16="http://schemas.microsoft.com/office/drawing/2014/main" id="{00000000-0008-0000-0400-00006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7" name="Picture 19" descr="Polska">
          <a:hlinkClick xmlns:r="http://schemas.openxmlformats.org/officeDocument/2006/relationships" r:id="rId54"/>
          <a:extLst>
            <a:ext uri="{FF2B5EF4-FFF2-40B4-BE49-F238E27FC236}">
              <a16:creationId xmlns:a16="http://schemas.microsoft.com/office/drawing/2014/main" id="{00000000-0008-0000-0400-00006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8" name="Picture 20" descr="Deutschland">
          <a:hlinkClick xmlns:r="http://schemas.openxmlformats.org/officeDocument/2006/relationships" r:id="rId48"/>
          <a:extLst>
            <a:ext uri="{FF2B5EF4-FFF2-40B4-BE49-F238E27FC236}">
              <a16:creationId xmlns:a16="http://schemas.microsoft.com/office/drawing/2014/main" id="{00000000-0008-0000-0400-00006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9" name="Picture 22" descr="Danmark">
          <a:hlinkClick xmlns:r="http://schemas.openxmlformats.org/officeDocument/2006/relationships" r:id="rId55"/>
          <a:extLst>
            <a:ext uri="{FF2B5EF4-FFF2-40B4-BE49-F238E27FC236}">
              <a16:creationId xmlns:a16="http://schemas.microsoft.com/office/drawing/2014/main" id="{00000000-0008-0000-0400-00006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00" name="Picture 23" descr="España">
          <a:hlinkClick xmlns:r="http://schemas.openxmlformats.org/officeDocument/2006/relationships" r:id="rId45"/>
          <a:extLst>
            <a:ext uri="{FF2B5EF4-FFF2-40B4-BE49-F238E27FC236}">
              <a16:creationId xmlns:a16="http://schemas.microsoft.com/office/drawing/2014/main" id="{00000000-0008-0000-0400-00006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01" name="Picture 24" descr="Deutschland">
          <a:hlinkClick xmlns:r="http://schemas.openxmlformats.org/officeDocument/2006/relationships" r:id="rId48"/>
          <a:extLst>
            <a:ext uri="{FF2B5EF4-FFF2-40B4-BE49-F238E27FC236}">
              <a16:creationId xmlns:a16="http://schemas.microsoft.com/office/drawing/2014/main" id="{00000000-0008-0000-0400-00006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02" name="Picture 26" descr="Polska">
          <a:hlinkClick xmlns:r="http://schemas.openxmlformats.org/officeDocument/2006/relationships" r:id="rId54"/>
          <a:extLst>
            <a:ext uri="{FF2B5EF4-FFF2-40B4-BE49-F238E27FC236}">
              <a16:creationId xmlns:a16="http://schemas.microsoft.com/office/drawing/2014/main" id="{00000000-0008-0000-0400-00006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03" name="Picture 28" descr="España">
          <a:hlinkClick xmlns:r="http://schemas.openxmlformats.org/officeDocument/2006/relationships" r:id="rId45"/>
          <a:extLst>
            <a:ext uri="{FF2B5EF4-FFF2-40B4-BE49-F238E27FC236}">
              <a16:creationId xmlns:a16="http://schemas.microsoft.com/office/drawing/2014/main" id="{00000000-0008-0000-0400-00006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04" name="Picture 29" descr="España">
          <a:hlinkClick xmlns:r="http://schemas.openxmlformats.org/officeDocument/2006/relationships" r:id="rId45"/>
          <a:extLst>
            <a:ext uri="{FF2B5EF4-FFF2-40B4-BE49-F238E27FC236}">
              <a16:creationId xmlns:a16="http://schemas.microsoft.com/office/drawing/2014/main" id="{00000000-0008-0000-0400-00006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05" name="Picture 30" descr="España">
          <a:hlinkClick xmlns:r="http://schemas.openxmlformats.org/officeDocument/2006/relationships" r:id="rId45"/>
          <a:extLst>
            <a:ext uri="{FF2B5EF4-FFF2-40B4-BE49-F238E27FC236}">
              <a16:creationId xmlns:a16="http://schemas.microsoft.com/office/drawing/2014/main" id="{00000000-0008-0000-0400-00006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06" name="Picture 31" descr="España">
          <a:hlinkClick xmlns:r="http://schemas.openxmlformats.org/officeDocument/2006/relationships" r:id="rId45"/>
          <a:extLst>
            <a:ext uri="{FF2B5EF4-FFF2-40B4-BE49-F238E27FC236}">
              <a16:creationId xmlns:a16="http://schemas.microsoft.com/office/drawing/2014/main" id="{00000000-0008-0000-0400-00006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07" name="Picture 32" descr="Việt Nam">
          <a:hlinkClick xmlns:r="http://schemas.openxmlformats.org/officeDocument/2006/relationships" r:id="rId56"/>
          <a:extLst>
            <a:ext uri="{FF2B5EF4-FFF2-40B4-BE49-F238E27FC236}">
              <a16:creationId xmlns:a16="http://schemas.microsoft.com/office/drawing/2014/main" id="{00000000-0008-0000-0400-00006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08" name="Picture 33" descr="España">
          <a:hlinkClick xmlns:r="http://schemas.openxmlformats.org/officeDocument/2006/relationships" r:id="rId45"/>
          <a:extLst>
            <a:ext uri="{FF2B5EF4-FFF2-40B4-BE49-F238E27FC236}">
              <a16:creationId xmlns:a16="http://schemas.microsoft.com/office/drawing/2014/main" id="{00000000-0008-0000-0400-00006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09" name="Picture 34" descr="Italia">
          <a:hlinkClick xmlns:r="http://schemas.openxmlformats.org/officeDocument/2006/relationships" r:id="rId57"/>
          <a:extLst>
            <a:ext uri="{FF2B5EF4-FFF2-40B4-BE49-F238E27FC236}">
              <a16:creationId xmlns:a16="http://schemas.microsoft.com/office/drawing/2014/main" id="{00000000-0008-0000-0400-00006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10" name="Picture 35" descr="España">
          <a:hlinkClick xmlns:r="http://schemas.openxmlformats.org/officeDocument/2006/relationships" r:id="rId45"/>
          <a:extLst>
            <a:ext uri="{FF2B5EF4-FFF2-40B4-BE49-F238E27FC236}">
              <a16:creationId xmlns:a16="http://schemas.microsoft.com/office/drawing/2014/main" id="{00000000-0008-0000-0400-00006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11" name="Picture 36" descr="España">
          <a:hlinkClick xmlns:r="http://schemas.openxmlformats.org/officeDocument/2006/relationships" r:id="rId45"/>
          <a:extLst>
            <a:ext uri="{FF2B5EF4-FFF2-40B4-BE49-F238E27FC236}">
              <a16:creationId xmlns:a16="http://schemas.microsoft.com/office/drawing/2014/main" id="{00000000-0008-0000-0400-00006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12" name="Picture 37" descr="România">
          <a:hlinkClick xmlns:r="http://schemas.openxmlformats.org/officeDocument/2006/relationships" r:id="rId58"/>
          <a:extLst>
            <a:ext uri="{FF2B5EF4-FFF2-40B4-BE49-F238E27FC236}">
              <a16:creationId xmlns:a16="http://schemas.microsoft.com/office/drawing/2014/main" id="{00000000-0008-0000-0400-00007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13" name="Picture 38" descr="Portugal">
          <a:hlinkClick xmlns:r="http://schemas.openxmlformats.org/officeDocument/2006/relationships" r:id="rId50"/>
          <a:extLst>
            <a:ext uri="{FF2B5EF4-FFF2-40B4-BE49-F238E27FC236}">
              <a16:creationId xmlns:a16="http://schemas.microsoft.com/office/drawing/2014/main" id="{00000000-0008-0000-0400-00007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14" name="Picture 7" descr="España">
          <a:hlinkClick xmlns:r="http://schemas.openxmlformats.org/officeDocument/2006/relationships" r:id="rId1"/>
          <a:extLst>
            <a:ext uri="{FF2B5EF4-FFF2-40B4-BE49-F238E27FC236}">
              <a16:creationId xmlns:a16="http://schemas.microsoft.com/office/drawing/2014/main" id="{00000000-0008-0000-0400-00007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15" name="Picture 8" descr="Argentina">
          <a:hlinkClick xmlns:r="http://schemas.openxmlformats.org/officeDocument/2006/relationships" r:id="rId3"/>
          <a:extLst>
            <a:ext uri="{FF2B5EF4-FFF2-40B4-BE49-F238E27FC236}">
              <a16:creationId xmlns:a16="http://schemas.microsoft.com/office/drawing/2014/main" id="{00000000-0008-0000-0400-00007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16" name="Picture 9" descr="España">
          <a:hlinkClick xmlns:r="http://schemas.openxmlformats.org/officeDocument/2006/relationships" r:id="rId1"/>
          <a:extLst>
            <a:ext uri="{FF2B5EF4-FFF2-40B4-BE49-F238E27FC236}">
              <a16:creationId xmlns:a16="http://schemas.microsoft.com/office/drawing/2014/main" id="{00000000-0008-0000-0400-00007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17" name="Picture 10" descr="Suomi">
          <a:hlinkClick xmlns:r="http://schemas.openxmlformats.org/officeDocument/2006/relationships" r:id="rId59"/>
          <a:extLst>
            <a:ext uri="{FF2B5EF4-FFF2-40B4-BE49-F238E27FC236}">
              <a16:creationId xmlns:a16="http://schemas.microsoft.com/office/drawing/2014/main" id="{00000000-0008-0000-0400-00007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18" name="Picture 11" descr="Deutschland">
          <a:hlinkClick xmlns:r="http://schemas.openxmlformats.org/officeDocument/2006/relationships" r:id="rId12"/>
          <a:extLst>
            <a:ext uri="{FF2B5EF4-FFF2-40B4-BE49-F238E27FC236}">
              <a16:creationId xmlns:a16="http://schemas.microsoft.com/office/drawing/2014/main" id="{00000000-0008-0000-0400-00007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19" name="Picture 12" descr="Deutschland">
          <a:hlinkClick xmlns:r="http://schemas.openxmlformats.org/officeDocument/2006/relationships" r:id="rId12"/>
          <a:extLst>
            <a:ext uri="{FF2B5EF4-FFF2-40B4-BE49-F238E27FC236}">
              <a16:creationId xmlns:a16="http://schemas.microsoft.com/office/drawing/2014/main" id="{00000000-0008-0000-0400-00007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0" name="Picture 13" descr="España">
          <a:hlinkClick xmlns:r="http://schemas.openxmlformats.org/officeDocument/2006/relationships" r:id="rId1"/>
          <a:extLst>
            <a:ext uri="{FF2B5EF4-FFF2-40B4-BE49-F238E27FC236}">
              <a16:creationId xmlns:a16="http://schemas.microsoft.com/office/drawing/2014/main" id="{00000000-0008-0000-0400-00007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1" name="Picture 14" descr="Colombia">
          <a:hlinkClick xmlns:r="http://schemas.openxmlformats.org/officeDocument/2006/relationships" r:id="rId8"/>
          <a:extLst>
            <a:ext uri="{FF2B5EF4-FFF2-40B4-BE49-F238E27FC236}">
              <a16:creationId xmlns:a16="http://schemas.microsoft.com/office/drawing/2014/main" id="{00000000-0008-0000-0400-00007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2" name="Picture 15" descr="Portugal">
          <a:hlinkClick xmlns:r="http://schemas.openxmlformats.org/officeDocument/2006/relationships" r:id="rId16"/>
          <a:extLst>
            <a:ext uri="{FF2B5EF4-FFF2-40B4-BE49-F238E27FC236}">
              <a16:creationId xmlns:a16="http://schemas.microsoft.com/office/drawing/2014/main" id="{00000000-0008-0000-0400-00007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3" name="Picture 16" descr="Nederland">
          <a:hlinkClick xmlns:r="http://schemas.openxmlformats.org/officeDocument/2006/relationships" r:id="rId10"/>
          <a:extLst>
            <a:ext uri="{FF2B5EF4-FFF2-40B4-BE49-F238E27FC236}">
              <a16:creationId xmlns:a16="http://schemas.microsoft.com/office/drawing/2014/main" id="{00000000-0008-0000-0400-00007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4" name="Picture 17" descr="Northern Ireland">
          <a:hlinkClick xmlns:r="http://schemas.openxmlformats.org/officeDocument/2006/relationships" r:id="rId60"/>
          <a:extLst>
            <a:ext uri="{FF2B5EF4-FFF2-40B4-BE49-F238E27FC236}">
              <a16:creationId xmlns:a16="http://schemas.microsoft.com/office/drawing/2014/main" id="{00000000-0008-0000-0400-00007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5" name="Picture 18" descr="China">
          <a:hlinkClick xmlns:r="http://schemas.openxmlformats.org/officeDocument/2006/relationships" r:id="rId61"/>
          <a:extLst>
            <a:ext uri="{FF2B5EF4-FFF2-40B4-BE49-F238E27FC236}">
              <a16:creationId xmlns:a16="http://schemas.microsoft.com/office/drawing/2014/main" id="{00000000-0008-0000-0400-00007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6" name="Picture 19" descr="Polska">
          <a:hlinkClick xmlns:r="http://schemas.openxmlformats.org/officeDocument/2006/relationships" r:id="rId5"/>
          <a:extLst>
            <a:ext uri="{FF2B5EF4-FFF2-40B4-BE49-F238E27FC236}">
              <a16:creationId xmlns:a16="http://schemas.microsoft.com/office/drawing/2014/main" id="{00000000-0008-0000-0400-00007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7" name="Picture 20" descr="Deutschland">
          <a:hlinkClick xmlns:r="http://schemas.openxmlformats.org/officeDocument/2006/relationships" r:id="rId12"/>
          <a:extLst>
            <a:ext uri="{FF2B5EF4-FFF2-40B4-BE49-F238E27FC236}">
              <a16:creationId xmlns:a16="http://schemas.microsoft.com/office/drawing/2014/main" id="{00000000-0008-0000-0400-00007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8" name="Picture 22" descr="Danmark">
          <a:hlinkClick xmlns:r="http://schemas.openxmlformats.org/officeDocument/2006/relationships" r:id="rId11"/>
          <a:extLst>
            <a:ext uri="{FF2B5EF4-FFF2-40B4-BE49-F238E27FC236}">
              <a16:creationId xmlns:a16="http://schemas.microsoft.com/office/drawing/2014/main" id="{00000000-0008-0000-0400-00008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29" name="Picture 23" descr="España">
          <a:hlinkClick xmlns:r="http://schemas.openxmlformats.org/officeDocument/2006/relationships" r:id="rId1"/>
          <a:extLst>
            <a:ext uri="{FF2B5EF4-FFF2-40B4-BE49-F238E27FC236}">
              <a16:creationId xmlns:a16="http://schemas.microsoft.com/office/drawing/2014/main" id="{00000000-0008-0000-0400-00008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30" name="Picture 24" descr="Polska">
          <a:hlinkClick xmlns:r="http://schemas.openxmlformats.org/officeDocument/2006/relationships" r:id="rId5"/>
          <a:extLst>
            <a:ext uri="{FF2B5EF4-FFF2-40B4-BE49-F238E27FC236}">
              <a16:creationId xmlns:a16="http://schemas.microsoft.com/office/drawing/2014/main" id="{00000000-0008-0000-0400-00008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31" name="Picture 26" descr="España">
          <a:hlinkClick xmlns:r="http://schemas.openxmlformats.org/officeDocument/2006/relationships" r:id="rId1"/>
          <a:extLst>
            <a:ext uri="{FF2B5EF4-FFF2-40B4-BE49-F238E27FC236}">
              <a16:creationId xmlns:a16="http://schemas.microsoft.com/office/drawing/2014/main" id="{00000000-0008-0000-0400-00008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32" name="Picture 27" descr="España">
          <a:hlinkClick xmlns:r="http://schemas.openxmlformats.org/officeDocument/2006/relationships" r:id="rId1"/>
          <a:extLst>
            <a:ext uri="{FF2B5EF4-FFF2-40B4-BE49-F238E27FC236}">
              <a16:creationId xmlns:a16="http://schemas.microsoft.com/office/drawing/2014/main" id="{00000000-0008-0000-0400-00008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33" name="Picture 28" descr="España">
          <a:hlinkClick xmlns:r="http://schemas.openxmlformats.org/officeDocument/2006/relationships" r:id="rId1"/>
          <a:extLst>
            <a:ext uri="{FF2B5EF4-FFF2-40B4-BE49-F238E27FC236}">
              <a16:creationId xmlns:a16="http://schemas.microsoft.com/office/drawing/2014/main" id="{00000000-0008-0000-0400-00008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34" name="Picture 30" descr="España">
          <a:hlinkClick xmlns:r="http://schemas.openxmlformats.org/officeDocument/2006/relationships" r:id="rId1"/>
          <a:extLst>
            <a:ext uri="{FF2B5EF4-FFF2-40B4-BE49-F238E27FC236}">
              <a16:creationId xmlns:a16="http://schemas.microsoft.com/office/drawing/2014/main" id="{00000000-0008-0000-0400-00008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35" name="Picture 31" descr="Việt Nam">
          <a:hlinkClick xmlns:r="http://schemas.openxmlformats.org/officeDocument/2006/relationships" r:id="rId14"/>
          <a:extLst>
            <a:ext uri="{FF2B5EF4-FFF2-40B4-BE49-F238E27FC236}">
              <a16:creationId xmlns:a16="http://schemas.microsoft.com/office/drawing/2014/main" id="{00000000-0008-0000-0400-00008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36" name="Picture 33" descr="Italia">
          <a:hlinkClick xmlns:r="http://schemas.openxmlformats.org/officeDocument/2006/relationships" r:id="rId4"/>
          <a:extLst>
            <a:ext uri="{FF2B5EF4-FFF2-40B4-BE49-F238E27FC236}">
              <a16:creationId xmlns:a16="http://schemas.microsoft.com/office/drawing/2014/main" id="{00000000-0008-0000-0400-00008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37" name="Picture 34" descr="España">
          <a:hlinkClick xmlns:r="http://schemas.openxmlformats.org/officeDocument/2006/relationships" r:id="rId1"/>
          <a:extLst>
            <a:ext uri="{FF2B5EF4-FFF2-40B4-BE49-F238E27FC236}">
              <a16:creationId xmlns:a16="http://schemas.microsoft.com/office/drawing/2014/main" id="{00000000-0008-0000-0400-00008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38" name="Picture 35" descr="España">
          <a:hlinkClick xmlns:r="http://schemas.openxmlformats.org/officeDocument/2006/relationships" r:id="rId1"/>
          <a:extLst>
            <a:ext uri="{FF2B5EF4-FFF2-40B4-BE49-F238E27FC236}">
              <a16:creationId xmlns:a16="http://schemas.microsoft.com/office/drawing/2014/main" id="{00000000-0008-0000-0400-00008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39" name="Picture 36" descr="România">
          <a:hlinkClick xmlns:r="http://schemas.openxmlformats.org/officeDocument/2006/relationships" r:id="rId62"/>
          <a:extLst>
            <a:ext uri="{FF2B5EF4-FFF2-40B4-BE49-F238E27FC236}">
              <a16:creationId xmlns:a16="http://schemas.microsoft.com/office/drawing/2014/main" id="{00000000-0008-0000-0400-00008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40" name="Picture 37" descr="Portugal">
          <a:hlinkClick xmlns:r="http://schemas.openxmlformats.org/officeDocument/2006/relationships" r:id="rId16"/>
          <a:extLst>
            <a:ext uri="{FF2B5EF4-FFF2-40B4-BE49-F238E27FC236}">
              <a16:creationId xmlns:a16="http://schemas.microsoft.com/office/drawing/2014/main" id="{00000000-0008-0000-0400-00008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1" name="Picture 7" descr="España">
          <a:hlinkClick xmlns:r="http://schemas.openxmlformats.org/officeDocument/2006/relationships" r:id="rId63"/>
          <a:extLst>
            <a:ext uri="{FF2B5EF4-FFF2-40B4-BE49-F238E27FC236}">
              <a16:creationId xmlns:a16="http://schemas.microsoft.com/office/drawing/2014/main" id="{00000000-0008-0000-0400-00008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42" name="Picture 8" descr="Argentina">
          <a:hlinkClick xmlns:r="http://schemas.openxmlformats.org/officeDocument/2006/relationships" r:id="rId64"/>
          <a:extLst>
            <a:ext uri="{FF2B5EF4-FFF2-40B4-BE49-F238E27FC236}">
              <a16:creationId xmlns:a16="http://schemas.microsoft.com/office/drawing/2014/main" id="{00000000-0008-0000-0400-00008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3" name="Picture 9" descr="España">
          <a:hlinkClick xmlns:r="http://schemas.openxmlformats.org/officeDocument/2006/relationships" r:id="rId63"/>
          <a:extLst>
            <a:ext uri="{FF2B5EF4-FFF2-40B4-BE49-F238E27FC236}">
              <a16:creationId xmlns:a16="http://schemas.microsoft.com/office/drawing/2014/main" id="{00000000-0008-0000-0400-00008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4" name="Picture 10" descr="Suomi">
          <a:hlinkClick xmlns:r="http://schemas.openxmlformats.org/officeDocument/2006/relationships" r:id="rId65"/>
          <a:extLst>
            <a:ext uri="{FF2B5EF4-FFF2-40B4-BE49-F238E27FC236}">
              <a16:creationId xmlns:a16="http://schemas.microsoft.com/office/drawing/2014/main" id="{00000000-0008-0000-0400-00009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45" name="Picture 11" descr="Deutschland">
          <a:hlinkClick xmlns:r="http://schemas.openxmlformats.org/officeDocument/2006/relationships" r:id="rId66"/>
          <a:extLst>
            <a:ext uri="{FF2B5EF4-FFF2-40B4-BE49-F238E27FC236}">
              <a16:creationId xmlns:a16="http://schemas.microsoft.com/office/drawing/2014/main" id="{00000000-0008-0000-0400-00009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6" name="Picture 12" descr="Deutschland">
          <a:hlinkClick xmlns:r="http://schemas.openxmlformats.org/officeDocument/2006/relationships" r:id="rId66"/>
          <a:extLst>
            <a:ext uri="{FF2B5EF4-FFF2-40B4-BE49-F238E27FC236}">
              <a16:creationId xmlns:a16="http://schemas.microsoft.com/office/drawing/2014/main" id="{00000000-0008-0000-0400-00009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7" name="Picture 13" descr="España">
          <a:hlinkClick xmlns:r="http://schemas.openxmlformats.org/officeDocument/2006/relationships" r:id="rId63"/>
          <a:extLst>
            <a:ext uri="{FF2B5EF4-FFF2-40B4-BE49-F238E27FC236}">
              <a16:creationId xmlns:a16="http://schemas.microsoft.com/office/drawing/2014/main" id="{00000000-0008-0000-0400-00009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8" name="Picture 14" descr="Colombia">
          <a:hlinkClick xmlns:r="http://schemas.openxmlformats.org/officeDocument/2006/relationships" r:id="rId67"/>
          <a:extLst>
            <a:ext uri="{FF2B5EF4-FFF2-40B4-BE49-F238E27FC236}">
              <a16:creationId xmlns:a16="http://schemas.microsoft.com/office/drawing/2014/main" id="{00000000-0008-0000-0400-00009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9" name="Picture 15" descr="Portugal">
          <a:hlinkClick xmlns:r="http://schemas.openxmlformats.org/officeDocument/2006/relationships" r:id="rId68"/>
          <a:extLst>
            <a:ext uri="{FF2B5EF4-FFF2-40B4-BE49-F238E27FC236}">
              <a16:creationId xmlns:a16="http://schemas.microsoft.com/office/drawing/2014/main" id="{00000000-0008-0000-0400-00009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0" name="Picture 16" descr="Nederland">
          <a:hlinkClick xmlns:r="http://schemas.openxmlformats.org/officeDocument/2006/relationships" r:id="rId69"/>
          <a:extLst>
            <a:ext uri="{FF2B5EF4-FFF2-40B4-BE49-F238E27FC236}">
              <a16:creationId xmlns:a16="http://schemas.microsoft.com/office/drawing/2014/main" id="{00000000-0008-0000-0400-00009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1" name="Picture 17" descr="Northern Ireland">
          <a:hlinkClick xmlns:r="http://schemas.openxmlformats.org/officeDocument/2006/relationships" r:id="rId70"/>
          <a:extLst>
            <a:ext uri="{FF2B5EF4-FFF2-40B4-BE49-F238E27FC236}">
              <a16:creationId xmlns:a16="http://schemas.microsoft.com/office/drawing/2014/main" id="{00000000-0008-0000-0400-00009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2" name="Picture 19" descr="China">
          <a:hlinkClick xmlns:r="http://schemas.openxmlformats.org/officeDocument/2006/relationships" r:id="rId71"/>
          <a:extLst>
            <a:ext uri="{FF2B5EF4-FFF2-40B4-BE49-F238E27FC236}">
              <a16:creationId xmlns:a16="http://schemas.microsoft.com/office/drawing/2014/main" id="{00000000-0008-0000-0400-00009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3" name="Picture 20" descr="Polska">
          <a:hlinkClick xmlns:r="http://schemas.openxmlformats.org/officeDocument/2006/relationships" r:id="rId72"/>
          <a:extLst>
            <a:ext uri="{FF2B5EF4-FFF2-40B4-BE49-F238E27FC236}">
              <a16:creationId xmlns:a16="http://schemas.microsoft.com/office/drawing/2014/main" id="{00000000-0008-0000-0400-00009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4" name="Picture 21" descr="Deutschland">
          <a:hlinkClick xmlns:r="http://schemas.openxmlformats.org/officeDocument/2006/relationships" r:id="rId66"/>
          <a:extLst>
            <a:ext uri="{FF2B5EF4-FFF2-40B4-BE49-F238E27FC236}">
              <a16:creationId xmlns:a16="http://schemas.microsoft.com/office/drawing/2014/main" id="{00000000-0008-0000-0400-00009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5" name="Picture 23" descr="Danmark">
          <a:hlinkClick xmlns:r="http://schemas.openxmlformats.org/officeDocument/2006/relationships" r:id="rId73"/>
          <a:extLst>
            <a:ext uri="{FF2B5EF4-FFF2-40B4-BE49-F238E27FC236}">
              <a16:creationId xmlns:a16="http://schemas.microsoft.com/office/drawing/2014/main" id="{00000000-0008-0000-0400-00009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56" name="Picture 24" descr="España">
          <a:hlinkClick xmlns:r="http://schemas.openxmlformats.org/officeDocument/2006/relationships" r:id="rId63"/>
          <a:extLst>
            <a:ext uri="{FF2B5EF4-FFF2-40B4-BE49-F238E27FC236}">
              <a16:creationId xmlns:a16="http://schemas.microsoft.com/office/drawing/2014/main" id="{00000000-0008-0000-0400-00009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7" name="Picture 25" descr="France">
          <a:hlinkClick xmlns:r="http://schemas.openxmlformats.org/officeDocument/2006/relationships" r:id="rId74"/>
          <a:extLst>
            <a:ext uri="{FF2B5EF4-FFF2-40B4-BE49-F238E27FC236}">
              <a16:creationId xmlns:a16="http://schemas.microsoft.com/office/drawing/2014/main" id="{00000000-0008-0000-0400-00009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58" name="Picture 26" descr="Polska">
          <a:hlinkClick xmlns:r="http://schemas.openxmlformats.org/officeDocument/2006/relationships" r:id="rId72"/>
          <a:extLst>
            <a:ext uri="{FF2B5EF4-FFF2-40B4-BE49-F238E27FC236}">
              <a16:creationId xmlns:a16="http://schemas.microsoft.com/office/drawing/2014/main" id="{00000000-0008-0000-0400-00009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9" name="Picture 28" descr="España">
          <a:hlinkClick xmlns:r="http://schemas.openxmlformats.org/officeDocument/2006/relationships" r:id="rId63"/>
          <a:extLst>
            <a:ext uri="{FF2B5EF4-FFF2-40B4-BE49-F238E27FC236}">
              <a16:creationId xmlns:a16="http://schemas.microsoft.com/office/drawing/2014/main" id="{00000000-0008-0000-0400-00009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60" name="Picture 29" descr="España">
          <a:hlinkClick xmlns:r="http://schemas.openxmlformats.org/officeDocument/2006/relationships" r:id="rId63"/>
          <a:extLst>
            <a:ext uri="{FF2B5EF4-FFF2-40B4-BE49-F238E27FC236}">
              <a16:creationId xmlns:a16="http://schemas.microsoft.com/office/drawing/2014/main" id="{00000000-0008-0000-0400-0000A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61" name="Picture 30" descr="España">
          <a:hlinkClick xmlns:r="http://schemas.openxmlformats.org/officeDocument/2006/relationships" r:id="rId63"/>
          <a:extLst>
            <a:ext uri="{FF2B5EF4-FFF2-40B4-BE49-F238E27FC236}">
              <a16:creationId xmlns:a16="http://schemas.microsoft.com/office/drawing/2014/main" id="{00000000-0008-0000-0400-0000A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62" name="Picture 31" descr="Nederland">
          <a:hlinkClick xmlns:r="http://schemas.openxmlformats.org/officeDocument/2006/relationships" r:id="rId69"/>
          <a:extLst>
            <a:ext uri="{FF2B5EF4-FFF2-40B4-BE49-F238E27FC236}">
              <a16:creationId xmlns:a16="http://schemas.microsoft.com/office/drawing/2014/main" id="{00000000-0008-0000-0400-0000A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63" name="Picture 33" descr="España">
          <a:hlinkClick xmlns:r="http://schemas.openxmlformats.org/officeDocument/2006/relationships" r:id="rId63"/>
          <a:extLst>
            <a:ext uri="{FF2B5EF4-FFF2-40B4-BE49-F238E27FC236}">
              <a16:creationId xmlns:a16="http://schemas.microsoft.com/office/drawing/2014/main" id="{00000000-0008-0000-0400-0000A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64" name="Picture 34" descr="Italia">
          <a:hlinkClick xmlns:r="http://schemas.openxmlformats.org/officeDocument/2006/relationships" r:id="rId75"/>
          <a:extLst>
            <a:ext uri="{FF2B5EF4-FFF2-40B4-BE49-F238E27FC236}">
              <a16:creationId xmlns:a16="http://schemas.microsoft.com/office/drawing/2014/main" id="{00000000-0008-0000-0400-0000A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65" name="Picture 35" descr="España">
          <a:hlinkClick xmlns:r="http://schemas.openxmlformats.org/officeDocument/2006/relationships" r:id="rId63"/>
          <a:extLst>
            <a:ext uri="{FF2B5EF4-FFF2-40B4-BE49-F238E27FC236}">
              <a16:creationId xmlns:a16="http://schemas.microsoft.com/office/drawing/2014/main" id="{00000000-0008-0000-0400-0000A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66" name="Picture 36" descr="España">
          <a:hlinkClick xmlns:r="http://schemas.openxmlformats.org/officeDocument/2006/relationships" r:id="rId63"/>
          <a:extLst>
            <a:ext uri="{FF2B5EF4-FFF2-40B4-BE49-F238E27FC236}">
              <a16:creationId xmlns:a16="http://schemas.microsoft.com/office/drawing/2014/main" id="{00000000-0008-0000-0400-0000A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67" name="Picture 37" descr="România">
          <a:hlinkClick xmlns:r="http://schemas.openxmlformats.org/officeDocument/2006/relationships" r:id="rId76"/>
          <a:extLst>
            <a:ext uri="{FF2B5EF4-FFF2-40B4-BE49-F238E27FC236}">
              <a16:creationId xmlns:a16="http://schemas.microsoft.com/office/drawing/2014/main" id="{00000000-0008-0000-0400-0000A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68" name="Picture 38" descr="Portugal">
          <a:hlinkClick xmlns:r="http://schemas.openxmlformats.org/officeDocument/2006/relationships" r:id="rId68"/>
          <a:extLst>
            <a:ext uri="{FF2B5EF4-FFF2-40B4-BE49-F238E27FC236}">
              <a16:creationId xmlns:a16="http://schemas.microsoft.com/office/drawing/2014/main" id="{00000000-0008-0000-0400-0000A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69" name="Picture 7" descr="España">
          <a:hlinkClick xmlns:r="http://schemas.openxmlformats.org/officeDocument/2006/relationships" r:id="rId77"/>
          <a:extLst>
            <a:ext uri="{FF2B5EF4-FFF2-40B4-BE49-F238E27FC236}">
              <a16:creationId xmlns:a16="http://schemas.microsoft.com/office/drawing/2014/main" id="{00000000-0008-0000-0400-0000A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70" name="Picture 8" descr="España">
          <a:hlinkClick xmlns:r="http://schemas.openxmlformats.org/officeDocument/2006/relationships" r:id="rId77"/>
          <a:extLst>
            <a:ext uri="{FF2B5EF4-FFF2-40B4-BE49-F238E27FC236}">
              <a16:creationId xmlns:a16="http://schemas.microsoft.com/office/drawing/2014/main" id="{00000000-0008-0000-0400-0000A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1" name="Picture 9" descr="España">
          <a:hlinkClick xmlns:r="http://schemas.openxmlformats.org/officeDocument/2006/relationships" r:id="rId77"/>
          <a:extLst>
            <a:ext uri="{FF2B5EF4-FFF2-40B4-BE49-F238E27FC236}">
              <a16:creationId xmlns:a16="http://schemas.microsoft.com/office/drawing/2014/main" id="{00000000-0008-0000-0400-0000A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2" name="Picture 10" descr="Suomi">
          <a:hlinkClick xmlns:r="http://schemas.openxmlformats.org/officeDocument/2006/relationships" r:id="rId78"/>
          <a:extLst>
            <a:ext uri="{FF2B5EF4-FFF2-40B4-BE49-F238E27FC236}">
              <a16:creationId xmlns:a16="http://schemas.microsoft.com/office/drawing/2014/main" id="{00000000-0008-0000-0400-0000A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73" name="Picture 11" descr="Deutschland">
          <a:hlinkClick xmlns:r="http://schemas.openxmlformats.org/officeDocument/2006/relationships" r:id="rId79"/>
          <a:extLst>
            <a:ext uri="{FF2B5EF4-FFF2-40B4-BE49-F238E27FC236}">
              <a16:creationId xmlns:a16="http://schemas.microsoft.com/office/drawing/2014/main" id="{00000000-0008-0000-0400-0000A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4" name="Picture 12" descr="Deutschland">
          <a:hlinkClick xmlns:r="http://schemas.openxmlformats.org/officeDocument/2006/relationships" r:id="rId79"/>
          <a:extLst>
            <a:ext uri="{FF2B5EF4-FFF2-40B4-BE49-F238E27FC236}">
              <a16:creationId xmlns:a16="http://schemas.microsoft.com/office/drawing/2014/main" id="{00000000-0008-0000-0400-0000A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5" name="Picture 13" descr="España">
          <a:hlinkClick xmlns:r="http://schemas.openxmlformats.org/officeDocument/2006/relationships" r:id="rId77"/>
          <a:extLst>
            <a:ext uri="{FF2B5EF4-FFF2-40B4-BE49-F238E27FC236}">
              <a16:creationId xmlns:a16="http://schemas.microsoft.com/office/drawing/2014/main" id="{00000000-0008-0000-0400-0000A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6" name="Picture 15" descr="Colombia">
          <a:hlinkClick xmlns:r="http://schemas.openxmlformats.org/officeDocument/2006/relationships" r:id="rId80"/>
          <a:extLst>
            <a:ext uri="{FF2B5EF4-FFF2-40B4-BE49-F238E27FC236}">
              <a16:creationId xmlns:a16="http://schemas.microsoft.com/office/drawing/2014/main" id="{00000000-0008-0000-0400-0000B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7" name="Picture 16" descr="Portugal">
          <a:hlinkClick xmlns:r="http://schemas.openxmlformats.org/officeDocument/2006/relationships" r:id="rId81"/>
          <a:extLst>
            <a:ext uri="{FF2B5EF4-FFF2-40B4-BE49-F238E27FC236}">
              <a16:creationId xmlns:a16="http://schemas.microsoft.com/office/drawing/2014/main" id="{00000000-0008-0000-0400-0000B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8" name="Picture 17" descr="Nederland">
          <a:hlinkClick xmlns:r="http://schemas.openxmlformats.org/officeDocument/2006/relationships" r:id="rId82"/>
          <a:extLst>
            <a:ext uri="{FF2B5EF4-FFF2-40B4-BE49-F238E27FC236}">
              <a16:creationId xmlns:a16="http://schemas.microsoft.com/office/drawing/2014/main" id="{00000000-0008-0000-0400-0000B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9" name="Picture 18" descr="Northern Ireland">
          <a:hlinkClick xmlns:r="http://schemas.openxmlformats.org/officeDocument/2006/relationships" r:id="rId83"/>
          <a:extLst>
            <a:ext uri="{FF2B5EF4-FFF2-40B4-BE49-F238E27FC236}">
              <a16:creationId xmlns:a16="http://schemas.microsoft.com/office/drawing/2014/main" id="{00000000-0008-0000-0400-0000B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0" name="Picture 19" descr="China">
          <a:hlinkClick xmlns:r="http://schemas.openxmlformats.org/officeDocument/2006/relationships" r:id="rId84"/>
          <a:extLst>
            <a:ext uri="{FF2B5EF4-FFF2-40B4-BE49-F238E27FC236}">
              <a16:creationId xmlns:a16="http://schemas.microsoft.com/office/drawing/2014/main" id="{00000000-0008-0000-0400-0000B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1" name="Picture 20" descr="Polska">
          <a:hlinkClick xmlns:r="http://schemas.openxmlformats.org/officeDocument/2006/relationships" r:id="rId85"/>
          <a:extLst>
            <a:ext uri="{FF2B5EF4-FFF2-40B4-BE49-F238E27FC236}">
              <a16:creationId xmlns:a16="http://schemas.microsoft.com/office/drawing/2014/main" id="{00000000-0008-0000-0400-0000B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2" name="Picture 21" descr="Deutschland">
          <a:hlinkClick xmlns:r="http://schemas.openxmlformats.org/officeDocument/2006/relationships" r:id="rId79"/>
          <a:extLst>
            <a:ext uri="{FF2B5EF4-FFF2-40B4-BE49-F238E27FC236}">
              <a16:creationId xmlns:a16="http://schemas.microsoft.com/office/drawing/2014/main" id="{00000000-0008-0000-0400-0000B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3" name="Picture 22" descr="Danmark">
          <a:hlinkClick xmlns:r="http://schemas.openxmlformats.org/officeDocument/2006/relationships" r:id="rId86"/>
          <a:extLst>
            <a:ext uri="{FF2B5EF4-FFF2-40B4-BE49-F238E27FC236}">
              <a16:creationId xmlns:a16="http://schemas.microsoft.com/office/drawing/2014/main" id="{00000000-0008-0000-0400-0000B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84" name="Picture 23" descr="Slovenija">
          <a:hlinkClick xmlns:r="http://schemas.openxmlformats.org/officeDocument/2006/relationships" r:id="rId87"/>
          <a:extLst>
            <a:ext uri="{FF2B5EF4-FFF2-40B4-BE49-F238E27FC236}">
              <a16:creationId xmlns:a16="http://schemas.microsoft.com/office/drawing/2014/main" id="{00000000-0008-0000-0400-0000B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5" name="Picture 24" descr="España">
          <a:hlinkClick xmlns:r="http://schemas.openxmlformats.org/officeDocument/2006/relationships" r:id="rId77"/>
          <a:extLst>
            <a:ext uri="{FF2B5EF4-FFF2-40B4-BE49-F238E27FC236}">
              <a16:creationId xmlns:a16="http://schemas.microsoft.com/office/drawing/2014/main" id="{00000000-0008-0000-0400-0000B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86" name="Picture 25" descr="France">
          <a:hlinkClick xmlns:r="http://schemas.openxmlformats.org/officeDocument/2006/relationships" r:id="rId88"/>
          <a:extLst>
            <a:ext uri="{FF2B5EF4-FFF2-40B4-BE49-F238E27FC236}">
              <a16:creationId xmlns:a16="http://schemas.microsoft.com/office/drawing/2014/main" id="{00000000-0008-0000-0400-0000B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7" name="Picture 26" descr="România">
          <a:hlinkClick xmlns:r="http://schemas.openxmlformats.org/officeDocument/2006/relationships" r:id="rId89"/>
          <a:extLst>
            <a:ext uri="{FF2B5EF4-FFF2-40B4-BE49-F238E27FC236}">
              <a16:creationId xmlns:a16="http://schemas.microsoft.com/office/drawing/2014/main" id="{00000000-0008-0000-0400-0000B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88" name="Picture 27" descr="Polska">
          <a:hlinkClick xmlns:r="http://schemas.openxmlformats.org/officeDocument/2006/relationships" r:id="rId85"/>
          <a:extLst>
            <a:ext uri="{FF2B5EF4-FFF2-40B4-BE49-F238E27FC236}">
              <a16:creationId xmlns:a16="http://schemas.microsoft.com/office/drawing/2014/main" id="{00000000-0008-0000-0400-0000B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9" name="Picture 28" descr="España">
          <a:hlinkClick xmlns:r="http://schemas.openxmlformats.org/officeDocument/2006/relationships" r:id="rId77"/>
          <a:extLst>
            <a:ext uri="{FF2B5EF4-FFF2-40B4-BE49-F238E27FC236}">
              <a16:creationId xmlns:a16="http://schemas.microsoft.com/office/drawing/2014/main" id="{00000000-0008-0000-0400-0000B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90" name="Picture 29" descr="España">
          <a:hlinkClick xmlns:r="http://schemas.openxmlformats.org/officeDocument/2006/relationships" r:id="rId77"/>
          <a:extLst>
            <a:ext uri="{FF2B5EF4-FFF2-40B4-BE49-F238E27FC236}">
              <a16:creationId xmlns:a16="http://schemas.microsoft.com/office/drawing/2014/main" id="{00000000-0008-0000-0400-0000B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91" name="Picture 30" descr="España">
          <a:hlinkClick xmlns:r="http://schemas.openxmlformats.org/officeDocument/2006/relationships" r:id="rId77"/>
          <a:extLst>
            <a:ext uri="{FF2B5EF4-FFF2-40B4-BE49-F238E27FC236}">
              <a16:creationId xmlns:a16="http://schemas.microsoft.com/office/drawing/2014/main" id="{00000000-0008-0000-0400-0000B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92" name="Picture 31" descr="Nederland">
          <a:hlinkClick xmlns:r="http://schemas.openxmlformats.org/officeDocument/2006/relationships" r:id="rId82"/>
          <a:extLst>
            <a:ext uri="{FF2B5EF4-FFF2-40B4-BE49-F238E27FC236}">
              <a16:creationId xmlns:a16="http://schemas.microsoft.com/office/drawing/2014/main" id="{00000000-0008-0000-0400-0000C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93" name="Picture 32" descr="España">
          <a:hlinkClick xmlns:r="http://schemas.openxmlformats.org/officeDocument/2006/relationships" r:id="rId77"/>
          <a:extLst>
            <a:ext uri="{FF2B5EF4-FFF2-40B4-BE49-F238E27FC236}">
              <a16:creationId xmlns:a16="http://schemas.microsoft.com/office/drawing/2014/main" id="{00000000-0008-0000-0400-0000C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94" name="Picture 33" descr="Polska">
          <a:hlinkClick xmlns:r="http://schemas.openxmlformats.org/officeDocument/2006/relationships" r:id="rId85"/>
          <a:extLst>
            <a:ext uri="{FF2B5EF4-FFF2-40B4-BE49-F238E27FC236}">
              <a16:creationId xmlns:a16="http://schemas.microsoft.com/office/drawing/2014/main" id="{00000000-0008-0000-0400-0000C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95" name="Picture 34" descr="España">
          <a:hlinkClick xmlns:r="http://schemas.openxmlformats.org/officeDocument/2006/relationships" r:id="rId77"/>
          <a:extLst>
            <a:ext uri="{FF2B5EF4-FFF2-40B4-BE49-F238E27FC236}">
              <a16:creationId xmlns:a16="http://schemas.microsoft.com/office/drawing/2014/main" id="{00000000-0008-0000-0400-0000C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96" name="Picture 35" descr="România">
          <a:hlinkClick xmlns:r="http://schemas.openxmlformats.org/officeDocument/2006/relationships" r:id="rId89"/>
          <a:extLst>
            <a:ext uri="{FF2B5EF4-FFF2-40B4-BE49-F238E27FC236}">
              <a16:creationId xmlns:a16="http://schemas.microsoft.com/office/drawing/2014/main" id="{00000000-0008-0000-0400-0000C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97" name="Picture 36" descr="España">
          <a:hlinkClick xmlns:r="http://schemas.openxmlformats.org/officeDocument/2006/relationships" r:id="rId77"/>
          <a:extLst>
            <a:ext uri="{FF2B5EF4-FFF2-40B4-BE49-F238E27FC236}">
              <a16:creationId xmlns:a16="http://schemas.microsoft.com/office/drawing/2014/main" id="{00000000-0008-0000-0400-0000C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191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98" name="Picture 37" descr="Portugal">
          <a:hlinkClick xmlns:r="http://schemas.openxmlformats.org/officeDocument/2006/relationships" r:id="rId81"/>
          <a:extLst>
            <a:ext uri="{FF2B5EF4-FFF2-40B4-BE49-F238E27FC236}">
              <a16:creationId xmlns:a16="http://schemas.microsoft.com/office/drawing/2014/main" id="{00000000-0008-0000-0400-0000C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99" name="Picture 2" descr="España">
          <a:hlinkClick xmlns:r="http://schemas.openxmlformats.org/officeDocument/2006/relationships" r:id="rId90"/>
          <a:extLst>
            <a:ext uri="{FF2B5EF4-FFF2-40B4-BE49-F238E27FC236}">
              <a16:creationId xmlns:a16="http://schemas.microsoft.com/office/drawing/2014/main" id="{00000000-0008-0000-0400-0000C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0" name="Picture 3" descr="USA">
          <a:hlinkClick xmlns:r="http://schemas.openxmlformats.org/officeDocument/2006/relationships" r:id="rId91"/>
          <a:extLst>
            <a:ext uri="{FF2B5EF4-FFF2-40B4-BE49-F238E27FC236}">
              <a16:creationId xmlns:a16="http://schemas.microsoft.com/office/drawing/2014/main" id="{00000000-0008-0000-0400-0000C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1" name="Picture 5" descr="España">
          <a:hlinkClick xmlns:r="http://schemas.openxmlformats.org/officeDocument/2006/relationships" r:id="rId90"/>
          <a:extLst>
            <a:ext uri="{FF2B5EF4-FFF2-40B4-BE49-F238E27FC236}">
              <a16:creationId xmlns:a16="http://schemas.microsoft.com/office/drawing/2014/main" id="{00000000-0008-0000-0400-0000C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2" name="Picture 6" descr="España">
          <a:hlinkClick xmlns:r="http://schemas.openxmlformats.org/officeDocument/2006/relationships" r:id="rId90"/>
          <a:extLst>
            <a:ext uri="{FF2B5EF4-FFF2-40B4-BE49-F238E27FC236}">
              <a16:creationId xmlns:a16="http://schemas.microsoft.com/office/drawing/2014/main" id="{00000000-0008-0000-0400-0000C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3" name="Picture 8" descr="Česká republika">
          <a:hlinkClick xmlns:r="http://schemas.openxmlformats.org/officeDocument/2006/relationships" r:id="rId92"/>
          <a:extLst>
            <a:ext uri="{FF2B5EF4-FFF2-40B4-BE49-F238E27FC236}">
              <a16:creationId xmlns:a16="http://schemas.microsoft.com/office/drawing/2014/main" id="{00000000-0008-0000-0400-0000C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4" name="Picture 9" descr="Sverige">
          <a:hlinkClick xmlns:r="http://schemas.openxmlformats.org/officeDocument/2006/relationships" r:id="rId93"/>
          <a:extLst>
            <a:ext uri="{FF2B5EF4-FFF2-40B4-BE49-F238E27FC236}">
              <a16:creationId xmlns:a16="http://schemas.microsoft.com/office/drawing/2014/main" id="{00000000-0008-0000-0400-0000C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5" name="Picture 11" descr="Suomi">
          <a:hlinkClick xmlns:r="http://schemas.openxmlformats.org/officeDocument/2006/relationships" r:id="rId94"/>
          <a:extLst>
            <a:ext uri="{FF2B5EF4-FFF2-40B4-BE49-F238E27FC236}">
              <a16:creationId xmlns:a16="http://schemas.microsoft.com/office/drawing/2014/main" id="{00000000-0008-0000-0400-0000C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6" name="Picture 12" descr="España">
          <a:hlinkClick xmlns:r="http://schemas.openxmlformats.org/officeDocument/2006/relationships" r:id="rId90"/>
          <a:extLst>
            <a:ext uri="{FF2B5EF4-FFF2-40B4-BE49-F238E27FC236}">
              <a16:creationId xmlns:a16="http://schemas.microsoft.com/office/drawing/2014/main" id="{00000000-0008-0000-0400-0000C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7" name="Picture 13" descr="Nederland">
          <a:hlinkClick xmlns:r="http://schemas.openxmlformats.org/officeDocument/2006/relationships" r:id="rId95"/>
          <a:extLst>
            <a:ext uri="{FF2B5EF4-FFF2-40B4-BE49-F238E27FC236}">
              <a16:creationId xmlns:a16="http://schemas.microsoft.com/office/drawing/2014/main" id="{00000000-0008-0000-0400-0000C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8" name="Picture 14" descr="Italia">
          <a:hlinkClick xmlns:r="http://schemas.openxmlformats.org/officeDocument/2006/relationships" r:id="rId96"/>
          <a:extLst>
            <a:ext uri="{FF2B5EF4-FFF2-40B4-BE49-F238E27FC236}">
              <a16:creationId xmlns:a16="http://schemas.microsoft.com/office/drawing/2014/main" id="{00000000-0008-0000-0400-0000D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9" name="Picture 16" descr="España">
          <a:hlinkClick xmlns:r="http://schemas.openxmlformats.org/officeDocument/2006/relationships" r:id="rId90"/>
          <a:extLst>
            <a:ext uri="{FF2B5EF4-FFF2-40B4-BE49-F238E27FC236}">
              <a16:creationId xmlns:a16="http://schemas.microsoft.com/office/drawing/2014/main" id="{00000000-0008-0000-0400-0000D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0" name="Picture 18" descr="France">
          <a:hlinkClick xmlns:r="http://schemas.openxmlformats.org/officeDocument/2006/relationships" r:id="rId97"/>
          <a:extLst>
            <a:ext uri="{FF2B5EF4-FFF2-40B4-BE49-F238E27FC236}">
              <a16:creationId xmlns:a16="http://schemas.microsoft.com/office/drawing/2014/main" id="{00000000-0008-0000-0400-0000D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1" name="Picture 19" descr="France">
          <a:hlinkClick xmlns:r="http://schemas.openxmlformats.org/officeDocument/2006/relationships" r:id="rId97"/>
          <a:extLst>
            <a:ext uri="{FF2B5EF4-FFF2-40B4-BE49-F238E27FC236}">
              <a16:creationId xmlns:a16="http://schemas.microsoft.com/office/drawing/2014/main" id="{00000000-0008-0000-0400-0000D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2" name="Picture 21" descr="Argentina">
          <a:hlinkClick xmlns:r="http://schemas.openxmlformats.org/officeDocument/2006/relationships" r:id="rId98"/>
          <a:extLst>
            <a:ext uri="{FF2B5EF4-FFF2-40B4-BE49-F238E27FC236}">
              <a16:creationId xmlns:a16="http://schemas.microsoft.com/office/drawing/2014/main" id="{00000000-0008-0000-0400-0000D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3" name="Picture 23" descr="España">
          <a:hlinkClick xmlns:r="http://schemas.openxmlformats.org/officeDocument/2006/relationships" r:id="rId90"/>
          <a:extLst>
            <a:ext uri="{FF2B5EF4-FFF2-40B4-BE49-F238E27FC236}">
              <a16:creationId xmlns:a16="http://schemas.microsoft.com/office/drawing/2014/main" id="{00000000-0008-0000-0400-0000D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4" name="Picture 25" descr="Lubnan">
          <a:hlinkClick xmlns:r="http://schemas.openxmlformats.org/officeDocument/2006/relationships" r:id="rId99"/>
          <a:extLst>
            <a:ext uri="{FF2B5EF4-FFF2-40B4-BE49-F238E27FC236}">
              <a16:creationId xmlns:a16="http://schemas.microsoft.com/office/drawing/2014/main" id="{00000000-0008-0000-0400-0000D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5" name="Picture 27" descr="Magyarország">
          <a:hlinkClick xmlns:r="http://schemas.openxmlformats.org/officeDocument/2006/relationships" r:id="rId100"/>
          <a:extLst>
            <a:ext uri="{FF2B5EF4-FFF2-40B4-BE49-F238E27FC236}">
              <a16:creationId xmlns:a16="http://schemas.microsoft.com/office/drawing/2014/main" id="{00000000-0008-0000-0400-0000D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6" name="Picture 29" descr="Uruguay">
          <a:hlinkClick xmlns:r="http://schemas.openxmlformats.org/officeDocument/2006/relationships" r:id="rId101"/>
          <a:extLst>
            <a:ext uri="{FF2B5EF4-FFF2-40B4-BE49-F238E27FC236}">
              <a16:creationId xmlns:a16="http://schemas.microsoft.com/office/drawing/2014/main" id="{00000000-0008-0000-0400-0000D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7" name="Picture 30" descr="Italia">
          <a:hlinkClick xmlns:r="http://schemas.openxmlformats.org/officeDocument/2006/relationships" r:id="rId96"/>
          <a:extLst>
            <a:ext uri="{FF2B5EF4-FFF2-40B4-BE49-F238E27FC236}">
              <a16:creationId xmlns:a16="http://schemas.microsoft.com/office/drawing/2014/main" id="{00000000-0008-0000-0400-0000D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8" name="Picture 31" descr="Nederland">
          <a:hlinkClick xmlns:r="http://schemas.openxmlformats.org/officeDocument/2006/relationships" r:id="rId95"/>
          <a:extLst>
            <a:ext uri="{FF2B5EF4-FFF2-40B4-BE49-F238E27FC236}">
              <a16:creationId xmlns:a16="http://schemas.microsoft.com/office/drawing/2014/main" id="{00000000-0008-0000-0400-0000D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9" name="Picture 32" descr="Italia">
          <a:hlinkClick xmlns:r="http://schemas.openxmlformats.org/officeDocument/2006/relationships" r:id="rId96"/>
          <a:extLst>
            <a:ext uri="{FF2B5EF4-FFF2-40B4-BE49-F238E27FC236}">
              <a16:creationId xmlns:a16="http://schemas.microsoft.com/office/drawing/2014/main" id="{00000000-0008-0000-0400-0000D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20" name="Picture 34" descr="Deutschland">
          <a:hlinkClick xmlns:r="http://schemas.openxmlformats.org/officeDocument/2006/relationships" r:id="rId102"/>
          <a:extLst>
            <a:ext uri="{FF2B5EF4-FFF2-40B4-BE49-F238E27FC236}">
              <a16:creationId xmlns:a16="http://schemas.microsoft.com/office/drawing/2014/main" id="{00000000-0008-0000-0400-0000D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21" name="Picture 36" descr="Israel">
          <a:hlinkClick xmlns:r="http://schemas.openxmlformats.org/officeDocument/2006/relationships" r:id="rId103"/>
          <a:extLst>
            <a:ext uri="{FF2B5EF4-FFF2-40B4-BE49-F238E27FC236}">
              <a16:creationId xmlns:a16="http://schemas.microsoft.com/office/drawing/2014/main" id="{00000000-0008-0000-0400-0000D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22" name="Picture 37" descr="Slovensko">
          <a:hlinkClick xmlns:r="http://schemas.openxmlformats.org/officeDocument/2006/relationships" r:id="rId104"/>
          <a:extLst>
            <a:ext uri="{FF2B5EF4-FFF2-40B4-BE49-F238E27FC236}">
              <a16:creationId xmlns:a16="http://schemas.microsoft.com/office/drawing/2014/main" id="{00000000-0008-0000-0400-0000D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3" name="Picture 2" descr="España">
          <a:hlinkClick xmlns:r="http://schemas.openxmlformats.org/officeDocument/2006/relationships" r:id="rId90"/>
          <a:extLst>
            <a:ext uri="{FF2B5EF4-FFF2-40B4-BE49-F238E27FC236}">
              <a16:creationId xmlns:a16="http://schemas.microsoft.com/office/drawing/2014/main" id="{00000000-0008-0000-0400-0000D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4" name="Picture 3" descr="USA">
          <a:hlinkClick xmlns:r="http://schemas.openxmlformats.org/officeDocument/2006/relationships" r:id="rId91"/>
          <a:extLst>
            <a:ext uri="{FF2B5EF4-FFF2-40B4-BE49-F238E27FC236}">
              <a16:creationId xmlns:a16="http://schemas.microsoft.com/office/drawing/2014/main" id="{00000000-0008-0000-0400-0000E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5" name="Picture 5" descr="España">
          <a:hlinkClick xmlns:r="http://schemas.openxmlformats.org/officeDocument/2006/relationships" r:id="rId90"/>
          <a:extLst>
            <a:ext uri="{FF2B5EF4-FFF2-40B4-BE49-F238E27FC236}">
              <a16:creationId xmlns:a16="http://schemas.microsoft.com/office/drawing/2014/main" id="{00000000-0008-0000-0400-0000E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6" name="Picture 6" descr="España">
          <a:hlinkClick xmlns:r="http://schemas.openxmlformats.org/officeDocument/2006/relationships" r:id="rId90"/>
          <a:extLst>
            <a:ext uri="{FF2B5EF4-FFF2-40B4-BE49-F238E27FC236}">
              <a16:creationId xmlns:a16="http://schemas.microsoft.com/office/drawing/2014/main" id="{00000000-0008-0000-0400-0000E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7" name="Picture 8" descr="Česká republika">
          <a:hlinkClick xmlns:r="http://schemas.openxmlformats.org/officeDocument/2006/relationships" r:id="rId92"/>
          <a:extLst>
            <a:ext uri="{FF2B5EF4-FFF2-40B4-BE49-F238E27FC236}">
              <a16:creationId xmlns:a16="http://schemas.microsoft.com/office/drawing/2014/main" id="{00000000-0008-0000-0400-0000E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8" name="Picture 9" descr="Sverige">
          <a:hlinkClick xmlns:r="http://schemas.openxmlformats.org/officeDocument/2006/relationships" r:id="rId93"/>
          <a:extLst>
            <a:ext uri="{FF2B5EF4-FFF2-40B4-BE49-F238E27FC236}">
              <a16:creationId xmlns:a16="http://schemas.microsoft.com/office/drawing/2014/main" id="{00000000-0008-0000-0400-0000E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9" name="Picture 11" descr="Suomi">
          <a:hlinkClick xmlns:r="http://schemas.openxmlformats.org/officeDocument/2006/relationships" r:id="rId94"/>
          <a:extLst>
            <a:ext uri="{FF2B5EF4-FFF2-40B4-BE49-F238E27FC236}">
              <a16:creationId xmlns:a16="http://schemas.microsoft.com/office/drawing/2014/main" id="{00000000-0008-0000-0400-0000E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0" name="Picture 12" descr="España">
          <a:hlinkClick xmlns:r="http://schemas.openxmlformats.org/officeDocument/2006/relationships" r:id="rId90"/>
          <a:extLst>
            <a:ext uri="{FF2B5EF4-FFF2-40B4-BE49-F238E27FC236}">
              <a16:creationId xmlns:a16="http://schemas.microsoft.com/office/drawing/2014/main" id="{00000000-0008-0000-0400-0000E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1" name="Picture 13" descr="Nederland">
          <a:hlinkClick xmlns:r="http://schemas.openxmlformats.org/officeDocument/2006/relationships" r:id="rId95"/>
          <a:extLst>
            <a:ext uri="{FF2B5EF4-FFF2-40B4-BE49-F238E27FC236}">
              <a16:creationId xmlns:a16="http://schemas.microsoft.com/office/drawing/2014/main" id="{00000000-0008-0000-0400-0000E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2" name="Picture 14" descr="Italia">
          <a:hlinkClick xmlns:r="http://schemas.openxmlformats.org/officeDocument/2006/relationships" r:id="rId96"/>
          <a:extLst>
            <a:ext uri="{FF2B5EF4-FFF2-40B4-BE49-F238E27FC236}">
              <a16:creationId xmlns:a16="http://schemas.microsoft.com/office/drawing/2014/main" id="{00000000-0008-0000-0400-0000E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3" name="Picture 16" descr="España">
          <a:hlinkClick xmlns:r="http://schemas.openxmlformats.org/officeDocument/2006/relationships" r:id="rId90"/>
          <a:extLst>
            <a:ext uri="{FF2B5EF4-FFF2-40B4-BE49-F238E27FC236}">
              <a16:creationId xmlns:a16="http://schemas.microsoft.com/office/drawing/2014/main" id="{00000000-0008-0000-0400-0000E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4" name="Picture 18" descr="France">
          <a:hlinkClick xmlns:r="http://schemas.openxmlformats.org/officeDocument/2006/relationships" r:id="rId97"/>
          <a:extLst>
            <a:ext uri="{FF2B5EF4-FFF2-40B4-BE49-F238E27FC236}">
              <a16:creationId xmlns:a16="http://schemas.microsoft.com/office/drawing/2014/main" id="{00000000-0008-0000-0400-0000E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5" name="Picture 19" descr="France">
          <a:hlinkClick xmlns:r="http://schemas.openxmlformats.org/officeDocument/2006/relationships" r:id="rId97"/>
          <a:extLst>
            <a:ext uri="{FF2B5EF4-FFF2-40B4-BE49-F238E27FC236}">
              <a16:creationId xmlns:a16="http://schemas.microsoft.com/office/drawing/2014/main" id="{00000000-0008-0000-0400-0000E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6" name="Picture 21" descr="Argentina">
          <a:hlinkClick xmlns:r="http://schemas.openxmlformats.org/officeDocument/2006/relationships" r:id="rId98"/>
          <a:extLst>
            <a:ext uri="{FF2B5EF4-FFF2-40B4-BE49-F238E27FC236}">
              <a16:creationId xmlns:a16="http://schemas.microsoft.com/office/drawing/2014/main" id="{00000000-0008-0000-0400-0000E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7" name="Picture 23" descr="España">
          <a:hlinkClick xmlns:r="http://schemas.openxmlformats.org/officeDocument/2006/relationships" r:id="rId90"/>
          <a:extLst>
            <a:ext uri="{FF2B5EF4-FFF2-40B4-BE49-F238E27FC236}">
              <a16:creationId xmlns:a16="http://schemas.microsoft.com/office/drawing/2014/main" id="{00000000-0008-0000-0400-0000E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8" name="Picture 25" descr="Lubnan">
          <a:hlinkClick xmlns:r="http://schemas.openxmlformats.org/officeDocument/2006/relationships" r:id="rId99"/>
          <a:extLst>
            <a:ext uri="{FF2B5EF4-FFF2-40B4-BE49-F238E27FC236}">
              <a16:creationId xmlns:a16="http://schemas.microsoft.com/office/drawing/2014/main" id="{00000000-0008-0000-0400-0000E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9" name="Picture 27" descr="Magyarország">
          <a:hlinkClick xmlns:r="http://schemas.openxmlformats.org/officeDocument/2006/relationships" r:id="rId100"/>
          <a:extLst>
            <a:ext uri="{FF2B5EF4-FFF2-40B4-BE49-F238E27FC236}">
              <a16:creationId xmlns:a16="http://schemas.microsoft.com/office/drawing/2014/main" id="{00000000-0008-0000-0400-0000E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0" name="Picture 29" descr="Uruguay">
          <a:hlinkClick xmlns:r="http://schemas.openxmlformats.org/officeDocument/2006/relationships" r:id="rId101"/>
          <a:extLst>
            <a:ext uri="{FF2B5EF4-FFF2-40B4-BE49-F238E27FC236}">
              <a16:creationId xmlns:a16="http://schemas.microsoft.com/office/drawing/2014/main" id="{00000000-0008-0000-0400-0000F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1" name="Picture 30" descr="Italia">
          <a:hlinkClick xmlns:r="http://schemas.openxmlformats.org/officeDocument/2006/relationships" r:id="rId96"/>
          <a:extLst>
            <a:ext uri="{FF2B5EF4-FFF2-40B4-BE49-F238E27FC236}">
              <a16:creationId xmlns:a16="http://schemas.microsoft.com/office/drawing/2014/main" id="{00000000-0008-0000-0400-0000F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2" name="Picture 31" descr="Nederland">
          <a:hlinkClick xmlns:r="http://schemas.openxmlformats.org/officeDocument/2006/relationships" r:id="rId95"/>
          <a:extLst>
            <a:ext uri="{FF2B5EF4-FFF2-40B4-BE49-F238E27FC236}">
              <a16:creationId xmlns:a16="http://schemas.microsoft.com/office/drawing/2014/main" id="{00000000-0008-0000-0400-0000F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3" name="Picture 32" descr="Italia">
          <a:hlinkClick xmlns:r="http://schemas.openxmlformats.org/officeDocument/2006/relationships" r:id="rId96"/>
          <a:extLst>
            <a:ext uri="{FF2B5EF4-FFF2-40B4-BE49-F238E27FC236}">
              <a16:creationId xmlns:a16="http://schemas.microsoft.com/office/drawing/2014/main" id="{00000000-0008-0000-0400-0000F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4" name="Picture 34" descr="Deutschland">
          <a:hlinkClick xmlns:r="http://schemas.openxmlformats.org/officeDocument/2006/relationships" r:id="rId102"/>
          <a:extLst>
            <a:ext uri="{FF2B5EF4-FFF2-40B4-BE49-F238E27FC236}">
              <a16:creationId xmlns:a16="http://schemas.microsoft.com/office/drawing/2014/main" id="{00000000-0008-0000-0400-0000F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5" name="Picture 36" descr="Israel">
          <a:hlinkClick xmlns:r="http://schemas.openxmlformats.org/officeDocument/2006/relationships" r:id="rId103"/>
          <a:extLst>
            <a:ext uri="{FF2B5EF4-FFF2-40B4-BE49-F238E27FC236}">
              <a16:creationId xmlns:a16="http://schemas.microsoft.com/office/drawing/2014/main" id="{00000000-0008-0000-0400-0000F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6" name="Picture 37" descr="Slovensko">
          <a:hlinkClick xmlns:r="http://schemas.openxmlformats.org/officeDocument/2006/relationships" r:id="rId104"/>
          <a:extLst>
            <a:ext uri="{FF2B5EF4-FFF2-40B4-BE49-F238E27FC236}">
              <a16:creationId xmlns:a16="http://schemas.microsoft.com/office/drawing/2014/main" id="{00000000-0008-0000-0400-0000F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7" name="Picture 2" descr="España">
          <a:hlinkClick xmlns:r="http://schemas.openxmlformats.org/officeDocument/2006/relationships" r:id="rId90"/>
          <a:extLst>
            <a:ext uri="{FF2B5EF4-FFF2-40B4-BE49-F238E27FC236}">
              <a16:creationId xmlns:a16="http://schemas.microsoft.com/office/drawing/2014/main" id="{00000000-0008-0000-0400-0000F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8" name="Picture 3" descr="USA">
          <a:hlinkClick xmlns:r="http://schemas.openxmlformats.org/officeDocument/2006/relationships" r:id="rId91"/>
          <a:extLst>
            <a:ext uri="{FF2B5EF4-FFF2-40B4-BE49-F238E27FC236}">
              <a16:creationId xmlns:a16="http://schemas.microsoft.com/office/drawing/2014/main" id="{00000000-0008-0000-0400-0000F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9" name="Picture 5" descr="España">
          <a:hlinkClick xmlns:r="http://schemas.openxmlformats.org/officeDocument/2006/relationships" r:id="rId90"/>
          <a:extLst>
            <a:ext uri="{FF2B5EF4-FFF2-40B4-BE49-F238E27FC236}">
              <a16:creationId xmlns:a16="http://schemas.microsoft.com/office/drawing/2014/main" id="{00000000-0008-0000-0400-0000F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0" name="Picture 6" descr="España">
          <a:hlinkClick xmlns:r="http://schemas.openxmlformats.org/officeDocument/2006/relationships" r:id="rId90"/>
          <a:extLst>
            <a:ext uri="{FF2B5EF4-FFF2-40B4-BE49-F238E27FC236}">
              <a16:creationId xmlns:a16="http://schemas.microsoft.com/office/drawing/2014/main" id="{00000000-0008-0000-0400-0000F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1" name="Picture 8" descr="Česká republika">
          <a:hlinkClick xmlns:r="http://schemas.openxmlformats.org/officeDocument/2006/relationships" r:id="rId92"/>
          <a:extLst>
            <a:ext uri="{FF2B5EF4-FFF2-40B4-BE49-F238E27FC236}">
              <a16:creationId xmlns:a16="http://schemas.microsoft.com/office/drawing/2014/main" id="{00000000-0008-0000-0400-0000F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2" name="Picture 9" descr="Sverige">
          <a:hlinkClick xmlns:r="http://schemas.openxmlformats.org/officeDocument/2006/relationships" r:id="rId93"/>
          <a:extLst>
            <a:ext uri="{FF2B5EF4-FFF2-40B4-BE49-F238E27FC236}">
              <a16:creationId xmlns:a16="http://schemas.microsoft.com/office/drawing/2014/main" id="{00000000-0008-0000-0400-0000F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3" name="Picture 11" descr="Suomi">
          <a:hlinkClick xmlns:r="http://schemas.openxmlformats.org/officeDocument/2006/relationships" r:id="rId94"/>
          <a:extLst>
            <a:ext uri="{FF2B5EF4-FFF2-40B4-BE49-F238E27FC236}">
              <a16:creationId xmlns:a16="http://schemas.microsoft.com/office/drawing/2014/main" id="{00000000-0008-0000-0400-0000F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4" name="Picture 12" descr="España">
          <a:hlinkClick xmlns:r="http://schemas.openxmlformats.org/officeDocument/2006/relationships" r:id="rId90"/>
          <a:extLst>
            <a:ext uri="{FF2B5EF4-FFF2-40B4-BE49-F238E27FC236}">
              <a16:creationId xmlns:a16="http://schemas.microsoft.com/office/drawing/2014/main" id="{00000000-0008-0000-0400-0000F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5" name="Picture 13" descr="Nederland">
          <a:hlinkClick xmlns:r="http://schemas.openxmlformats.org/officeDocument/2006/relationships" r:id="rId95"/>
          <a:extLst>
            <a:ext uri="{FF2B5EF4-FFF2-40B4-BE49-F238E27FC236}">
              <a16:creationId xmlns:a16="http://schemas.microsoft.com/office/drawing/2014/main" id="{00000000-0008-0000-0400-0000F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6" name="Picture 14" descr="Italia">
          <a:hlinkClick xmlns:r="http://schemas.openxmlformats.org/officeDocument/2006/relationships" r:id="rId96"/>
          <a:extLst>
            <a:ext uri="{FF2B5EF4-FFF2-40B4-BE49-F238E27FC236}">
              <a16:creationId xmlns:a16="http://schemas.microsoft.com/office/drawing/2014/main" id="{00000000-0008-0000-0400-00000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7" name="Picture 16" descr="España">
          <a:hlinkClick xmlns:r="http://schemas.openxmlformats.org/officeDocument/2006/relationships" r:id="rId90"/>
          <a:extLst>
            <a:ext uri="{FF2B5EF4-FFF2-40B4-BE49-F238E27FC236}">
              <a16:creationId xmlns:a16="http://schemas.microsoft.com/office/drawing/2014/main" id="{00000000-0008-0000-0400-00000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8" name="Picture 18" descr="France">
          <a:hlinkClick xmlns:r="http://schemas.openxmlformats.org/officeDocument/2006/relationships" r:id="rId97"/>
          <a:extLst>
            <a:ext uri="{FF2B5EF4-FFF2-40B4-BE49-F238E27FC236}">
              <a16:creationId xmlns:a16="http://schemas.microsoft.com/office/drawing/2014/main" id="{00000000-0008-0000-0400-00000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9" name="Picture 19" descr="France">
          <a:hlinkClick xmlns:r="http://schemas.openxmlformats.org/officeDocument/2006/relationships" r:id="rId97"/>
          <a:extLst>
            <a:ext uri="{FF2B5EF4-FFF2-40B4-BE49-F238E27FC236}">
              <a16:creationId xmlns:a16="http://schemas.microsoft.com/office/drawing/2014/main" id="{00000000-0008-0000-0400-00000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0" name="Picture 21" descr="Argentina">
          <a:hlinkClick xmlns:r="http://schemas.openxmlformats.org/officeDocument/2006/relationships" r:id="rId98"/>
          <a:extLst>
            <a:ext uri="{FF2B5EF4-FFF2-40B4-BE49-F238E27FC236}">
              <a16:creationId xmlns:a16="http://schemas.microsoft.com/office/drawing/2014/main" id="{00000000-0008-0000-0400-00000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1" name="Picture 23" descr="España">
          <a:hlinkClick xmlns:r="http://schemas.openxmlformats.org/officeDocument/2006/relationships" r:id="rId90"/>
          <a:extLst>
            <a:ext uri="{FF2B5EF4-FFF2-40B4-BE49-F238E27FC236}">
              <a16:creationId xmlns:a16="http://schemas.microsoft.com/office/drawing/2014/main" id="{00000000-0008-0000-0400-00000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2" name="Picture 25" descr="Lubnan">
          <a:hlinkClick xmlns:r="http://schemas.openxmlformats.org/officeDocument/2006/relationships" r:id="rId99"/>
          <a:extLst>
            <a:ext uri="{FF2B5EF4-FFF2-40B4-BE49-F238E27FC236}">
              <a16:creationId xmlns:a16="http://schemas.microsoft.com/office/drawing/2014/main" id="{00000000-0008-0000-0400-00000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3" name="Picture 27" descr="Magyarország">
          <a:hlinkClick xmlns:r="http://schemas.openxmlformats.org/officeDocument/2006/relationships" r:id="rId100"/>
          <a:extLst>
            <a:ext uri="{FF2B5EF4-FFF2-40B4-BE49-F238E27FC236}">
              <a16:creationId xmlns:a16="http://schemas.microsoft.com/office/drawing/2014/main" id="{00000000-0008-0000-0400-00000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4" name="Picture 29" descr="Uruguay">
          <a:hlinkClick xmlns:r="http://schemas.openxmlformats.org/officeDocument/2006/relationships" r:id="rId101"/>
          <a:extLst>
            <a:ext uri="{FF2B5EF4-FFF2-40B4-BE49-F238E27FC236}">
              <a16:creationId xmlns:a16="http://schemas.microsoft.com/office/drawing/2014/main" id="{00000000-0008-0000-0400-00000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5" name="Picture 30" descr="Italia">
          <a:hlinkClick xmlns:r="http://schemas.openxmlformats.org/officeDocument/2006/relationships" r:id="rId96"/>
          <a:extLst>
            <a:ext uri="{FF2B5EF4-FFF2-40B4-BE49-F238E27FC236}">
              <a16:creationId xmlns:a16="http://schemas.microsoft.com/office/drawing/2014/main" id="{00000000-0008-0000-0400-00000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6" name="Picture 31" descr="Nederland">
          <a:hlinkClick xmlns:r="http://schemas.openxmlformats.org/officeDocument/2006/relationships" r:id="rId95"/>
          <a:extLst>
            <a:ext uri="{FF2B5EF4-FFF2-40B4-BE49-F238E27FC236}">
              <a16:creationId xmlns:a16="http://schemas.microsoft.com/office/drawing/2014/main" id="{00000000-0008-0000-0400-00000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7" name="Picture 32" descr="Italia">
          <a:hlinkClick xmlns:r="http://schemas.openxmlformats.org/officeDocument/2006/relationships" r:id="rId96"/>
          <a:extLst>
            <a:ext uri="{FF2B5EF4-FFF2-40B4-BE49-F238E27FC236}">
              <a16:creationId xmlns:a16="http://schemas.microsoft.com/office/drawing/2014/main" id="{00000000-0008-0000-0400-00000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8" name="Picture 34" descr="Deutschland">
          <a:hlinkClick xmlns:r="http://schemas.openxmlformats.org/officeDocument/2006/relationships" r:id="rId102"/>
          <a:extLst>
            <a:ext uri="{FF2B5EF4-FFF2-40B4-BE49-F238E27FC236}">
              <a16:creationId xmlns:a16="http://schemas.microsoft.com/office/drawing/2014/main" id="{00000000-0008-0000-0400-00000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9" name="Picture 36" descr="Israel">
          <a:hlinkClick xmlns:r="http://schemas.openxmlformats.org/officeDocument/2006/relationships" r:id="rId103"/>
          <a:extLst>
            <a:ext uri="{FF2B5EF4-FFF2-40B4-BE49-F238E27FC236}">
              <a16:creationId xmlns:a16="http://schemas.microsoft.com/office/drawing/2014/main" id="{00000000-0008-0000-0400-00000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0" name="Picture 37" descr="Slovensko">
          <a:hlinkClick xmlns:r="http://schemas.openxmlformats.org/officeDocument/2006/relationships" r:id="rId104"/>
          <a:extLst>
            <a:ext uri="{FF2B5EF4-FFF2-40B4-BE49-F238E27FC236}">
              <a16:creationId xmlns:a16="http://schemas.microsoft.com/office/drawing/2014/main" id="{00000000-0008-0000-0400-00000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1" name="Picture 2" descr="España">
          <a:hlinkClick xmlns:r="http://schemas.openxmlformats.org/officeDocument/2006/relationships" r:id="rId90"/>
          <a:extLst>
            <a:ext uri="{FF2B5EF4-FFF2-40B4-BE49-F238E27FC236}">
              <a16:creationId xmlns:a16="http://schemas.microsoft.com/office/drawing/2014/main" id="{00000000-0008-0000-0400-00000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2" name="Picture 3" descr="USA">
          <a:hlinkClick xmlns:r="http://schemas.openxmlformats.org/officeDocument/2006/relationships" r:id="rId91"/>
          <a:extLst>
            <a:ext uri="{FF2B5EF4-FFF2-40B4-BE49-F238E27FC236}">
              <a16:creationId xmlns:a16="http://schemas.microsoft.com/office/drawing/2014/main" id="{00000000-0008-0000-0400-00001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3" name="Picture 5" descr="España">
          <a:hlinkClick xmlns:r="http://schemas.openxmlformats.org/officeDocument/2006/relationships" r:id="rId90"/>
          <a:extLst>
            <a:ext uri="{FF2B5EF4-FFF2-40B4-BE49-F238E27FC236}">
              <a16:creationId xmlns:a16="http://schemas.microsoft.com/office/drawing/2014/main" id="{00000000-0008-0000-0400-00001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4" name="Picture 6" descr="España">
          <a:hlinkClick xmlns:r="http://schemas.openxmlformats.org/officeDocument/2006/relationships" r:id="rId90"/>
          <a:extLst>
            <a:ext uri="{FF2B5EF4-FFF2-40B4-BE49-F238E27FC236}">
              <a16:creationId xmlns:a16="http://schemas.microsoft.com/office/drawing/2014/main" id="{00000000-0008-0000-0400-00001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5" name="Picture 8" descr="Česká republika">
          <a:hlinkClick xmlns:r="http://schemas.openxmlformats.org/officeDocument/2006/relationships" r:id="rId92"/>
          <a:extLst>
            <a:ext uri="{FF2B5EF4-FFF2-40B4-BE49-F238E27FC236}">
              <a16:creationId xmlns:a16="http://schemas.microsoft.com/office/drawing/2014/main" id="{00000000-0008-0000-0400-00001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6" name="Picture 9" descr="Sverige">
          <a:hlinkClick xmlns:r="http://schemas.openxmlformats.org/officeDocument/2006/relationships" r:id="rId93"/>
          <a:extLst>
            <a:ext uri="{FF2B5EF4-FFF2-40B4-BE49-F238E27FC236}">
              <a16:creationId xmlns:a16="http://schemas.microsoft.com/office/drawing/2014/main" id="{00000000-0008-0000-0400-00001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7" name="Picture 11" descr="Suomi">
          <a:hlinkClick xmlns:r="http://schemas.openxmlformats.org/officeDocument/2006/relationships" r:id="rId94"/>
          <a:extLst>
            <a:ext uri="{FF2B5EF4-FFF2-40B4-BE49-F238E27FC236}">
              <a16:creationId xmlns:a16="http://schemas.microsoft.com/office/drawing/2014/main" id="{00000000-0008-0000-0400-00001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8" name="Picture 12" descr="España">
          <a:hlinkClick xmlns:r="http://schemas.openxmlformats.org/officeDocument/2006/relationships" r:id="rId90"/>
          <a:extLst>
            <a:ext uri="{FF2B5EF4-FFF2-40B4-BE49-F238E27FC236}">
              <a16:creationId xmlns:a16="http://schemas.microsoft.com/office/drawing/2014/main" id="{00000000-0008-0000-0400-00001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9" name="Picture 13" descr="Nederland">
          <a:hlinkClick xmlns:r="http://schemas.openxmlformats.org/officeDocument/2006/relationships" r:id="rId95"/>
          <a:extLst>
            <a:ext uri="{FF2B5EF4-FFF2-40B4-BE49-F238E27FC236}">
              <a16:creationId xmlns:a16="http://schemas.microsoft.com/office/drawing/2014/main" id="{00000000-0008-0000-0400-00001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0" name="Picture 14" descr="Italia">
          <a:hlinkClick xmlns:r="http://schemas.openxmlformats.org/officeDocument/2006/relationships" r:id="rId96"/>
          <a:extLst>
            <a:ext uri="{FF2B5EF4-FFF2-40B4-BE49-F238E27FC236}">
              <a16:creationId xmlns:a16="http://schemas.microsoft.com/office/drawing/2014/main" id="{00000000-0008-0000-0400-00001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1" name="Picture 16" descr="España">
          <a:hlinkClick xmlns:r="http://schemas.openxmlformats.org/officeDocument/2006/relationships" r:id="rId90"/>
          <a:extLst>
            <a:ext uri="{FF2B5EF4-FFF2-40B4-BE49-F238E27FC236}">
              <a16:creationId xmlns:a16="http://schemas.microsoft.com/office/drawing/2014/main" id="{00000000-0008-0000-0400-00001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2" name="Picture 18" descr="France">
          <a:hlinkClick xmlns:r="http://schemas.openxmlformats.org/officeDocument/2006/relationships" r:id="rId97"/>
          <a:extLst>
            <a:ext uri="{FF2B5EF4-FFF2-40B4-BE49-F238E27FC236}">
              <a16:creationId xmlns:a16="http://schemas.microsoft.com/office/drawing/2014/main" id="{00000000-0008-0000-0400-00001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3" name="Picture 19" descr="France">
          <a:hlinkClick xmlns:r="http://schemas.openxmlformats.org/officeDocument/2006/relationships" r:id="rId97"/>
          <a:extLst>
            <a:ext uri="{FF2B5EF4-FFF2-40B4-BE49-F238E27FC236}">
              <a16:creationId xmlns:a16="http://schemas.microsoft.com/office/drawing/2014/main" id="{00000000-0008-0000-0400-00001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4" name="Picture 21" descr="Argentina">
          <a:hlinkClick xmlns:r="http://schemas.openxmlformats.org/officeDocument/2006/relationships" r:id="rId98"/>
          <a:extLst>
            <a:ext uri="{FF2B5EF4-FFF2-40B4-BE49-F238E27FC236}">
              <a16:creationId xmlns:a16="http://schemas.microsoft.com/office/drawing/2014/main" id="{00000000-0008-0000-0400-00001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5" name="Picture 23" descr="España">
          <a:hlinkClick xmlns:r="http://schemas.openxmlformats.org/officeDocument/2006/relationships" r:id="rId90"/>
          <a:extLst>
            <a:ext uri="{FF2B5EF4-FFF2-40B4-BE49-F238E27FC236}">
              <a16:creationId xmlns:a16="http://schemas.microsoft.com/office/drawing/2014/main" id="{00000000-0008-0000-0400-00001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6" name="Picture 25" descr="Lubnan">
          <a:hlinkClick xmlns:r="http://schemas.openxmlformats.org/officeDocument/2006/relationships" r:id="rId99"/>
          <a:extLst>
            <a:ext uri="{FF2B5EF4-FFF2-40B4-BE49-F238E27FC236}">
              <a16:creationId xmlns:a16="http://schemas.microsoft.com/office/drawing/2014/main" id="{00000000-0008-0000-0400-00001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7" name="Picture 27" descr="Magyarország">
          <a:hlinkClick xmlns:r="http://schemas.openxmlformats.org/officeDocument/2006/relationships" r:id="rId100"/>
          <a:extLst>
            <a:ext uri="{FF2B5EF4-FFF2-40B4-BE49-F238E27FC236}">
              <a16:creationId xmlns:a16="http://schemas.microsoft.com/office/drawing/2014/main" id="{00000000-0008-0000-0400-00001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8" name="Picture 29" descr="Uruguay">
          <a:hlinkClick xmlns:r="http://schemas.openxmlformats.org/officeDocument/2006/relationships" r:id="rId101"/>
          <a:extLst>
            <a:ext uri="{FF2B5EF4-FFF2-40B4-BE49-F238E27FC236}">
              <a16:creationId xmlns:a16="http://schemas.microsoft.com/office/drawing/2014/main" id="{00000000-0008-0000-0400-00002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9" name="Picture 30" descr="Italia">
          <a:hlinkClick xmlns:r="http://schemas.openxmlformats.org/officeDocument/2006/relationships" r:id="rId96"/>
          <a:extLst>
            <a:ext uri="{FF2B5EF4-FFF2-40B4-BE49-F238E27FC236}">
              <a16:creationId xmlns:a16="http://schemas.microsoft.com/office/drawing/2014/main" id="{00000000-0008-0000-0400-00002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0" name="Picture 31" descr="Nederland">
          <a:hlinkClick xmlns:r="http://schemas.openxmlformats.org/officeDocument/2006/relationships" r:id="rId95"/>
          <a:extLst>
            <a:ext uri="{FF2B5EF4-FFF2-40B4-BE49-F238E27FC236}">
              <a16:creationId xmlns:a16="http://schemas.microsoft.com/office/drawing/2014/main" id="{00000000-0008-0000-0400-00002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1" name="Picture 32" descr="Italia">
          <a:hlinkClick xmlns:r="http://schemas.openxmlformats.org/officeDocument/2006/relationships" r:id="rId96"/>
          <a:extLst>
            <a:ext uri="{FF2B5EF4-FFF2-40B4-BE49-F238E27FC236}">
              <a16:creationId xmlns:a16="http://schemas.microsoft.com/office/drawing/2014/main" id="{00000000-0008-0000-0400-00002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2" name="Picture 34" descr="Deutschland">
          <a:hlinkClick xmlns:r="http://schemas.openxmlformats.org/officeDocument/2006/relationships" r:id="rId102"/>
          <a:extLst>
            <a:ext uri="{FF2B5EF4-FFF2-40B4-BE49-F238E27FC236}">
              <a16:creationId xmlns:a16="http://schemas.microsoft.com/office/drawing/2014/main" id="{00000000-0008-0000-0400-00002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3" name="Picture 36" descr="Israel">
          <a:hlinkClick xmlns:r="http://schemas.openxmlformats.org/officeDocument/2006/relationships" r:id="rId103"/>
          <a:extLst>
            <a:ext uri="{FF2B5EF4-FFF2-40B4-BE49-F238E27FC236}">
              <a16:creationId xmlns:a16="http://schemas.microsoft.com/office/drawing/2014/main" id="{00000000-0008-0000-0400-00002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4" name="Picture 37" descr="Slovensko">
          <a:hlinkClick xmlns:r="http://schemas.openxmlformats.org/officeDocument/2006/relationships" r:id="rId104"/>
          <a:extLst>
            <a:ext uri="{FF2B5EF4-FFF2-40B4-BE49-F238E27FC236}">
              <a16:creationId xmlns:a16="http://schemas.microsoft.com/office/drawing/2014/main" id="{00000000-0008-0000-0400-00002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5" name="Picture 2" descr="España">
          <a:hlinkClick xmlns:r="http://schemas.openxmlformats.org/officeDocument/2006/relationships" r:id="rId90"/>
          <a:extLst>
            <a:ext uri="{FF2B5EF4-FFF2-40B4-BE49-F238E27FC236}">
              <a16:creationId xmlns:a16="http://schemas.microsoft.com/office/drawing/2014/main" id="{00000000-0008-0000-0400-00002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6" name="Picture 3" descr="USA">
          <a:hlinkClick xmlns:r="http://schemas.openxmlformats.org/officeDocument/2006/relationships" r:id="rId91"/>
          <a:extLst>
            <a:ext uri="{FF2B5EF4-FFF2-40B4-BE49-F238E27FC236}">
              <a16:creationId xmlns:a16="http://schemas.microsoft.com/office/drawing/2014/main" id="{00000000-0008-0000-0400-00002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7" name="Picture 5" descr="España">
          <a:hlinkClick xmlns:r="http://schemas.openxmlformats.org/officeDocument/2006/relationships" r:id="rId90"/>
          <a:extLst>
            <a:ext uri="{FF2B5EF4-FFF2-40B4-BE49-F238E27FC236}">
              <a16:creationId xmlns:a16="http://schemas.microsoft.com/office/drawing/2014/main" id="{00000000-0008-0000-0400-00002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8" name="Picture 6" descr="España">
          <a:hlinkClick xmlns:r="http://schemas.openxmlformats.org/officeDocument/2006/relationships" r:id="rId90"/>
          <a:extLst>
            <a:ext uri="{FF2B5EF4-FFF2-40B4-BE49-F238E27FC236}">
              <a16:creationId xmlns:a16="http://schemas.microsoft.com/office/drawing/2014/main" id="{00000000-0008-0000-0400-00002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9" name="Picture 8" descr="Česká republika">
          <a:hlinkClick xmlns:r="http://schemas.openxmlformats.org/officeDocument/2006/relationships" r:id="rId92"/>
          <a:extLst>
            <a:ext uri="{FF2B5EF4-FFF2-40B4-BE49-F238E27FC236}">
              <a16:creationId xmlns:a16="http://schemas.microsoft.com/office/drawing/2014/main" id="{00000000-0008-0000-0400-00002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0" name="Picture 9" descr="Sverige">
          <a:hlinkClick xmlns:r="http://schemas.openxmlformats.org/officeDocument/2006/relationships" r:id="rId93"/>
          <a:extLst>
            <a:ext uri="{FF2B5EF4-FFF2-40B4-BE49-F238E27FC236}">
              <a16:creationId xmlns:a16="http://schemas.microsoft.com/office/drawing/2014/main" id="{00000000-0008-0000-0400-00002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1" name="Picture 11" descr="Suomi">
          <a:hlinkClick xmlns:r="http://schemas.openxmlformats.org/officeDocument/2006/relationships" r:id="rId94"/>
          <a:extLst>
            <a:ext uri="{FF2B5EF4-FFF2-40B4-BE49-F238E27FC236}">
              <a16:creationId xmlns:a16="http://schemas.microsoft.com/office/drawing/2014/main" id="{00000000-0008-0000-0400-00002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2" name="Picture 12" descr="España">
          <a:hlinkClick xmlns:r="http://schemas.openxmlformats.org/officeDocument/2006/relationships" r:id="rId90"/>
          <a:extLst>
            <a:ext uri="{FF2B5EF4-FFF2-40B4-BE49-F238E27FC236}">
              <a16:creationId xmlns:a16="http://schemas.microsoft.com/office/drawing/2014/main" id="{00000000-0008-0000-0400-00002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3" name="Picture 13" descr="Nederland">
          <a:hlinkClick xmlns:r="http://schemas.openxmlformats.org/officeDocument/2006/relationships" r:id="rId95"/>
          <a:extLst>
            <a:ext uri="{FF2B5EF4-FFF2-40B4-BE49-F238E27FC236}">
              <a16:creationId xmlns:a16="http://schemas.microsoft.com/office/drawing/2014/main" id="{00000000-0008-0000-0400-00002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4" name="Picture 14" descr="Italia">
          <a:hlinkClick xmlns:r="http://schemas.openxmlformats.org/officeDocument/2006/relationships" r:id="rId96"/>
          <a:extLst>
            <a:ext uri="{FF2B5EF4-FFF2-40B4-BE49-F238E27FC236}">
              <a16:creationId xmlns:a16="http://schemas.microsoft.com/office/drawing/2014/main" id="{00000000-0008-0000-0400-00003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5" name="Picture 16" descr="España">
          <a:hlinkClick xmlns:r="http://schemas.openxmlformats.org/officeDocument/2006/relationships" r:id="rId90"/>
          <a:extLst>
            <a:ext uri="{FF2B5EF4-FFF2-40B4-BE49-F238E27FC236}">
              <a16:creationId xmlns:a16="http://schemas.microsoft.com/office/drawing/2014/main" id="{00000000-0008-0000-0400-00003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6" name="Picture 18" descr="France">
          <a:hlinkClick xmlns:r="http://schemas.openxmlformats.org/officeDocument/2006/relationships" r:id="rId97"/>
          <a:extLst>
            <a:ext uri="{FF2B5EF4-FFF2-40B4-BE49-F238E27FC236}">
              <a16:creationId xmlns:a16="http://schemas.microsoft.com/office/drawing/2014/main" id="{00000000-0008-0000-0400-00003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7" name="Picture 19" descr="France">
          <a:hlinkClick xmlns:r="http://schemas.openxmlformats.org/officeDocument/2006/relationships" r:id="rId97"/>
          <a:extLst>
            <a:ext uri="{FF2B5EF4-FFF2-40B4-BE49-F238E27FC236}">
              <a16:creationId xmlns:a16="http://schemas.microsoft.com/office/drawing/2014/main" id="{00000000-0008-0000-0400-00003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8" name="Picture 21" descr="Argentina">
          <a:hlinkClick xmlns:r="http://schemas.openxmlformats.org/officeDocument/2006/relationships" r:id="rId98"/>
          <a:extLst>
            <a:ext uri="{FF2B5EF4-FFF2-40B4-BE49-F238E27FC236}">
              <a16:creationId xmlns:a16="http://schemas.microsoft.com/office/drawing/2014/main" id="{00000000-0008-0000-0400-00003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9" name="Picture 23" descr="España">
          <a:hlinkClick xmlns:r="http://schemas.openxmlformats.org/officeDocument/2006/relationships" r:id="rId90"/>
          <a:extLst>
            <a:ext uri="{FF2B5EF4-FFF2-40B4-BE49-F238E27FC236}">
              <a16:creationId xmlns:a16="http://schemas.microsoft.com/office/drawing/2014/main" id="{00000000-0008-0000-0400-00003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0" name="Picture 25" descr="Lubnan">
          <a:hlinkClick xmlns:r="http://schemas.openxmlformats.org/officeDocument/2006/relationships" r:id="rId99"/>
          <a:extLst>
            <a:ext uri="{FF2B5EF4-FFF2-40B4-BE49-F238E27FC236}">
              <a16:creationId xmlns:a16="http://schemas.microsoft.com/office/drawing/2014/main" id="{00000000-0008-0000-0400-00003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1" name="Picture 27" descr="Magyarország">
          <a:hlinkClick xmlns:r="http://schemas.openxmlformats.org/officeDocument/2006/relationships" r:id="rId100"/>
          <a:extLst>
            <a:ext uri="{FF2B5EF4-FFF2-40B4-BE49-F238E27FC236}">
              <a16:creationId xmlns:a16="http://schemas.microsoft.com/office/drawing/2014/main" id="{00000000-0008-0000-0400-00003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2" name="Picture 29" descr="Uruguay">
          <a:hlinkClick xmlns:r="http://schemas.openxmlformats.org/officeDocument/2006/relationships" r:id="rId101"/>
          <a:extLst>
            <a:ext uri="{FF2B5EF4-FFF2-40B4-BE49-F238E27FC236}">
              <a16:creationId xmlns:a16="http://schemas.microsoft.com/office/drawing/2014/main" id="{00000000-0008-0000-0400-00003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3" name="Picture 30" descr="Italia">
          <a:hlinkClick xmlns:r="http://schemas.openxmlformats.org/officeDocument/2006/relationships" r:id="rId96"/>
          <a:extLst>
            <a:ext uri="{FF2B5EF4-FFF2-40B4-BE49-F238E27FC236}">
              <a16:creationId xmlns:a16="http://schemas.microsoft.com/office/drawing/2014/main" id="{00000000-0008-0000-0400-00003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4" name="Picture 31" descr="Nederland">
          <a:hlinkClick xmlns:r="http://schemas.openxmlformats.org/officeDocument/2006/relationships" r:id="rId95"/>
          <a:extLst>
            <a:ext uri="{FF2B5EF4-FFF2-40B4-BE49-F238E27FC236}">
              <a16:creationId xmlns:a16="http://schemas.microsoft.com/office/drawing/2014/main" id="{00000000-0008-0000-0400-00003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5" name="Picture 32" descr="Italia">
          <a:hlinkClick xmlns:r="http://schemas.openxmlformats.org/officeDocument/2006/relationships" r:id="rId96"/>
          <a:extLst>
            <a:ext uri="{FF2B5EF4-FFF2-40B4-BE49-F238E27FC236}">
              <a16:creationId xmlns:a16="http://schemas.microsoft.com/office/drawing/2014/main" id="{00000000-0008-0000-0400-00003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6" name="Picture 34" descr="Deutschland">
          <a:hlinkClick xmlns:r="http://schemas.openxmlformats.org/officeDocument/2006/relationships" r:id="rId102"/>
          <a:extLst>
            <a:ext uri="{FF2B5EF4-FFF2-40B4-BE49-F238E27FC236}">
              <a16:creationId xmlns:a16="http://schemas.microsoft.com/office/drawing/2014/main" id="{00000000-0008-0000-0400-00003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7" name="Picture 36" descr="Israel">
          <a:hlinkClick xmlns:r="http://schemas.openxmlformats.org/officeDocument/2006/relationships" r:id="rId103"/>
          <a:extLst>
            <a:ext uri="{FF2B5EF4-FFF2-40B4-BE49-F238E27FC236}">
              <a16:creationId xmlns:a16="http://schemas.microsoft.com/office/drawing/2014/main" id="{00000000-0008-0000-0400-00003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8" name="Picture 37" descr="Slovensko">
          <a:hlinkClick xmlns:r="http://schemas.openxmlformats.org/officeDocument/2006/relationships" r:id="rId104"/>
          <a:extLst>
            <a:ext uri="{FF2B5EF4-FFF2-40B4-BE49-F238E27FC236}">
              <a16:creationId xmlns:a16="http://schemas.microsoft.com/office/drawing/2014/main" id="{00000000-0008-0000-0400-00003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9" name="Picture 2" descr="España">
          <a:hlinkClick xmlns:r="http://schemas.openxmlformats.org/officeDocument/2006/relationships" r:id="rId90"/>
          <a:extLst>
            <a:ext uri="{FF2B5EF4-FFF2-40B4-BE49-F238E27FC236}">
              <a16:creationId xmlns:a16="http://schemas.microsoft.com/office/drawing/2014/main" id="{00000000-0008-0000-0400-00003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0" name="Picture 3" descr="USA">
          <a:hlinkClick xmlns:r="http://schemas.openxmlformats.org/officeDocument/2006/relationships" r:id="rId91"/>
          <a:extLst>
            <a:ext uri="{FF2B5EF4-FFF2-40B4-BE49-F238E27FC236}">
              <a16:creationId xmlns:a16="http://schemas.microsoft.com/office/drawing/2014/main" id="{00000000-0008-0000-0400-00004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1" name="Picture 5" descr="España">
          <a:hlinkClick xmlns:r="http://schemas.openxmlformats.org/officeDocument/2006/relationships" r:id="rId90"/>
          <a:extLst>
            <a:ext uri="{FF2B5EF4-FFF2-40B4-BE49-F238E27FC236}">
              <a16:creationId xmlns:a16="http://schemas.microsoft.com/office/drawing/2014/main" id="{00000000-0008-0000-0400-00004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2" name="Picture 6" descr="España">
          <a:hlinkClick xmlns:r="http://schemas.openxmlformats.org/officeDocument/2006/relationships" r:id="rId90"/>
          <a:extLst>
            <a:ext uri="{FF2B5EF4-FFF2-40B4-BE49-F238E27FC236}">
              <a16:creationId xmlns:a16="http://schemas.microsoft.com/office/drawing/2014/main" id="{00000000-0008-0000-0400-00004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3" name="Picture 8" descr="Česká republika">
          <a:hlinkClick xmlns:r="http://schemas.openxmlformats.org/officeDocument/2006/relationships" r:id="rId92"/>
          <a:extLst>
            <a:ext uri="{FF2B5EF4-FFF2-40B4-BE49-F238E27FC236}">
              <a16:creationId xmlns:a16="http://schemas.microsoft.com/office/drawing/2014/main" id="{00000000-0008-0000-0400-00004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4" name="Picture 9" descr="Sverige">
          <a:hlinkClick xmlns:r="http://schemas.openxmlformats.org/officeDocument/2006/relationships" r:id="rId93"/>
          <a:extLst>
            <a:ext uri="{FF2B5EF4-FFF2-40B4-BE49-F238E27FC236}">
              <a16:creationId xmlns:a16="http://schemas.microsoft.com/office/drawing/2014/main" id="{00000000-0008-0000-0400-00004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5" name="Picture 11" descr="Suomi">
          <a:hlinkClick xmlns:r="http://schemas.openxmlformats.org/officeDocument/2006/relationships" r:id="rId94"/>
          <a:extLst>
            <a:ext uri="{FF2B5EF4-FFF2-40B4-BE49-F238E27FC236}">
              <a16:creationId xmlns:a16="http://schemas.microsoft.com/office/drawing/2014/main" id="{00000000-0008-0000-0400-00004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6" name="Picture 12" descr="España">
          <a:hlinkClick xmlns:r="http://schemas.openxmlformats.org/officeDocument/2006/relationships" r:id="rId90"/>
          <a:extLst>
            <a:ext uri="{FF2B5EF4-FFF2-40B4-BE49-F238E27FC236}">
              <a16:creationId xmlns:a16="http://schemas.microsoft.com/office/drawing/2014/main" id="{00000000-0008-0000-0400-00004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7" name="Picture 13" descr="Nederland">
          <a:hlinkClick xmlns:r="http://schemas.openxmlformats.org/officeDocument/2006/relationships" r:id="rId95"/>
          <a:extLst>
            <a:ext uri="{FF2B5EF4-FFF2-40B4-BE49-F238E27FC236}">
              <a16:creationId xmlns:a16="http://schemas.microsoft.com/office/drawing/2014/main" id="{00000000-0008-0000-0400-00004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8" name="Picture 14" descr="Italia">
          <a:hlinkClick xmlns:r="http://schemas.openxmlformats.org/officeDocument/2006/relationships" r:id="rId96"/>
          <a:extLst>
            <a:ext uri="{FF2B5EF4-FFF2-40B4-BE49-F238E27FC236}">
              <a16:creationId xmlns:a16="http://schemas.microsoft.com/office/drawing/2014/main" id="{00000000-0008-0000-0400-00004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9" name="Picture 16" descr="España">
          <a:hlinkClick xmlns:r="http://schemas.openxmlformats.org/officeDocument/2006/relationships" r:id="rId90"/>
          <a:extLst>
            <a:ext uri="{FF2B5EF4-FFF2-40B4-BE49-F238E27FC236}">
              <a16:creationId xmlns:a16="http://schemas.microsoft.com/office/drawing/2014/main" id="{00000000-0008-0000-0400-00004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0" name="Picture 18" descr="France">
          <a:hlinkClick xmlns:r="http://schemas.openxmlformats.org/officeDocument/2006/relationships" r:id="rId97"/>
          <a:extLst>
            <a:ext uri="{FF2B5EF4-FFF2-40B4-BE49-F238E27FC236}">
              <a16:creationId xmlns:a16="http://schemas.microsoft.com/office/drawing/2014/main" id="{00000000-0008-0000-0400-00004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1" name="Picture 19" descr="France">
          <a:hlinkClick xmlns:r="http://schemas.openxmlformats.org/officeDocument/2006/relationships" r:id="rId97"/>
          <a:extLst>
            <a:ext uri="{FF2B5EF4-FFF2-40B4-BE49-F238E27FC236}">
              <a16:creationId xmlns:a16="http://schemas.microsoft.com/office/drawing/2014/main" id="{00000000-0008-0000-0400-00004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2" name="Picture 21" descr="Argentina">
          <a:hlinkClick xmlns:r="http://schemas.openxmlformats.org/officeDocument/2006/relationships" r:id="rId98"/>
          <a:extLst>
            <a:ext uri="{FF2B5EF4-FFF2-40B4-BE49-F238E27FC236}">
              <a16:creationId xmlns:a16="http://schemas.microsoft.com/office/drawing/2014/main" id="{00000000-0008-0000-0400-00004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3" name="Picture 23" descr="España">
          <a:hlinkClick xmlns:r="http://schemas.openxmlformats.org/officeDocument/2006/relationships" r:id="rId90"/>
          <a:extLst>
            <a:ext uri="{FF2B5EF4-FFF2-40B4-BE49-F238E27FC236}">
              <a16:creationId xmlns:a16="http://schemas.microsoft.com/office/drawing/2014/main" id="{00000000-0008-0000-0400-00004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4" name="Picture 25" descr="Lubnan">
          <a:hlinkClick xmlns:r="http://schemas.openxmlformats.org/officeDocument/2006/relationships" r:id="rId99"/>
          <a:extLst>
            <a:ext uri="{FF2B5EF4-FFF2-40B4-BE49-F238E27FC236}">
              <a16:creationId xmlns:a16="http://schemas.microsoft.com/office/drawing/2014/main" id="{00000000-0008-0000-0400-00004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5" name="Picture 27" descr="Magyarország">
          <a:hlinkClick xmlns:r="http://schemas.openxmlformats.org/officeDocument/2006/relationships" r:id="rId100"/>
          <a:extLst>
            <a:ext uri="{FF2B5EF4-FFF2-40B4-BE49-F238E27FC236}">
              <a16:creationId xmlns:a16="http://schemas.microsoft.com/office/drawing/2014/main" id="{00000000-0008-0000-0400-00004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6" name="Picture 29" descr="Uruguay">
          <a:hlinkClick xmlns:r="http://schemas.openxmlformats.org/officeDocument/2006/relationships" r:id="rId101"/>
          <a:extLst>
            <a:ext uri="{FF2B5EF4-FFF2-40B4-BE49-F238E27FC236}">
              <a16:creationId xmlns:a16="http://schemas.microsoft.com/office/drawing/2014/main" id="{00000000-0008-0000-0400-00005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7" name="Picture 30" descr="Italia">
          <a:hlinkClick xmlns:r="http://schemas.openxmlformats.org/officeDocument/2006/relationships" r:id="rId96"/>
          <a:extLst>
            <a:ext uri="{FF2B5EF4-FFF2-40B4-BE49-F238E27FC236}">
              <a16:creationId xmlns:a16="http://schemas.microsoft.com/office/drawing/2014/main" id="{00000000-0008-0000-0400-00005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8" name="Picture 31" descr="Nederland">
          <a:hlinkClick xmlns:r="http://schemas.openxmlformats.org/officeDocument/2006/relationships" r:id="rId95"/>
          <a:extLst>
            <a:ext uri="{FF2B5EF4-FFF2-40B4-BE49-F238E27FC236}">
              <a16:creationId xmlns:a16="http://schemas.microsoft.com/office/drawing/2014/main" id="{00000000-0008-0000-0400-00005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9" name="Picture 32" descr="Italia">
          <a:hlinkClick xmlns:r="http://schemas.openxmlformats.org/officeDocument/2006/relationships" r:id="rId96"/>
          <a:extLst>
            <a:ext uri="{FF2B5EF4-FFF2-40B4-BE49-F238E27FC236}">
              <a16:creationId xmlns:a16="http://schemas.microsoft.com/office/drawing/2014/main" id="{00000000-0008-0000-0400-00005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0" name="Picture 34" descr="Deutschland">
          <a:hlinkClick xmlns:r="http://schemas.openxmlformats.org/officeDocument/2006/relationships" r:id="rId102"/>
          <a:extLst>
            <a:ext uri="{FF2B5EF4-FFF2-40B4-BE49-F238E27FC236}">
              <a16:creationId xmlns:a16="http://schemas.microsoft.com/office/drawing/2014/main" id="{00000000-0008-0000-0400-00005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1" name="Picture 36" descr="Israel">
          <a:hlinkClick xmlns:r="http://schemas.openxmlformats.org/officeDocument/2006/relationships" r:id="rId103"/>
          <a:extLst>
            <a:ext uri="{FF2B5EF4-FFF2-40B4-BE49-F238E27FC236}">
              <a16:creationId xmlns:a16="http://schemas.microsoft.com/office/drawing/2014/main" id="{00000000-0008-0000-0400-00005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2" name="Picture 37" descr="Slovensko">
          <a:hlinkClick xmlns:r="http://schemas.openxmlformats.org/officeDocument/2006/relationships" r:id="rId104"/>
          <a:extLst>
            <a:ext uri="{FF2B5EF4-FFF2-40B4-BE49-F238E27FC236}">
              <a16:creationId xmlns:a16="http://schemas.microsoft.com/office/drawing/2014/main" id="{00000000-0008-0000-0400-00005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3" name="Picture 2" descr="España">
          <a:hlinkClick xmlns:r="http://schemas.openxmlformats.org/officeDocument/2006/relationships" r:id="rId90"/>
          <a:extLst>
            <a:ext uri="{FF2B5EF4-FFF2-40B4-BE49-F238E27FC236}">
              <a16:creationId xmlns:a16="http://schemas.microsoft.com/office/drawing/2014/main" id="{00000000-0008-0000-0400-00005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4" name="Picture 3" descr="USA">
          <a:hlinkClick xmlns:r="http://schemas.openxmlformats.org/officeDocument/2006/relationships" r:id="rId91"/>
          <a:extLst>
            <a:ext uri="{FF2B5EF4-FFF2-40B4-BE49-F238E27FC236}">
              <a16:creationId xmlns:a16="http://schemas.microsoft.com/office/drawing/2014/main" id="{00000000-0008-0000-0400-00005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5" name="Picture 5" descr="España">
          <a:hlinkClick xmlns:r="http://schemas.openxmlformats.org/officeDocument/2006/relationships" r:id="rId90"/>
          <a:extLst>
            <a:ext uri="{FF2B5EF4-FFF2-40B4-BE49-F238E27FC236}">
              <a16:creationId xmlns:a16="http://schemas.microsoft.com/office/drawing/2014/main" id="{00000000-0008-0000-0400-00005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6" name="Picture 6" descr="España">
          <a:hlinkClick xmlns:r="http://schemas.openxmlformats.org/officeDocument/2006/relationships" r:id="rId90"/>
          <a:extLst>
            <a:ext uri="{FF2B5EF4-FFF2-40B4-BE49-F238E27FC236}">
              <a16:creationId xmlns:a16="http://schemas.microsoft.com/office/drawing/2014/main" id="{00000000-0008-0000-0400-00005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7" name="Picture 8" descr="Česká republika">
          <a:hlinkClick xmlns:r="http://schemas.openxmlformats.org/officeDocument/2006/relationships" r:id="rId92"/>
          <a:extLst>
            <a:ext uri="{FF2B5EF4-FFF2-40B4-BE49-F238E27FC236}">
              <a16:creationId xmlns:a16="http://schemas.microsoft.com/office/drawing/2014/main" id="{00000000-0008-0000-0400-00005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8" name="Picture 9" descr="Sverige">
          <a:hlinkClick xmlns:r="http://schemas.openxmlformats.org/officeDocument/2006/relationships" r:id="rId93"/>
          <a:extLst>
            <a:ext uri="{FF2B5EF4-FFF2-40B4-BE49-F238E27FC236}">
              <a16:creationId xmlns:a16="http://schemas.microsoft.com/office/drawing/2014/main" id="{00000000-0008-0000-0400-00005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9" name="Picture 11" descr="Suomi">
          <a:hlinkClick xmlns:r="http://schemas.openxmlformats.org/officeDocument/2006/relationships" r:id="rId94"/>
          <a:extLst>
            <a:ext uri="{FF2B5EF4-FFF2-40B4-BE49-F238E27FC236}">
              <a16:creationId xmlns:a16="http://schemas.microsoft.com/office/drawing/2014/main" id="{00000000-0008-0000-0400-00005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0" name="Picture 12" descr="España">
          <a:hlinkClick xmlns:r="http://schemas.openxmlformats.org/officeDocument/2006/relationships" r:id="rId90"/>
          <a:extLst>
            <a:ext uri="{FF2B5EF4-FFF2-40B4-BE49-F238E27FC236}">
              <a16:creationId xmlns:a16="http://schemas.microsoft.com/office/drawing/2014/main" id="{00000000-0008-0000-0400-00005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1" name="Picture 13" descr="Nederland">
          <a:hlinkClick xmlns:r="http://schemas.openxmlformats.org/officeDocument/2006/relationships" r:id="rId95"/>
          <a:extLst>
            <a:ext uri="{FF2B5EF4-FFF2-40B4-BE49-F238E27FC236}">
              <a16:creationId xmlns:a16="http://schemas.microsoft.com/office/drawing/2014/main" id="{00000000-0008-0000-0400-00005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2" name="Picture 14" descr="Italia">
          <a:hlinkClick xmlns:r="http://schemas.openxmlformats.org/officeDocument/2006/relationships" r:id="rId96"/>
          <a:extLst>
            <a:ext uri="{FF2B5EF4-FFF2-40B4-BE49-F238E27FC236}">
              <a16:creationId xmlns:a16="http://schemas.microsoft.com/office/drawing/2014/main" id="{00000000-0008-0000-0400-00006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3" name="Picture 16" descr="España">
          <a:hlinkClick xmlns:r="http://schemas.openxmlformats.org/officeDocument/2006/relationships" r:id="rId90"/>
          <a:extLst>
            <a:ext uri="{FF2B5EF4-FFF2-40B4-BE49-F238E27FC236}">
              <a16:creationId xmlns:a16="http://schemas.microsoft.com/office/drawing/2014/main" id="{00000000-0008-0000-0400-00006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4" name="Picture 18" descr="France">
          <a:hlinkClick xmlns:r="http://schemas.openxmlformats.org/officeDocument/2006/relationships" r:id="rId97"/>
          <a:extLst>
            <a:ext uri="{FF2B5EF4-FFF2-40B4-BE49-F238E27FC236}">
              <a16:creationId xmlns:a16="http://schemas.microsoft.com/office/drawing/2014/main" id="{00000000-0008-0000-0400-00006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5" name="Picture 19" descr="France">
          <a:hlinkClick xmlns:r="http://schemas.openxmlformats.org/officeDocument/2006/relationships" r:id="rId97"/>
          <a:extLst>
            <a:ext uri="{FF2B5EF4-FFF2-40B4-BE49-F238E27FC236}">
              <a16:creationId xmlns:a16="http://schemas.microsoft.com/office/drawing/2014/main" id="{00000000-0008-0000-0400-00006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6" name="Picture 21" descr="Argentina">
          <a:hlinkClick xmlns:r="http://schemas.openxmlformats.org/officeDocument/2006/relationships" r:id="rId98"/>
          <a:extLst>
            <a:ext uri="{FF2B5EF4-FFF2-40B4-BE49-F238E27FC236}">
              <a16:creationId xmlns:a16="http://schemas.microsoft.com/office/drawing/2014/main" id="{00000000-0008-0000-0400-00006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7" name="Picture 23" descr="España">
          <a:hlinkClick xmlns:r="http://schemas.openxmlformats.org/officeDocument/2006/relationships" r:id="rId90"/>
          <a:extLst>
            <a:ext uri="{FF2B5EF4-FFF2-40B4-BE49-F238E27FC236}">
              <a16:creationId xmlns:a16="http://schemas.microsoft.com/office/drawing/2014/main" id="{00000000-0008-0000-0400-00006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8" name="Picture 25" descr="Lubnan">
          <a:hlinkClick xmlns:r="http://schemas.openxmlformats.org/officeDocument/2006/relationships" r:id="rId99"/>
          <a:extLst>
            <a:ext uri="{FF2B5EF4-FFF2-40B4-BE49-F238E27FC236}">
              <a16:creationId xmlns:a16="http://schemas.microsoft.com/office/drawing/2014/main" id="{00000000-0008-0000-0400-00006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9" name="Picture 27" descr="Magyarország">
          <a:hlinkClick xmlns:r="http://schemas.openxmlformats.org/officeDocument/2006/relationships" r:id="rId100"/>
          <a:extLst>
            <a:ext uri="{FF2B5EF4-FFF2-40B4-BE49-F238E27FC236}">
              <a16:creationId xmlns:a16="http://schemas.microsoft.com/office/drawing/2014/main" id="{00000000-0008-0000-0400-00006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0" name="Picture 29" descr="Uruguay">
          <a:hlinkClick xmlns:r="http://schemas.openxmlformats.org/officeDocument/2006/relationships" r:id="rId101"/>
          <a:extLst>
            <a:ext uri="{FF2B5EF4-FFF2-40B4-BE49-F238E27FC236}">
              <a16:creationId xmlns:a16="http://schemas.microsoft.com/office/drawing/2014/main" id="{00000000-0008-0000-0400-00006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1" name="Picture 30" descr="Italia">
          <a:hlinkClick xmlns:r="http://schemas.openxmlformats.org/officeDocument/2006/relationships" r:id="rId96"/>
          <a:extLst>
            <a:ext uri="{FF2B5EF4-FFF2-40B4-BE49-F238E27FC236}">
              <a16:creationId xmlns:a16="http://schemas.microsoft.com/office/drawing/2014/main" id="{00000000-0008-0000-0400-00006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2" name="Picture 31" descr="Nederland">
          <a:hlinkClick xmlns:r="http://schemas.openxmlformats.org/officeDocument/2006/relationships" r:id="rId95"/>
          <a:extLst>
            <a:ext uri="{FF2B5EF4-FFF2-40B4-BE49-F238E27FC236}">
              <a16:creationId xmlns:a16="http://schemas.microsoft.com/office/drawing/2014/main" id="{00000000-0008-0000-0400-00006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3" name="Picture 32" descr="Italia">
          <a:hlinkClick xmlns:r="http://schemas.openxmlformats.org/officeDocument/2006/relationships" r:id="rId96"/>
          <a:extLst>
            <a:ext uri="{FF2B5EF4-FFF2-40B4-BE49-F238E27FC236}">
              <a16:creationId xmlns:a16="http://schemas.microsoft.com/office/drawing/2014/main" id="{00000000-0008-0000-0400-00006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4" name="Picture 34" descr="Deutschland">
          <a:hlinkClick xmlns:r="http://schemas.openxmlformats.org/officeDocument/2006/relationships" r:id="rId102"/>
          <a:extLst>
            <a:ext uri="{FF2B5EF4-FFF2-40B4-BE49-F238E27FC236}">
              <a16:creationId xmlns:a16="http://schemas.microsoft.com/office/drawing/2014/main" id="{00000000-0008-0000-0400-00006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5" name="Picture 36" descr="Israel">
          <a:hlinkClick xmlns:r="http://schemas.openxmlformats.org/officeDocument/2006/relationships" r:id="rId103"/>
          <a:extLst>
            <a:ext uri="{FF2B5EF4-FFF2-40B4-BE49-F238E27FC236}">
              <a16:creationId xmlns:a16="http://schemas.microsoft.com/office/drawing/2014/main" id="{00000000-0008-0000-0400-00006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6" name="Picture 37" descr="Slovensko">
          <a:hlinkClick xmlns:r="http://schemas.openxmlformats.org/officeDocument/2006/relationships" r:id="rId104"/>
          <a:extLst>
            <a:ext uri="{FF2B5EF4-FFF2-40B4-BE49-F238E27FC236}">
              <a16:creationId xmlns:a16="http://schemas.microsoft.com/office/drawing/2014/main" id="{00000000-0008-0000-0400-00006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67" name="Picture 2" descr="España">
          <a:hlinkClick xmlns:r="http://schemas.openxmlformats.org/officeDocument/2006/relationships" r:id="rId90"/>
          <a:extLst>
            <a:ext uri="{FF2B5EF4-FFF2-40B4-BE49-F238E27FC236}">
              <a16:creationId xmlns:a16="http://schemas.microsoft.com/office/drawing/2014/main" id="{00000000-0008-0000-0400-00006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68" name="Picture 3" descr="USA">
          <a:hlinkClick xmlns:r="http://schemas.openxmlformats.org/officeDocument/2006/relationships" r:id="rId91"/>
          <a:extLst>
            <a:ext uri="{FF2B5EF4-FFF2-40B4-BE49-F238E27FC236}">
              <a16:creationId xmlns:a16="http://schemas.microsoft.com/office/drawing/2014/main" id="{00000000-0008-0000-0400-00007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69" name="Picture 5" descr="España">
          <a:hlinkClick xmlns:r="http://schemas.openxmlformats.org/officeDocument/2006/relationships" r:id="rId90"/>
          <a:extLst>
            <a:ext uri="{FF2B5EF4-FFF2-40B4-BE49-F238E27FC236}">
              <a16:creationId xmlns:a16="http://schemas.microsoft.com/office/drawing/2014/main" id="{00000000-0008-0000-0400-00007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0" name="Picture 6" descr="España">
          <a:hlinkClick xmlns:r="http://schemas.openxmlformats.org/officeDocument/2006/relationships" r:id="rId90"/>
          <a:extLst>
            <a:ext uri="{FF2B5EF4-FFF2-40B4-BE49-F238E27FC236}">
              <a16:creationId xmlns:a16="http://schemas.microsoft.com/office/drawing/2014/main" id="{00000000-0008-0000-0400-00007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1" name="Picture 8" descr="Česká republika">
          <a:hlinkClick xmlns:r="http://schemas.openxmlformats.org/officeDocument/2006/relationships" r:id="rId92"/>
          <a:extLst>
            <a:ext uri="{FF2B5EF4-FFF2-40B4-BE49-F238E27FC236}">
              <a16:creationId xmlns:a16="http://schemas.microsoft.com/office/drawing/2014/main" id="{00000000-0008-0000-0400-00007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2" name="Picture 9" descr="Sverige">
          <a:hlinkClick xmlns:r="http://schemas.openxmlformats.org/officeDocument/2006/relationships" r:id="rId93"/>
          <a:extLst>
            <a:ext uri="{FF2B5EF4-FFF2-40B4-BE49-F238E27FC236}">
              <a16:creationId xmlns:a16="http://schemas.microsoft.com/office/drawing/2014/main" id="{00000000-0008-0000-0400-00007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3" name="Picture 11" descr="Suomi">
          <a:hlinkClick xmlns:r="http://schemas.openxmlformats.org/officeDocument/2006/relationships" r:id="rId94"/>
          <a:extLst>
            <a:ext uri="{FF2B5EF4-FFF2-40B4-BE49-F238E27FC236}">
              <a16:creationId xmlns:a16="http://schemas.microsoft.com/office/drawing/2014/main" id="{00000000-0008-0000-0400-00007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4" name="Picture 12" descr="España">
          <a:hlinkClick xmlns:r="http://schemas.openxmlformats.org/officeDocument/2006/relationships" r:id="rId90"/>
          <a:extLst>
            <a:ext uri="{FF2B5EF4-FFF2-40B4-BE49-F238E27FC236}">
              <a16:creationId xmlns:a16="http://schemas.microsoft.com/office/drawing/2014/main" id="{00000000-0008-0000-0400-00007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5" name="Picture 13" descr="Nederland">
          <a:hlinkClick xmlns:r="http://schemas.openxmlformats.org/officeDocument/2006/relationships" r:id="rId95"/>
          <a:extLst>
            <a:ext uri="{FF2B5EF4-FFF2-40B4-BE49-F238E27FC236}">
              <a16:creationId xmlns:a16="http://schemas.microsoft.com/office/drawing/2014/main" id="{00000000-0008-0000-0400-00007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6" name="Picture 14" descr="Italia">
          <a:hlinkClick xmlns:r="http://schemas.openxmlformats.org/officeDocument/2006/relationships" r:id="rId96"/>
          <a:extLst>
            <a:ext uri="{FF2B5EF4-FFF2-40B4-BE49-F238E27FC236}">
              <a16:creationId xmlns:a16="http://schemas.microsoft.com/office/drawing/2014/main" id="{00000000-0008-0000-0400-00007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7" name="Picture 16" descr="España">
          <a:hlinkClick xmlns:r="http://schemas.openxmlformats.org/officeDocument/2006/relationships" r:id="rId90"/>
          <a:extLst>
            <a:ext uri="{FF2B5EF4-FFF2-40B4-BE49-F238E27FC236}">
              <a16:creationId xmlns:a16="http://schemas.microsoft.com/office/drawing/2014/main" id="{00000000-0008-0000-0400-00007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8" name="Picture 18" descr="France">
          <a:hlinkClick xmlns:r="http://schemas.openxmlformats.org/officeDocument/2006/relationships" r:id="rId97"/>
          <a:extLst>
            <a:ext uri="{FF2B5EF4-FFF2-40B4-BE49-F238E27FC236}">
              <a16:creationId xmlns:a16="http://schemas.microsoft.com/office/drawing/2014/main" id="{00000000-0008-0000-0400-00007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9" name="Picture 19" descr="France">
          <a:hlinkClick xmlns:r="http://schemas.openxmlformats.org/officeDocument/2006/relationships" r:id="rId97"/>
          <a:extLst>
            <a:ext uri="{FF2B5EF4-FFF2-40B4-BE49-F238E27FC236}">
              <a16:creationId xmlns:a16="http://schemas.microsoft.com/office/drawing/2014/main" id="{00000000-0008-0000-0400-00007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0" name="Picture 21" descr="Argentina">
          <a:hlinkClick xmlns:r="http://schemas.openxmlformats.org/officeDocument/2006/relationships" r:id="rId98"/>
          <a:extLst>
            <a:ext uri="{FF2B5EF4-FFF2-40B4-BE49-F238E27FC236}">
              <a16:creationId xmlns:a16="http://schemas.microsoft.com/office/drawing/2014/main" id="{00000000-0008-0000-0400-00007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1" name="Picture 23" descr="España">
          <a:hlinkClick xmlns:r="http://schemas.openxmlformats.org/officeDocument/2006/relationships" r:id="rId90"/>
          <a:extLst>
            <a:ext uri="{FF2B5EF4-FFF2-40B4-BE49-F238E27FC236}">
              <a16:creationId xmlns:a16="http://schemas.microsoft.com/office/drawing/2014/main" id="{00000000-0008-0000-0400-00007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2" name="Picture 25" descr="Lubnan">
          <a:hlinkClick xmlns:r="http://schemas.openxmlformats.org/officeDocument/2006/relationships" r:id="rId99"/>
          <a:extLst>
            <a:ext uri="{FF2B5EF4-FFF2-40B4-BE49-F238E27FC236}">
              <a16:creationId xmlns:a16="http://schemas.microsoft.com/office/drawing/2014/main" id="{00000000-0008-0000-0400-00007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3" name="Picture 27" descr="Magyarország">
          <a:hlinkClick xmlns:r="http://schemas.openxmlformats.org/officeDocument/2006/relationships" r:id="rId100"/>
          <a:extLst>
            <a:ext uri="{FF2B5EF4-FFF2-40B4-BE49-F238E27FC236}">
              <a16:creationId xmlns:a16="http://schemas.microsoft.com/office/drawing/2014/main" id="{00000000-0008-0000-0400-00007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4" name="Picture 29" descr="Uruguay">
          <a:hlinkClick xmlns:r="http://schemas.openxmlformats.org/officeDocument/2006/relationships" r:id="rId101"/>
          <a:extLst>
            <a:ext uri="{FF2B5EF4-FFF2-40B4-BE49-F238E27FC236}">
              <a16:creationId xmlns:a16="http://schemas.microsoft.com/office/drawing/2014/main" id="{00000000-0008-0000-0400-00008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5" name="Picture 30" descr="Italia">
          <a:hlinkClick xmlns:r="http://schemas.openxmlformats.org/officeDocument/2006/relationships" r:id="rId96"/>
          <a:extLst>
            <a:ext uri="{FF2B5EF4-FFF2-40B4-BE49-F238E27FC236}">
              <a16:creationId xmlns:a16="http://schemas.microsoft.com/office/drawing/2014/main" id="{00000000-0008-0000-0400-00008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6" name="Picture 31" descr="Nederland">
          <a:hlinkClick xmlns:r="http://schemas.openxmlformats.org/officeDocument/2006/relationships" r:id="rId95"/>
          <a:extLst>
            <a:ext uri="{FF2B5EF4-FFF2-40B4-BE49-F238E27FC236}">
              <a16:creationId xmlns:a16="http://schemas.microsoft.com/office/drawing/2014/main" id="{00000000-0008-0000-0400-00008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7" name="Picture 32" descr="Italia">
          <a:hlinkClick xmlns:r="http://schemas.openxmlformats.org/officeDocument/2006/relationships" r:id="rId96"/>
          <a:extLst>
            <a:ext uri="{FF2B5EF4-FFF2-40B4-BE49-F238E27FC236}">
              <a16:creationId xmlns:a16="http://schemas.microsoft.com/office/drawing/2014/main" id="{00000000-0008-0000-0400-00008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8" name="Picture 34" descr="Deutschland">
          <a:hlinkClick xmlns:r="http://schemas.openxmlformats.org/officeDocument/2006/relationships" r:id="rId102"/>
          <a:extLst>
            <a:ext uri="{FF2B5EF4-FFF2-40B4-BE49-F238E27FC236}">
              <a16:creationId xmlns:a16="http://schemas.microsoft.com/office/drawing/2014/main" id="{00000000-0008-0000-0400-00008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9" name="Picture 36" descr="Israel">
          <a:hlinkClick xmlns:r="http://schemas.openxmlformats.org/officeDocument/2006/relationships" r:id="rId103"/>
          <a:extLst>
            <a:ext uri="{FF2B5EF4-FFF2-40B4-BE49-F238E27FC236}">
              <a16:creationId xmlns:a16="http://schemas.microsoft.com/office/drawing/2014/main" id="{00000000-0008-0000-0400-00008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90" name="Picture 37" descr="Slovensko">
          <a:hlinkClick xmlns:r="http://schemas.openxmlformats.org/officeDocument/2006/relationships" r:id="rId104"/>
          <a:extLst>
            <a:ext uri="{FF2B5EF4-FFF2-40B4-BE49-F238E27FC236}">
              <a16:creationId xmlns:a16="http://schemas.microsoft.com/office/drawing/2014/main" id="{00000000-0008-0000-0400-00008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1" name="Picture 2" descr="España">
          <a:hlinkClick xmlns:r="http://schemas.openxmlformats.org/officeDocument/2006/relationships" r:id="rId90"/>
          <a:extLst>
            <a:ext uri="{FF2B5EF4-FFF2-40B4-BE49-F238E27FC236}">
              <a16:creationId xmlns:a16="http://schemas.microsoft.com/office/drawing/2014/main" id="{00000000-0008-0000-0400-00008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2" name="Picture 3" descr="USA">
          <a:hlinkClick xmlns:r="http://schemas.openxmlformats.org/officeDocument/2006/relationships" r:id="rId91"/>
          <a:extLst>
            <a:ext uri="{FF2B5EF4-FFF2-40B4-BE49-F238E27FC236}">
              <a16:creationId xmlns:a16="http://schemas.microsoft.com/office/drawing/2014/main" id="{00000000-0008-0000-0400-00008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3" name="Picture 5" descr="España">
          <a:hlinkClick xmlns:r="http://schemas.openxmlformats.org/officeDocument/2006/relationships" r:id="rId90"/>
          <a:extLst>
            <a:ext uri="{FF2B5EF4-FFF2-40B4-BE49-F238E27FC236}">
              <a16:creationId xmlns:a16="http://schemas.microsoft.com/office/drawing/2014/main" id="{00000000-0008-0000-0400-00008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4" name="Picture 6" descr="España">
          <a:hlinkClick xmlns:r="http://schemas.openxmlformats.org/officeDocument/2006/relationships" r:id="rId90"/>
          <a:extLst>
            <a:ext uri="{FF2B5EF4-FFF2-40B4-BE49-F238E27FC236}">
              <a16:creationId xmlns:a16="http://schemas.microsoft.com/office/drawing/2014/main" id="{00000000-0008-0000-0400-00008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5" name="Picture 8" descr="Česká republika">
          <a:hlinkClick xmlns:r="http://schemas.openxmlformats.org/officeDocument/2006/relationships" r:id="rId92"/>
          <a:extLst>
            <a:ext uri="{FF2B5EF4-FFF2-40B4-BE49-F238E27FC236}">
              <a16:creationId xmlns:a16="http://schemas.microsoft.com/office/drawing/2014/main" id="{00000000-0008-0000-0400-00008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6" name="Picture 9" descr="Sverige">
          <a:hlinkClick xmlns:r="http://schemas.openxmlformats.org/officeDocument/2006/relationships" r:id="rId93"/>
          <a:extLst>
            <a:ext uri="{FF2B5EF4-FFF2-40B4-BE49-F238E27FC236}">
              <a16:creationId xmlns:a16="http://schemas.microsoft.com/office/drawing/2014/main" id="{00000000-0008-0000-0400-00008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7" name="Picture 11" descr="Suomi">
          <a:hlinkClick xmlns:r="http://schemas.openxmlformats.org/officeDocument/2006/relationships" r:id="rId94"/>
          <a:extLst>
            <a:ext uri="{FF2B5EF4-FFF2-40B4-BE49-F238E27FC236}">
              <a16:creationId xmlns:a16="http://schemas.microsoft.com/office/drawing/2014/main" id="{00000000-0008-0000-0400-00008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8" name="Picture 12" descr="España">
          <a:hlinkClick xmlns:r="http://schemas.openxmlformats.org/officeDocument/2006/relationships" r:id="rId90"/>
          <a:extLst>
            <a:ext uri="{FF2B5EF4-FFF2-40B4-BE49-F238E27FC236}">
              <a16:creationId xmlns:a16="http://schemas.microsoft.com/office/drawing/2014/main" id="{00000000-0008-0000-0400-00008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9" name="Picture 13" descr="Nederland">
          <a:hlinkClick xmlns:r="http://schemas.openxmlformats.org/officeDocument/2006/relationships" r:id="rId95"/>
          <a:extLst>
            <a:ext uri="{FF2B5EF4-FFF2-40B4-BE49-F238E27FC236}">
              <a16:creationId xmlns:a16="http://schemas.microsoft.com/office/drawing/2014/main" id="{00000000-0008-0000-0400-00008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0" name="Picture 14" descr="Italia">
          <a:hlinkClick xmlns:r="http://schemas.openxmlformats.org/officeDocument/2006/relationships" r:id="rId96"/>
          <a:extLst>
            <a:ext uri="{FF2B5EF4-FFF2-40B4-BE49-F238E27FC236}">
              <a16:creationId xmlns:a16="http://schemas.microsoft.com/office/drawing/2014/main" id="{00000000-0008-0000-0400-00009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1" name="Picture 16" descr="España">
          <a:hlinkClick xmlns:r="http://schemas.openxmlformats.org/officeDocument/2006/relationships" r:id="rId90"/>
          <a:extLst>
            <a:ext uri="{FF2B5EF4-FFF2-40B4-BE49-F238E27FC236}">
              <a16:creationId xmlns:a16="http://schemas.microsoft.com/office/drawing/2014/main" id="{00000000-0008-0000-0400-00009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2" name="Picture 18" descr="France">
          <a:hlinkClick xmlns:r="http://schemas.openxmlformats.org/officeDocument/2006/relationships" r:id="rId97"/>
          <a:extLst>
            <a:ext uri="{FF2B5EF4-FFF2-40B4-BE49-F238E27FC236}">
              <a16:creationId xmlns:a16="http://schemas.microsoft.com/office/drawing/2014/main" id="{00000000-0008-0000-0400-00009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3" name="Picture 19" descr="France">
          <a:hlinkClick xmlns:r="http://schemas.openxmlformats.org/officeDocument/2006/relationships" r:id="rId97"/>
          <a:extLst>
            <a:ext uri="{FF2B5EF4-FFF2-40B4-BE49-F238E27FC236}">
              <a16:creationId xmlns:a16="http://schemas.microsoft.com/office/drawing/2014/main" id="{00000000-0008-0000-0400-00009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4" name="Picture 21" descr="Argentina">
          <a:hlinkClick xmlns:r="http://schemas.openxmlformats.org/officeDocument/2006/relationships" r:id="rId98"/>
          <a:extLst>
            <a:ext uri="{FF2B5EF4-FFF2-40B4-BE49-F238E27FC236}">
              <a16:creationId xmlns:a16="http://schemas.microsoft.com/office/drawing/2014/main" id="{00000000-0008-0000-0400-00009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5" name="Picture 23" descr="España">
          <a:hlinkClick xmlns:r="http://schemas.openxmlformats.org/officeDocument/2006/relationships" r:id="rId90"/>
          <a:extLst>
            <a:ext uri="{FF2B5EF4-FFF2-40B4-BE49-F238E27FC236}">
              <a16:creationId xmlns:a16="http://schemas.microsoft.com/office/drawing/2014/main" id="{00000000-0008-0000-0400-00009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6" name="Picture 25" descr="Lubnan">
          <a:hlinkClick xmlns:r="http://schemas.openxmlformats.org/officeDocument/2006/relationships" r:id="rId99"/>
          <a:extLst>
            <a:ext uri="{FF2B5EF4-FFF2-40B4-BE49-F238E27FC236}">
              <a16:creationId xmlns:a16="http://schemas.microsoft.com/office/drawing/2014/main" id="{00000000-0008-0000-0400-00009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7" name="Picture 27" descr="Magyarország">
          <a:hlinkClick xmlns:r="http://schemas.openxmlformats.org/officeDocument/2006/relationships" r:id="rId100"/>
          <a:extLst>
            <a:ext uri="{FF2B5EF4-FFF2-40B4-BE49-F238E27FC236}">
              <a16:creationId xmlns:a16="http://schemas.microsoft.com/office/drawing/2014/main" id="{00000000-0008-0000-0400-00009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8" name="Picture 29" descr="Uruguay">
          <a:hlinkClick xmlns:r="http://schemas.openxmlformats.org/officeDocument/2006/relationships" r:id="rId101"/>
          <a:extLst>
            <a:ext uri="{FF2B5EF4-FFF2-40B4-BE49-F238E27FC236}">
              <a16:creationId xmlns:a16="http://schemas.microsoft.com/office/drawing/2014/main" id="{00000000-0008-0000-0400-00009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9" name="Picture 30" descr="Italia">
          <a:hlinkClick xmlns:r="http://schemas.openxmlformats.org/officeDocument/2006/relationships" r:id="rId96"/>
          <a:extLst>
            <a:ext uri="{FF2B5EF4-FFF2-40B4-BE49-F238E27FC236}">
              <a16:creationId xmlns:a16="http://schemas.microsoft.com/office/drawing/2014/main" id="{00000000-0008-0000-0400-00009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0" name="Picture 31" descr="Nederland">
          <a:hlinkClick xmlns:r="http://schemas.openxmlformats.org/officeDocument/2006/relationships" r:id="rId95"/>
          <a:extLst>
            <a:ext uri="{FF2B5EF4-FFF2-40B4-BE49-F238E27FC236}">
              <a16:creationId xmlns:a16="http://schemas.microsoft.com/office/drawing/2014/main" id="{00000000-0008-0000-0400-00009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1" name="Picture 32" descr="Italia">
          <a:hlinkClick xmlns:r="http://schemas.openxmlformats.org/officeDocument/2006/relationships" r:id="rId96"/>
          <a:extLst>
            <a:ext uri="{FF2B5EF4-FFF2-40B4-BE49-F238E27FC236}">
              <a16:creationId xmlns:a16="http://schemas.microsoft.com/office/drawing/2014/main" id="{00000000-0008-0000-0400-00009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2" name="Picture 34" descr="Deutschland">
          <a:hlinkClick xmlns:r="http://schemas.openxmlformats.org/officeDocument/2006/relationships" r:id="rId102"/>
          <a:extLst>
            <a:ext uri="{FF2B5EF4-FFF2-40B4-BE49-F238E27FC236}">
              <a16:creationId xmlns:a16="http://schemas.microsoft.com/office/drawing/2014/main" id="{00000000-0008-0000-0400-00009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3" name="Picture 36" descr="Israel">
          <a:hlinkClick xmlns:r="http://schemas.openxmlformats.org/officeDocument/2006/relationships" r:id="rId103"/>
          <a:extLst>
            <a:ext uri="{FF2B5EF4-FFF2-40B4-BE49-F238E27FC236}">
              <a16:creationId xmlns:a16="http://schemas.microsoft.com/office/drawing/2014/main" id="{00000000-0008-0000-0400-00009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4" name="Picture 37" descr="Slovensko">
          <a:hlinkClick xmlns:r="http://schemas.openxmlformats.org/officeDocument/2006/relationships" r:id="rId104"/>
          <a:extLst>
            <a:ext uri="{FF2B5EF4-FFF2-40B4-BE49-F238E27FC236}">
              <a16:creationId xmlns:a16="http://schemas.microsoft.com/office/drawing/2014/main" id="{00000000-0008-0000-0400-00009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5" name="Picture 2" descr="España">
          <a:hlinkClick xmlns:r="http://schemas.openxmlformats.org/officeDocument/2006/relationships" r:id="rId90"/>
          <a:extLst>
            <a:ext uri="{FF2B5EF4-FFF2-40B4-BE49-F238E27FC236}">
              <a16:creationId xmlns:a16="http://schemas.microsoft.com/office/drawing/2014/main" id="{00000000-0008-0000-0400-00009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6" name="Picture 3" descr="USA">
          <a:hlinkClick xmlns:r="http://schemas.openxmlformats.org/officeDocument/2006/relationships" r:id="rId91"/>
          <a:extLst>
            <a:ext uri="{FF2B5EF4-FFF2-40B4-BE49-F238E27FC236}">
              <a16:creationId xmlns:a16="http://schemas.microsoft.com/office/drawing/2014/main" id="{00000000-0008-0000-0400-0000A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7" name="Picture 5" descr="España">
          <a:hlinkClick xmlns:r="http://schemas.openxmlformats.org/officeDocument/2006/relationships" r:id="rId90"/>
          <a:extLst>
            <a:ext uri="{FF2B5EF4-FFF2-40B4-BE49-F238E27FC236}">
              <a16:creationId xmlns:a16="http://schemas.microsoft.com/office/drawing/2014/main" id="{00000000-0008-0000-0400-0000A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8" name="Picture 6" descr="España">
          <a:hlinkClick xmlns:r="http://schemas.openxmlformats.org/officeDocument/2006/relationships" r:id="rId90"/>
          <a:extLst>
            <a:ext uri="{FF2B5EF4-FFF2-40B4-BE49-F238E27FC236}">
              <a16:creationId xmlns:a16="http://schemas.microsoft.com/office/drawing/2014/main" id="{00000000-0008-0000-0400-0000A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9" name="Picture 8" descr="Česká republika">
          <a:hlinkClick xmlns:r="http://schemas.openxmlformats.org/officeDocument/2006/relationships" r:id="rId92"/>
          <a:extLst>
            <a:ext uri="{FF2B5EF4-FFF2-40B4-BE49-F238E27FC236}">
              <a16:creationId xmlns:a16="http://schemas.microsoft.com/office/drawing/2014/main" id="{00000000-0008-0000-0400-0000A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0" name="Picture 9" descr="Sverige">
          <a:hlinkClick xmlns:r="http://schemas.openxmlformats.org/officeDocument/2006/relationships" r:id="rId93"/>
          <a:extLst>
            <a:ext uri="{FF2B5EF4-FFF2-40B4-BE49-F238E27FC236}">
              <a16:creationId xmlns:a16="http://schemas.microsoft.com/office/drawing/2014/main" id="{00000000-0008-0000-0400-0000A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1" name="Picture 11" descr="Suomi">
          <a:hlinkClick xmlns:r="http://schemas.openxmlformats.org/officeDocument/2006/relationships" r:id="rId94"/>
          <a:extLst>
            <a:ext uri="{FF2B5EF4-FFF2-40B4-BE49-F238E27FC236}">
              <a16:creationId xmlns:a16="http://schemas.microsoft.com/office/drawing/2014/main" id="{00000000-0008-0000-0400-0000A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2" name="Picture 12" descr="España">
          <a:hlinkClick xmlns:r="http://schemas.openxmlformats.org/officeDocument/2006/relationships" r:id="rId90"/>
          <a:extLst>
            <a:ext uri="{FF2B5EF4-FFF2-40B4-BE49-F238E27FC236}">
              <a16:creationId xmlns:a16="http://schemas.microsoft.com/office/drawing/2014/main" id="{00000000-0008-0000-0400-0000A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3" name="Picture 13" descr="Nederland">
          <a:hlinkClick xmlns:r="http://schemas.openxmlformats.org/officeDocument/2006/relationships" r:id="rId95"/>
          <a:extLst>
            <a:ext uri="{FF2B5EF4-FFF2-40B4-BE49-F238E27FC236}">
              <a16:creationId xmlns:a16="http://schemas.microsoft.com/office/drawing/2014/main" id="{00000000-0008-0000-0400-0000A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4" name="Picture 14" descr="Italia">
          <a:hlinkClick xmlns:r="http://schemas.openxmlformats.org/officeDocument/2006/relationships" r:id="rId96"/>
          <a:extLst>
            <a:ext uri="{FF2B5EF4-FFF2-40B4-BE49-F238E27FC236}">
              <a16:creationId xmlns:a16="http://schemas.microsoft.com/office/drawing/2014/main" id="{00000000-0008-0000-0400-0000A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5" name="Picture 16" descr="España">
          <a:hlinkClick xmlns:r="http://schemas.openxmlformats.org/officeDocument/2006/relationships" r:id="rId90"/>
          <a:extLst>
            <a:ext uri="{FF2B5EF4-FFF2-40B4-BE49-F238E27FC236}">
              <a16:creationId xmlns:a16="http://schemas.microsoft.com/office/drawing/2014/main" id="{00000000-0008-0000-0400-0000A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6" name="Picture 18" descr="France">
          <a:hlinkClick xmlns:r="http://schemas.openxmlformats.org/officeDocument/2006/relationships" r:id="rId97"/>
          <a:extLst>
            <a:ext uri="{FF2B5EF4-FFF2-40B4-BE49-F238E27FC236}">
              <a16:creationId xmlns:a16="http://schemas.microsoft.com/office/drawing/2014/main" id="{00000000-0008-0000-0400-0000A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7" name="Picture 19" descr="France">
          <a:hlinkClick xmlns:r="http://schemas.openxmlformats.org/officeDocument/2006/relationships" r:id="rId97"/>
          <a:extLst>
            <a:ext uri="{FF2B5EF4-FFF2-40B4-BE49-F238E27FC236}">
              <a16:creationId xmlns:a16="http://schemas.microsoft.com/office/drawing/2014/main" id="{00000000-0008-0000-0400-0000A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8" name="Picture 21" descr="Argentina">
          <a:hlinkClick xmlns:r="http://schemas.openxmlformats.org/officeDocument/2006/relationships" r:id="rId98"/>
          <a:extLst>
            <a:ext uri="{FF2B5EF4-FFF2-40B4-BE49-F238E27FC236}">
              <a16:creationId xmlns:a16="http://schemas.microsoft.com/office/drawing/2014/main" id="{00000000-0008-0000-0400-0000A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9" name="Picture 23" descr="España">
          <a:hlinkClick xmlns:r="http://schemas.openxmlformats.org/officeDocument/2006/relationships" r:id="rId90"/>
          <a:extLst>
            <a:ext uri="{FF2B5EF4-FFF2-40B4-BE49-F238E27FC236}">
              <a16:creationId xmlns:a16="http://schemas.microsoft.com/office/drawing/2014/main" id="{00000000-0008-0000-0400-0000A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0" name="Picture 25" descr="Lubnan">
          <a:hlinkClick xmlns:r="http://schemas.openxmlformats.org/officeDocument/2006/relationships" r:id="rId99"/>
          <a:extLst>
            <a:ext uri="{FF2B5EF4-FFF2-40B4-BE49-F238E27FC236}">
              <a16:creationId xmlns:a16="http://schemas.microsoft.com/office/drawing/2014/main" id="{00000000-0008-0000-0400-0000A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1" name="Picture 27" descr="Magyarország">
          <a:hlinkClick xmlns:r="http://schemas.openxmlformats.org/officeDocument/2006/relationships" r:id="rId100"/>
          <a:extLst>
            <a:ext uri="{FF2B5EF4-FFF2-40B4-BE49-F238E27FC236}">
              <a16:creationId xmlns:a16="http://schemas.microsoft.com/office/drawing/2014/main" id="{00000000-0008-0000-0400-0000A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2" name="Picture 29" descr="Uruguay">
          <a:hlinkClick xmlns:r="http://schemas.openxmlformats.org/officeDocument/2006/relationships" r:id="rId101"/>
          <a:extLst>
            <a:ext uri="{FF2B5EF4-FFF2-40B4-BE49-F238E27FC236}">
              <a16:creationId xmlns:a16="http://schemas.microsoft.com/office/drawing/2014/main" id="{00000000-0008-0000-0400-0000B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3" name="Picture 30" descr="Italia">
          <a:hlinkClick xmlns:r="http://schemas.openxmlformats.org/officeDocument/2006/relationships" r:id="rId96"/>
          <a:extLst>
            <a:ext uri="{FF2B5EF4-FFF2-40B4-BE49-F238E27FC236}">
              <a16:creationId xmlns:a16="http://schemas.microsoft.com/office/drawing/2014/main" id="{00000000-0008-0000-0400-0000B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4" name="Picture 31" descr="Nederland">
          <a:hlinkClick xmlns:r="http://schemas.openxmlformats.org/officeDocument/2006/relationships" r:id="rId95"/>
          <a:extLst>
            <a:ext uri="{FF2B5EF4-FFF2-40B4-BE49-F238E27FC236}">
              <a16:creationId xmlns:a16="http://schemas.microsoft.com/office/drawing/2014/main" id="{00000000-0008-0000-0400-0000B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5" name="Picture 32" descr="Italia">
          <a:hlinkClick xmlns:r="http://schemas.openxmlformats.org/officeDocument/2006/relationships" r:id="rId96"/>
          <a:extLst>
            <a:ext uri="{FF2B5EF4-FFF2-40B4-BE49-F238E27FC236}">
              <a16:creationId xmlns:a16="http://schemas.microsoft.com/office/drawing/2014/main" id="{00000000-0008-0000-0400-0000B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6" name="Picture 34" descr="Deutschland">
          <a:hlinkClick xmlns:r="http://schemas.openxmlformats.org/officeDocument/2006/relationships" r:id="rId102"/>
          <a:extLst>
            <a:ext uri="{FF2B5EF4-FFF2-40B4-BE49-F238E27FC236}">
              <a16:creationId xmlns:a16="http://schemas.microsoft.com/office/drawing/2014/main" id="{00000000-0008-0000-0400-0000B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7" name="Picture 36" descr="Israel">
          <a:hlinkClick xmlns:r="http://schemas.openxmlformats.org/officeDocument/2006/relationships" r:id="rId103"/>
          <a:extLst>
            <a:ext uri="{FF2B5EF4-FFF2-40B4-BE49-F238E27FC236}">
              <a16:creationId xmlns:a16="http://schemas.microsoft.com/office/drawing/2014/main" id="{00000000-0008-0000-0400-0000B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8" name="Picture 37" descr="Slovensko">
          <a:hlinkClick xmlns:r="http://schemas.openxmlformats.org/officeDocument/2006/relationships" r:id="rId104"/>
          <a:extLst>
            <a:ext uri="{FF2B5EF4-FFF2-40B4-BE49-F238E27FC236}">
              <a16:creationId xmlns:a16="http://schemas.microsoft.com/office/drawing/2014/main" id="{00000000-0008-0000-0400-0000B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9" name="Picture 2" descr="España">
          <a:hlinkClick xmlns:r="http://schemas.openxmlformats.org/officeDocument/2006/relationships" r:id="rId90"/>
          <a:extLst>
            <a:ext uri="{FF2B5EF4-FFF2-40B4-BE49-F238E27FC236}">
              <a16:creationId xmlns:a16="http://schemas.microsoft.com/office/drawing/2014/main" id="{00000000-0008-0000-0400-0000B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0" name="Picture 3" descr="USA">
          <a:hlinkClick xmlns:r="http://schemas.openxmlformats.org/officeDocument/2006/relationships" r:id="rId91"/>
          <a:extLst>
            <a:ext uri="{FF2B5EF4-FFF2-40B4-BE49-F238E27FC236}">
              <a16:creationId xmlns:a16="http://schemas.microsoft.com/office/drawing/2014/main" id="{00000000-0008-0000-0400-0000B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1" name="Picture 5" descr="España">
          <a:hlinkClick xmlns:r="http://schemas.openxmlformats.org/officeDocument/2006/relationships" r:id="rId90"/>
          <a:extLst>
            <a:ext uri="{FF2B5EF4-FFF2-40B4-BE49-F238E27FC236}">
              <a16:creationId xmlns:a16="http://schemas.microsoft.com/office/drawing/2014/main" id="{00000000-0008-0000-0400-0000B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2" name="Picture 6" descr="España">
          <a:hlinkClick xmlns:r="http://schemas.openxmlformats.org/officeDocument/2006/relationships" r:id="rId90"/>
          <a:extLst>
            <a:ext uri="{FF2B5EF4-FFF2-40B4-BE49-F238E27FC236}">
              <a16:creationId xmlns:a16="http://schemas.microsoft.com/office/drawing/2014/main" id="{00000000-0008-0000-0400-0000B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3" name="Picture 8" descr="Česká republika">
          <a:hlinkClick xmlns:r="http://schemas.openxmlformats.org/officeDocument/2006/relationships" r:id="rId92"/>
          <a:extLst>
            <a:ext uri="{FF2B5EF4-FFF2-40B4-BE49-F238E27FC236}">
              <a16:creationId xmlns:a16="http://schemas.microsoft.com/office/drawing/2014/main" id="{00000000-0008-0000-0400-0000B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4" name="Picture 9" descr="Sverige">
          <a:hlinkClick xmlns:r="http://schemas.openxmlformats.org/officeDocument/2006/relationships" r:id="rId93"/>
          <a:extLst>
            <a:ext uri="{FF2B5EF4-FFF2-40B4-BE49-F238E27FC236}">
              <a16:creationId xmlns:a16="http://schemas.microsoft.com/office/drawing/2014/main" id="{00000000-0008-0000-0400-0000B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5" name="Picture 11" descr="Suomi">
          <a:hlinkClick xmlns:r="http://schemas.openxmlformats.org/officeDocument/2006/relationships" r:id="rId94"/>
          <a:extLst>
            <a:ext uri="{FF2B5EF4-FFF2-40B4-BE49-F238E27FC236}">
              <a16:creationId xmlns:a16="http://schemas.microsoft.com/office/drawing/2014/main" id="{00000000-0008-0000-0400-0000B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6" name="Picture 12" descr="España">
          <a:hlinkClick xmlns:r="http://schemas.openxmlformats.org/officeDocument/2006/relationships" r:id="rId90"/>
          <a:extLst>
            <a:ext uri="{FF2B5EF4-FFF2-40B4-BE49-F238E27FC236}">
              <a16:creationId xmlns:a16="http://schemas.microsoft.com/office/drawing/2014/main" id="{00000000-0008-0000-0400-0000B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7" name="Picture 13" descr="Nederland">
          <a:hlinkClick xmlns:r="http://schemas.openxmlformats.org/officeDocument/2006/relationships" r:id="rId95"/>
          <a:extLst>
            <a:ext uri="{FF2B5EF4-FFF2-40B4-BE49-F238E27FC236}">
              <a16:creationId xmlns:a16="http://schemas.microsoft.com/office/drawing/2014/main" id="{00000000-0008-0000-0400-0000B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8" name="Picture 14" descr="Italia">
          <a:hlinkClick xmlns:r="http://schemas.openxmlformats.org/officeDocument/2006/relationships" r:id="rId96"/>
          <a:extLst>
            <a:ext uri="{FF2B5EF4-FFF2-40B4-BE49-F238E27FC236}">
              <a16:creationId xmlns:a16="http://schemas.microsoft.com/office/drawing/2014/main" id="{00000000-0008-0000-0400-0000C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9" name="Picture 16" descr="España">
          <a:hlinkClick xmlns:r="http://schemas.openxmlformats.org/officeDocument/2006/relationships" r:id="rId90"/>
          <a:extLst>
            <a:ext uri="{FF2B5EF4-FFF2-40B4-BE49-F238E27FC236}">
              <a16:creationId xmlns:a16="http://schemas.microsoft.com/office/drawing/2014/main" id="{00000000-0008-0000-0400-0000C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0" name="Picture 18" descr="France">
          <a:hlinkClick xmlns:r="http://schemas.openxmlformats.org/officeDocument/2006/relationships" r:id="rId97"/>
          <a:extLst>
            <a:ext uri="{FF2B5EF4-FFF2-40B4-BE49-F238E27FC236}">
              <a16:creationId xmlns:a16="http://schemas.microsoft.com/office/drawing/2014/main" id="{00000000-0008-0000-0400-0000C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1" name="Picture 19" descr="France">
          <a:hlinkClick xmlns:r="http://schemas.openxmlformats.org/officeDocument/2006/relationships" r:id="rId97"/>
          <a:extLst>
            <a:ext uri="{FF2B5EF4-FFF2-40B4-BE49-F238E27FC236}">
              <a16:creationId xmlns:a16="http://schemas.microsoft.com/office/drawing/2014/main" id="{00000000-0008-0000-0400-0000C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2" name="Picture 21" descr="Argentina">
          <a:hlinkClick xmlns:r="http://schemas.openxmlformats.org/officeDocument/2006/relationships" r:id="rId98"/>
          <a:extLst>
            <a:ext uri="{FF2B5EF4-FFF2-40B4-BE49-F238E27FC236}">
              <a16:creationId xmlns:a16="http://schemas.microsoft.com/office/drawing/2014/main" id="{00000000-0008-0000-0400-0000C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3" name="Picture 23" descr="España">
          <a:hlinkClick xmlns:r="http://schemas.openxmlformats.org/officeDocument/2006/relationships" r:id="rId90"/>
          <a:extLst>
            <a:ext uri="{FF2B5EF4-FFF2-40B4-BE49-F238E27FC236}">
              <a16:creationId xmlns:a16="http://schemas.microsoft.com/office/drawing/2014/main" id="{00000000-0008-0000-0400-0000C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4" name="Picture 25" descr="Lubnan">
          <a:hlinkClick xmlns:r="http://schemas.openxmlformats.org/officeDocument/2006/relationships" r:id="rId99"/>
          <a:extLst>
            <a:ext uri="{FF2B5EF4-FFF2-40B4-BE49-F238E27FC236}">
              <a16:creationId xmlns:a16="http://schemas.microsoft.com/office/drawing/2014/main" id="{00000000-0008-0000-0400-0000C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5" name="Picture 27" descr="Magyarország">
          <a:hlinkClick xmlns:r="http://schemas.openxmlformats.org/officeDocument/2006/relationships" r:id="rId100"/>
          <a:extLst>
            <a:ext uri="{FF2B5EF4-FFF2-40B4-BE49-F238E27FC236}">
              <a16:creationId xmlns:a16="http://schemas.microsoft.com/office/drawing/2014/main" id="{00000000-0008-0000-0400-0000C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6" name="Picture 29" descr="Uruguay">
          <a:hlinkClick xmlns:r="http://schemas.openxmlformats.org/officeDocument/2006/relationships" r:id="rId101"/>
          <a:extLst>
            <a:ext uri="{FF2B5EF4-FFF2-40B4-BE49-F238E27FC236}">
              <a16:creationId xmlns:a16="http://schemas.microsoft.com/office/drawing/2014/main" id="{00000000-0008-0000-0400-0000C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7" name="Picture 30" descr="Italia">
          <a:hlinkClick xmlns:r="http://schemas.openxmlformats.org/officeDocument/2006/relationships" r:id="rId96"/>
          <a:extLst>
            <a:ext uri="{FF2B5EF4-FFF2-40B4-BE49-F238E27FC236}">
              <a16:creationId xmlns:a16="http://schemas.microsoft.com/office/drawing/2014/main" id="{00000000-0008-0000-0400-0000C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8" name="Picture 31" descr="Nederland">
          <a:hlinkClick xmlns:r="http://schemas.openxmlformats.org/officeDocument/2006/relationships" r:id="rId95"/>
          <a:extLst>
            <a:ext uri="{FF2B5EF4-FFF2-40B4-BE49-F238E27FC236}">
              <a16:creationId xmlns:a16="http://schemas.microsoft.com/office/drawing/2014/main" id="{00000000-0008-0000-0400-0000C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9" name="Picture 32" descr="Italia">
          <a:hlinkClick xmlns:r="http://schemas.openxmlformats.org/officeDocument/2006/relationships" r:id="rId96"/>
          <a:extLst>
            <a:ext uri="{FF2B5EF4-FFF2-40B4-BE49-F238E27FC236}">
              <a16:creationId xmlns:a16="http://schemas.microsoft.com/office/drawing/2014/main" id="{00000000-0008-0000-0400-0000C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0" name="Picture 34" descr="Deutschland">
          <a:hlinkClick xmlns:r="http://schemas.openxmlformats.org/officeDocument/2006/relationships" r:id="rId102"/>
          <a:extLst>
            <a:ext uri="{FF2B5EF4-FFF2-40B4-BE49-F238E27FC236}">
              <a16:creationId xmlns:a16="http://schemas.microsoft.com/office/drawing/2014/main" id="{00000000-0008-0000-0400-0000C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1" name="Picture 36" descr="Israel">
          <a:hlinkClick xmlns:r="http://schemas.openxmlformats.org/officeDocument/2006/relationships" r:id="rId103"/>
          <a:extLst>
            <a:ext uri="{FF2B5EF4-FFF2-40B4-BE49-F238E27FC236}">
              <a16:creationId xmlns:a16="http://schemas.microsoft.com/office/drawing/2014/main" id="{00000000-0008-0000-0400-0000C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2" name="Picture 37" descr="Slovensko">
          <a:hlinkClick xmlns:r="http://schemas.openxmlformats.org/officeDocument/2006/relationships" r:id="rId104"/>
          <a:extLst>
            <a:ext uri="{FF2B5EF4-FFF2-40B4-BE49-F238E27FC236}">
              <a16:creationId xmlns:a16="http://schemas.microsoft.com/office/drawing/2014/main" id="{00000000-0008-0000-0400-0000C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3" name="Picture 2" descr="España">
          <a:hlinkClick xmlns:r="http://schemas.openxmlformats.org/officeDocument/2006/relationships" r:id="rId90"/>
          <a:extLst>
            <a:ext uri="{FF2B5EF4-FFF2-40B4-BE49-F238E27FC236}">
              <a16:creationId xmlns:a16="http://schemas.microsoft.com/office/drawing/2014/main" id="{00000000-0008-0000-0400-0000C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4" name="Picture 3" descr="USA">
          <a:hlinkClick xmlns:r="http://schemas.openxmlformats.org/officeDocument/2006/relationships" r:id="rId91"/>
          <a:extLst>
            <a:ext uri="{FF2B5EF4-FFF2-40B4-BE49-F238E27FC236}">
              <a16:creationId xmlns:a16="http://schemas.microsoft.com/office/drawing/2014/main" id="{00000000-0008-0000-0400-0000D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5" name="Picture 5" descr="España">
          <a:hlinkClick xmlns:r="http://schemas.openxmlformats.org/officeDocument/2006/relationships" r:id="rId90"/>
          <a:extLst>
            <a:ext uri="{FF2B5EF4-FFF2-40B4-BE49-F238E27FC236}">
              <a16:creationId xmlns:a16="http://schemas.microsoft.com/office/drawing/2014/main" id="{00000000-0008-0000-0400-0000D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6" name="Picture 6" descr="España">
          <a:hlinkClick xmlns:r="http://schemas.openxmlformats.org/officeDocument/2006/relationships" r:id="rId90"/>
          <a:extLst>
            <a:ext uri="{FF2B5EF4-FFF2-40B4-BE49-F238E27FC236}">
              <a16:creationId xmlns:a16="http://schemas.microsoft.com/office/drawing/2014/main" id="{00000000-0008-0000-0400-0000D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7" name="Picture 8" descr="Česká republika">
          <a:hlinkClick xmlns:r="http://schemas.openxmlformats.org/officeDocument/2006/relationships" r:id="rId92"/>
          <a:extLst>
            <a:ext uri="{FF2B5EF4-FFF2-40B4-BE49-F238E27FC236}">
              <a16:creationId xmlns:a16="http://schemas.microsoft.com/office/drawing/2014/main" id="{00000000-0008-0000-0400-0000D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8" name="Picture 9" descr="Sverige">
          <a:hlinkClick xmlns:r="http://schemas.openxmlformats.org/officeDocument/2006/relationships" r:id="rId93"/>
          <a:extLst>
            <a:ext uri="{FF2B5EF4-FFF2-40B4-BE49-F238E27FC236}">
              <a16:creationId xmlns:a16="http://schemas.microsoft.com/office/drawing/2014/main" id="{00000000-0008-0000-0400-0000D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9" name="Picture 11" descr="Suomi">
          <a:hlinkClick xmlns:r="http://schemas.openxmlformats.org/officeDocument/2006/relationships" r:id="rId94"/>
          <a:extLst>
            <a:ext uri="{FF2B5EF4-FFF2-40B4-BE49-F238E27FC236}">
              <a16:creationId xmlns:a16="http://schemas.microsoft.com/office/drawing/2014/main" id="{00000000-0008-0000-0400-0000D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0" name="Picture 12" descr="España">
          <a:hlinkClick xmlns:r="http://schemas.openxmlformats.org/officeDocument/2006/relationships" r:id="rId90"/>
          <a:extLst>
            <a:ext uri="{FF2B5EF4-FFF2-40B4-BE49-F238E27FC236}">
              <a16:creationId xmlns:a16="http://schemas.microsoft.com/office/drawing/2014/main" id="{00000000-0008-0000-0400-0000D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1" name="Picture 13" descr="Nederland">
          <a:hlinkClick xmlns:r="http://schemas.openxmlformats.org/officeDocument/2006/relationships" r:id="rId95"/>
          <a:extLst>
            <a:ext uri="{FF2B5EF4-FFF2-40B4-BE49-F238E27FC236}">
              <a16:creationId xmlns:a16="http://schemas.microsoft.com/office/drawing/2014/main" id="{00000000-0008-0000-0400-0000D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2" name="Picture 14" descr="Italia">
          <a:hlinkClick xmlns:r="http://schemas.openxmlformats.org/officeDocument/2006/relationships" r:id="rId96"/>
          <a:extLst>
            <a:ext uri="{FF2B5EF4-FFF2-40B4-BE49-F238E27FC236}">
              <a16:creationId xmlns:a16="http://schemas.microsoft.com/office/drawing/2014/main" id="{00000000-0008-0000-0400-0000D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3" name="Picture 16" descr="España">
          <a:hlinkClick xmlns:r="http://schemas.openxmlformats.org/officeDocument/2006/relationships" r:id="rId90"/>
          <a:extLst>
            <a:ext uri="{FF2B5EF4-FFF2-40B4-BE49-F238E27FC236}">
              <a16:creationId xmlns:a16="http://schemas.microsoft.com/office/drawing/2014/main" id="{00000000-0008-0000-0400-0000D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4" name="Picture 18" descr="France">
          <a:hlinkClick xmlns:r="http://schemas.openxmlformats.org/officeDocument/2006/relationships" r:id="rId97"/>
          <a:extLst>
            <a:ext uri="{FF2B5EF4-FFF2-40B4-BE49-F238E27FC236}">
              <a16:creationId xmlns:a16="http://schemas.microsoft.com/office/drawing/2014/main" id="{00000000-0008-0000-0400-0000D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5" name="Picture 19" descr="France">
          <a:hlinkClick xmlns:r="http://schemas.openxmlformats.org/officeDocument/2006/relationships" r:id="rId97"/>
          <a:extLst>
            <a:ext uri="{FF2B5EF4-FFF2-40B4-BE49-F238E27FC236}">
              <a16:creationId xmlns:a16="http://schemas.microsoft.com/office/drawing/2014/main" id="{00000000-0008-0000-0400-0000D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6" name="Picture 21" descr="Argentina">
          <a:hlinkClick xmlns:r="http://schemas.openxmlformats.org/officeDocument/2006/relationships" r:id="rId98"/>
          <a:extLst>
            <a:ext uri="{FF2B5EF4-FFF2-40B4-BE49-F238E27FC236}">
              <a16:creationId xmlns:a16="http://schemas.microsoft.com/office/drawing/2014/main" id="{00000000-0008-0000-0400-0000D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7" name="Picture 23" descr="España">
          <a:hlinkClick xmlns:r="http://schemas.openxmlformats.org/officeDocument/2006/relationships" r:id="rId90"/>
          <a:extLst>
            <a:ext uri="{FF2B5EF4-FFF2-40B4-BE49-F238E27FC236}">
              <a16:creationId xmlns:a16="http://schemas.microsoft.com/office/drawing/2014/main" id="{00000000-0008-0000-0400-0000D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8" name="Picture 25" descr="Lubnan">
          <a:hlinkClick xmlns:r="http://schemas.openxmlformats.org/officeDocument/2006/relationships" r:id="rId99"/>
          <a:extLst>
            <a:ext uri="{FF2B5EF4-FFF2-40B4-BE49-F238E27FC236}">
              <a16:creationId xmlns:a16="http://schemas.microsoft.com/office/drawing/2014/main" id="{00000000-0008-0000-0400-0000D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9" name="Picture 27" descr="Magyarország">
          <a:hlinkClick xmlns:r="http://schemas.openxmlformats.org/officeDocument/2006/relationships" r:id="rId100"/>
          <a:extLst>
            <a:ext uri="{FF2B5EF4-FFF2-40B4-BE49-F238E27FC236}">
              <a16:creationId xmlns:a16="http://schemas.microsoft.com/office/drawing/2014/main" id="{00000000-0008-0000-0400-0000D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0" name="Picture 29" descr="Uruguay">
          <a:hlinkClick xmlns:r="http://schemas.openxmlformats.org/officeDocument/2006/relationships" r:id="rId101"/>
          <a:extLst>
            <a:ext uri="{FF2B5EF4-FFF2-40B4-BE49-F238E27FC236}">
              <a16:creationId xmlns:a16="http://schemas.microsoft.com/office/drawing/2014/main" id="{00000000-0008-0000-0400-0000E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1" name="Picture 30" descr="Italia">
          <a:hlinkClick xmlns:r="http://schemas.openxmlformats.org/officeDocument/2006/relationships" r:id="rId96"/>
          <a:extLst>
            <a:ext uri="{FF2B5EF4-FFF2-40B4-BE49-F238E27FC236}">
              <a16:creationId xmlns:a16="http://schemas.microsoft.com/office/drawing/2014/main" id="{00000000-0008-0000-0400-0000E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2" name="Picture 31" descr="Nederland">
          <a:hlinkClick xmlns:r="http://schemas.openxmlformats.org/officeDocument/2006/relationships" r:id="rId95"/>
          <a:extLst>
            <a:ext uri="{FF2B5EF4-FFF2-40B4-BE49-F238E27FC236}">
              <a16:creationId xmlns:a16="http://schemas.microsoft.com/office/drawing/2014/main" id="{00000000-0008-0000-0400-0000E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3" name="Picture 32" descr="Italia">
          <a:hlinkClick xmlns:r="http://schemas.openxmlformats.org/officeDocument/2006/relationships" r:id="rId96"/>
          <a:extLst>
            <a:ext uri="{FF2B5EF4-FFF2-40B4-BE49-F238E27FC236}">
              <a16:creationId xmlns:a16="http://schemas.microsoft.com/office/drawing/2014/main" id="{00000000-0008-0000-0400-0000E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4" name="Picture 34" descr="Deutschland">
          <a:hlinkClick xmlns:r="http://schemas.openxmlformats.org/officeDocument/2006/relationships" r:id="rId102"/>
          <a:extLst>
            <a:ext uri="{FF2B5EF4-FFF2-40B4-BE49-F238E27FC236}">
              <a16:creationId xmlns:a16="http://schemas.microsoft.com/office/drawing/2014/main" id="{00000000-0008-0000-0400-0000E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5" name="Picture 36" descr="Israel">
          <a:hlinkClick xmlns:r="http://schemas.openxmlformats.org/officeDocument/2006/relationships" r:id="rId103"/>
          <a:extLst>
            <a:ext uri="{FF2B5EF4-FFF2-40B4-BE49-F238E27FC236}">
              <a16:creationId xmlns:a16="http://schemas.microsoft.com/office/drawing/2014/main" id="{00000000-0008-0000-0400-0000E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6" name="Picture 37" descr="Slovensko">
          <a:hlinkClick xmlns:r="http://schemas.openxmlformats.org/officeDocument/2006/relationships" r:id="rId104"/>
          <a:extLst>
            <a:ext uri="{FF2B5EF4-FFF2-40B4-BE49-F238E27FC236}">
              <a16:creationId xmlns:a16="http://schemas.microsoft.com/office/drawing/2014/main" id="{00000000-0008-0000-0400-0000E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7" name="Picture 2" descr="España">
          <a:hlinkClick xmlns:r="http://schemas.openxmlformats.org/officeDocument/2006/relationships" r:id="rId90"/>
          <a:extLst>
            <a:ext uri="{FF2B5EF4-FFF2-40B4-BE49-F238E27FC236}">
              <a16:creationId xmlns:a16="http://schemas.microsoft.com/office/drawing/2014/main" id="{00000000-0008-0000-0400-0000E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8" name="Picture 3" descr="USA">
          <a:hlinkClick xmlns:r="http://schemas.openxmlformats.org/officeDocument/2006/relationships" r:id="rId91"/>
          <a:extLst>
            <a:ext uri="{FF2B5EF4-FFF2-40B4-BE49-F238E27FC236}">
              <a16:creationId xmlns:a16="http://schemas.microsoft.com/office/drawing/2014/main" id="{00000000-0008-0000-0400-0000E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9" name="Picture 5" descr="España">
          <a:hlinkClick xmlns:r="http://schemas.openxmlformats.org/officeDocument/2006/relationships" r:id="rId90"/>
          <a:extLst>
            <a:ext uri="{FF2B5EF4-FFF2-40B4-BE49-F238E27FC236}">
              <a16:creationId xmlns:a16="http://schemas.microsoft.com/office/drawing/2014/main" id="{00000000-0008-0000-0400-0000E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0" name="Picture 6" descr="España">
          <a:hlinkClick xmlns:r="http://schemas.openxmlformats.org/officeDocument/2006/relationships" r:id="rId90"/>
          <a:extLst>
            <a:ext uri="{FF2B5EF4-FFF2-40B4-BE49-F238E27FC236}">
              <a16:creationId xmlns:a16="http://schemas.microsoft.com/office/drawing/2014/main" id="{00000000-0008-0000-0400-0000E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1" name="Picture 8" descr="Česká republika">
          <a:hlinkClick xmlns:r="http://schemas.openxmlformats.org/officeDocument/2006/relationships" r:id="rId92"/>
          <a:extLst>
            <a:ext uri="{FF2B5EF4-FFF2-40B4-BE49-F238E27FC236}">
              <a16:creationId xmlns:a16="http://schemas.microsoft.com/office/drawing/2014/main" id="{00000000-0008-0000-0400-0000E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2" name="Picture 9" descr="Sverige">
          <a:hlinkClick xmlns:r="http://schemas.openxmlformats.org/officeDocument/2006/relationships" r:id="rId93"/>
          <a:extLst>
            <a:ext uri="{FF2B5EF4-FFF2-40B4-BE49-F238E27FC236}">
              <a16:creationId xmlns:a16="http://schemas.microsoft.com/office/drawing/2014/main" id="{00000000-0008-0000-0400-0000E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3" name="Picture 11" descr="Suomi">
          <a:hlinkClick xmlns:r="http://schemas.openxmlformats.org/officeDocument/2006/relationships" r:id="rId94"/>
          <a:extLst>
            <a:ext uri="{FF2B5EF4-FFF2-40B4-BE49-F238E27FC236}">
              <a16:creationId xmlns:a16="http://schemas.microsoft.com/office/drawing/2014/main" id="{00000000-0008-0000-0400-0000E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4" name="Picture 12" descr="España">
          <a:hlinkClick xmlns:r="http://schemas.openxmlformats.org/officeDocument/2006/relationships" r:id="rId90"/>
          <a:extLst>
            <a:ext uri="{FF2B5EF4-FFF2-40B4-BE49-F238E27FC236}">
              <a16:creationId xmlns:a16="http://schemas.microsoft.com/office/drawing/2014/main" id="{00000000-0008-0000-0400-0000E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5" name="Picture 13" descr="Nederland">
          <a:hlinkClick xmlns:r="http://schemas.openxmlformats.org/officeDocument/2006/relationships" r:id="rId95"/>
          <a:extLst>
            <a:ext uri="{FF2B5EF4-FFF2-40B4-BE49-F238E27FC236}">
              <a16:creationId xmlns:a16="http://schemas.microsoft.com/office/drawing/2014/main" id="{00000000-0008-0000-0400-0000E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6" name="Picture 14" descr="Italia">
          <a:hlinkClick xmlns:r="http://schemas.openxmlformats.org/officeDocument/2006/relationships" r:id="rId96"/>
          <a:extLst>
            <a:ext uri="{FF2B5EF4-FFF2-40B4-BE49-F238E27FC236}">
              <a16:creationId xmlns:a16="http://schemas.microsoft.com/office/drawing/2014/main" id="{00000000-0008-0000-0400-0000F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7" name="Picture 16" descr="España">
          <a:hlinkClick xmlns:r="http://schemas.openxmlformats.org/officeDocument/2006/relationships" r:id="rId90"/>
          <a:extLst>
            <a:ext uri="{FF2B5EF4-FFF2-40B4-BE49-F238E27FC236}">
              <a16:creationId xmlns:a16="http://schemas.microsoft.com/office/drawing/2014/main" id="{00000000-0008-0000-0400-0000F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8" name="Picture 18" descr="France">
          <a:hlinkClick xmlns:r="http://schemas.openxmlformats.org/officeDocument/2006/relationships" r:id="rId97"/>
          <a:extLst>
            <a:ext uri="{FF2B5EF4-FFF2-40B4-BE49-F238E27FC236}">
              <a16:creationId xmlns:a16="http://schemas.microsoft.com/office/drawing/2014/main" id="{00000000-0008-0000-0400-0000F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9" name="Picture 19" descr="France">
          <a:hlinkClick xmlns:r="http://schemas.openxmlformats.org/officeDocument/2006/relationships" r:id="rId97"/>
          <a:extLst>
            <a:ext uri="{FF2B5EF4-FFF2-40B4-BE49-F238E27FC236}">
              <a16:creationId xmlns:a16="http://schemas.microsoft.com/office/drawing/2014/main" id="{00000000-0008-0000-0400-0000F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0" name="Picture 21" descr="Argentina">
          <a:hlinkClick xmlns:r="http://schemas.openxmlformats.org/officeDocument/2006/relationships" r:id="rId98"/>
          <a:extLst>
            <a:ext uri="{FF2B5EF4-FFF2-40B4-BE49-F238E27FC236}">
              <a16:creationId xmlns:a16="http://schemas.microsoft.com/office/drawing/2014/main" id="{00000000-0008-0000-0400-0000F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1" name="Picture 23" descr="España">
          <a:hlinkClick xmlns:r="http://schemas.openxmlformats.org/officeDocument/2006/relationships" r:id="rId90"/>
          <a:extLst>
            <a:ext uri="{FF2B5EF4-FFF2-40B4-BE49-F238E27FC236}">
              <a16:creationId xmlns:a16="http://schemas.microsoft.com/office/drawing/2014/main" id="{00000000-0008-0000-0400-0000F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2" name="Picture 25" descr="Lubnan">
          <a:hlinkClick xmlns:r="http://schemas.openxmlformats.org/officeDocument/2006/relationships" r:id="rId99"/>
          <a:extLst>
            <a:ext uri="{FF2B5EF4-FFF2-40B4-BE49-F238E27FC236}">
              <a16:creationId xmlns:a16="http://schemas.microsoft.com/office/drawing/2014/main" id="{00000000-0008-0000-0400-0000F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3" name="Picture 27" descr="Magyarország">
          <a:hlinkClick xmlns:r="http://schemas.openxmlformats.org/officeDocument/2006/relationships" r:id="rId100"/>
          <a:extLst>
            <a:ext uri="{FF2B5EF4-FFF2-40B4-BE49-F238E27FC236}">
              <a16:creationId xmlns:a16="http://schemas.microsoft.com/office/drawing/2014/main" id="{00000000-0008-0000-0400-0000F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4" name="Picture 29" descr="Uruguay">
          <a:hlinkClick xmlns:r="http://schemas.openxmlformats.org/officeDocument/2006/relationships" r:id="rId101"/>
          <a:extLst>
            <a:ext uri="{FF2B5EF4-FFF2-40B4-BE49-F238E27FC236}">
              <a16:creationId xmlns:a16="http://schemas.microsoft.com/office/drawing/2014/main" id="{00000000-0008-0000-0400-0000F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5" name="Picture 30" descr="Italia">
          <a:hlinkClick xmlns:r="http://schemas.openxmlformats.org/officeDocument/2006/relationships" r:id="rId96"/>
          <a:extLst>
            <a:ext uri="{FF2B5EF4-FFF2-40B4-BE49-F238E27FC236}">
              <a16:creationId xmlns:a16="http://schemas.microsoft.com/office/drawing/2014/main" id="{00000000-0008-0000-0400-0000F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6" name="Picture 31" descr="Nederland">
          <a:hlinkClick xmlns:r="http://schemas.openxmlformats.org/officeDocument/2006/relationships" r:id="rId95"/>
          <a:extLst>
            <a:ext uri="{FF2B5EF4-FFF2-40B4-BE49-F238E27FC236}">
              <a16:creationId xmlns:a16="http://schemas.microsoft.com/office/drawing/2014/main" id="{00000000-0008-0000-0400-0000F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7" name="Picture 32" descr="Italia">
          <a:hlinkClick xmlns:r="http://schemas.openxmlformats.org/officeDocument/2006/relationships" r:id="rId96"/>
          <a:extLst>
            <a:ext uri="{FF2B5EF4-FFF2-40B4-BE49-F238E27FC236}">
              <a16:creationId xmlns:a16="http://schemas.microsoft.com/office/drawing/2014/main" id="{00000000-0008-0000-0400-0000F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8" name="Picture 34" descr="Deutschland">
          <a:hlinkClick xmlns:r="http://schemas.openxmlformats.org/officeDocument/2006/relationships" r:id="rId102"/>
          <a:extLst>
            <a:ext uri="{FF2B5EF4-FFF2-40B4-BE49-F238E27FC236}">
              <a16:creationId xmlns:a16="http://schemas.microsoft.com/office/drawing/2014/main" id="{00000000-0008-0000-0400-0000F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9" name="Picture 36" descr="Israel">
          <a:hlinkClick xmlns:r="http://schemas.openxmlformats.org/officeDocument/2006/relationships" r:id="rId103"/>
          <a:extLst>
            <a:ext uri="{FF2B5EF4-FFF2-40B4-BE49-F238E27FC236}">
              <a16:creationId xmlns:a16="http://schemas.microsoft.com/office/drawing/2014/main" id="{00000000-0008-0000-0400-0000F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0" name="Picture 37" descr="Slovensko">
          <a:hlinkClick xmlns:r="http://schemas.openxmlformats.org/officeDocument/2006/relationships" r:id="rId104"/>
          <a:extLst>
            <a:ext uri="{FF2B5EF4-FFF2-40B4-BE49-F238E27FC236}">
              <a16:creationId xmlns:a16="http://schemas.microsoft.com/office/drawing/2014/main" id="{00000000-0008-0000-0400-0000F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1" name="Picture 2" descr="España">
          <a:hlinkClick xmlns:r="http://schemas.openxmlformats.org/officeDocument/2006/relationships" r:id="rId90"/>
          <a:extLst>
            <a:ext uri="{FF2B5EF4-FFF2-40B4-BE49-F238E27FC236}">
              <a16:creationId xmlns:a16="http://schemas.microsoft.com/office/drawing/2014/main" id="{00000000-0008-0000-0400-0000F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2" name="Picture 3" descr="USA">
          <a:hlinkClick xmlns:r="http://schemas.openxmlformats.org/officeDocument/2006/relationships" r:id="rId91"/>
          <a:extLst>
            <a:ext uri="{FF2B5EF4-FFF2-40B4-BE49-F238E27FC236}">
              <a16:creationId xmlns:a16="http://schemas.microsoft.com/office/drawing/2014/main" id="{00000000-0008-0000-0400-00000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3" name="Picture 5" descr="España">
          <a:hlinkClick xmlns:r="http://schemas.openxmlformats.org/officeDocument/2006/relationships" r:id="rId90"/>
          <a:extLst>
            <a:ext uri="{FF2B5EF4-FFF2-40B4-BE49-F238E27FC236}">
              <a16:creationId xmlns:a16="http://schemas.microsoft.com/office/drawing/2014/main" id="{00000000-0008-0000-0400-00000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4" name="Picture 6" descr="España">
          <a:hlinkClick xmlns:r="http://schemas.openxmlformats.org/officeDocument/2006/relationships" r:id="rId90"/>
          <a:extLst>
            <a:ext uri="{FF2B5EF4-FFF2-40B4-BE49-F238E27FC236}">
              <a16:creationId xmlns:a16="http://schemas.microsoft.com/office/drawing/2014/main" id="{00000000-0008-0000-0400-00000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5" name="Picture 8" descr="Česká republika">
          <a:hlinkClick xmlns:r="http://schemas.openxmlformats.org/officeDocument/2006/relationships" r:id="rId92"/>
          <a:extLst>
            <a:ext uri="{FF2B5EF4-FFF2-40B4-BE49-F238E27FC236}">
              <a16:creationId xmlns:a16="http://schemas.microsoft.com/office/drawing/2014/main" id="{00000000-0008-0000-0400-00000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6" name="Picture 9" descr="Sverige">
          <a:hlinkClick xmlns:r="http://schemas.openxmlformats.org/officeDocument/2006/relationships" r:id="rId93"/>
          <a:extLst>
            <a:ext uri="{FF2B5EF4-FFF2-40B4-BE49-F238E27FC236}">
              <a16:creationId xmlns:a16="http://schemas.microsoft.com/office/drawing/2014/main" id="{00000000-0008-0000-0400-00000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7" name="Picture 11" descr="Suomi">
          <a:hlinkClick xmlns:r="http://schemas.openxmlformats.org/officeDocument/2006/relationships" r:id="rId94"/>
          <a:extLst>
            <a:ext uri="{FF2B5EF4-FFF2-40B4-BE49-F238E27FC236}">
              <a16:creationId xmlns:a16="http://schemas.microsoft.com/office/drawing/2014/main" id="{00000000-0008-0000-0400-00000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8" name="Picture 12" descr="España">
          <a:hlinkClick xmlns:r="http://schemas.openxmlformats.org/officeDocument/2006/relationships" r:id="rId90"/>
          <a:extLst>
            <a:ext uri="{FF2B5EF4-FFF2-40B4-BE49-F238E27FC236}">
              <a16:creationId xmlns:a16="http://schemas.microsoft.com/office/drawing/2014/main" id="{00000000-0008-0000-0400-00000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9" name="Picture 13" descr="Nederland">
          <a:hlinkClick xmlns:r="http://schemas.openxmlformats.org/officeDocument/2006/relationships" r:id="rId95"/>
          <a:extLst>
            <a:ext uri="{FF2B5EF4-FFF2-40B4-BE49-F238E27FC236}">
              <a16:creationId xmlns:a16="http://schemas.microsoft.com/office/drawing/2014/main" id="{00000000-0008-0000-0400-00000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0" name="Picture 14" descr="Italia">
          <a:hlinkClick xmlns:r="http://schemas.openxmlformats.org/officeDocument/2006/relationships" r:id="rId96"/>
          <a:extLst>
            <a:ext uri="{FF2B5EF4-FFF2-40B4-BE49-F238E27FC236}">
              <a16:creationId xmlns:a16="http://schemas.microsoft.com/office/drawing/2014/main" id="{00000000-0008-0000-0400-00000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1" name="Picture 16" descr="España">
          <a:hlinkClick xmlns:r="http://schemas.openxmlformats.org/officeDocument/2006/relationships" r:id="rId90"/>
          <a:extLst>
            <a:ext uri="{FF2B5EF4-FFF2-40B4-BE49-F238E27FC236}">
              <a16:creationId xmlns:a16="http://schemas.microsoft.com/office/drawing/2014/main" id="{00000000-0008-0000-0400-00000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2" name="Picture 18" descr="France">
          <a:hlinkClick xmlns:r="http://schemas.openxmlformats.org/officeDocument/2006/relationships" r:id="rId97"/>
          <a:extLst>
            <a:ext uri="{FF2B5EF4-FFF2-40B4-BE49-F238E27FC236}">
              <a16:creationId xmlns:a16="http://schemas.microsoft.com/office/drawing/2014/main" id="{00000000-0008-0000-0400-00000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3" name="Picture 19" descr="France">
          <a:hlinkClick xmlns:r="http://schemas.openxmlformats.org/officeDocument/2006/relationships" r:id="rId97"/>
          <a:extLst>
            <a:ext uri="{FF2B5EF4-FFF2-40B4-BE49-F238E27FC236}">
              <a16:creationId xmlns:a16="http://schemas.microsoft.com/office/drawing/2014/main" id="{00000000-0008-0000-0400-00000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4" name="Picture 21" descr="Argentina">
          <a:hlinkClick xmlns:r="http://schemas.openxmlformats.org/officeDocument/2006/relationships" r:id="rId98"/>
          <a:extLst>
            <a:ext uri="{FF2B5EF4-FFF2-40B4-BE49-F238E27FC236}">
              <a16:creationId xmlns:a16="http://schemas.microsoft.com/office/drawing/2014/main" id="{00000000-0008-0000-0400-00000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5" name="Picture 23" descr="España">
          <a:hlinkClick xmlns:r="http://schemas.openxmlformats.org/officeDocument/2006/relationships" r:id="rId90"/>
          <a:extLst>
            <a:ext uri="{FF2B5EF4-FFF2-40B4-BE49-F238E27FC236}">
              <a16:creationId xmlns:a16="http://schemas.microsoft.com/office/drawing/2014/main" id="{00000000-0008-0000-0400-00000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6" name="Picture 25" descr="Lubnan">
          <a:hlinkClick xmlns:r="http://schemas.openxmlformats.org/officeDocument/2006/relationships" r:id="rId99"/>
          <a:extLst>
            <a:ext uri="{FF2B5EF4-FFF2-40B4-BE49-F238E27FC236}">
              <a16:creationId xmlns:a16="http://schemas.microsoft.com/office/drawing/2014/main" id="{00000000-0008-0000-0400-00000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7" name="Picture 27" descr="Magyarország">
          <a:hlinkClick xmlns:r="http://schemas.openxmlformats.org/officeDocument/2006/relationships" r:id="rId100"/>
          <a:extLst>
            <a:ext uri="{FF2B5EF4-FFF2-40B4-BE49-F238E27FC236}">
              <a16:creationId xmlns:a16="http://schemas.microsoft.com/office/drawing/2014/main" id="{00000000-0008-0000-0400-00000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8" name="Picture 29" descr="Uruguay">
          <a:hlinkClick xmlns:r="http://schemas.openxmlformats.org/officeDocument/2006/relationships" r:id="rId101"/>
          <a:extLst>
            <a:ext uri="{FF2B5EF4-FFF2-40B4-BE49-F238E27FC236}">
              <a16:creationId xmlns:a16="http://schemas.microsoft.com/office/drawing/2014/main" id="{00000000-0008-0000-0400-00001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9" name="Picture 30" descr="Italia">
          <a:hlinkClick xmlns:r="http://schemas.openxmlformats.org/officeDocument/2006/relationships" r:id="rId96"/>
          <a:extLst>
            <a:ext uri="{FF2B5EF4-FFF2-40B4-BE49-F238E27FC236}">
              <a16:creationId xmlns:a16="http://schemas.microsoft.com/office/drawing/2014/main" id="{00000000-0008-0000-0400-00001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0" name="Picture 31" descr="Nederland">
          <a:hlinkClick xmlns:r="http://schemas.openxmlformats.org/officeDocument/2006/relationships" r:id="rId95"/>
          <a:extLst>
            <a:ext uri="{FF2B5EF4-FFF2-40B4-BE49-F238E27FC236}">
              <a16:creationId xmlns:a16="http://schemas.microsoft.com/office/drawing/2014/main" id="{00000000-0008-0000-0400-00001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1" name="Picture 32" descr="Italia">
          <a:hlinkClick xmlns:r="http://schemas.openxmlformats.org/officeDocument/2006/relationships" r:id="rId96"/>
          <a:extLst>
            <a:ext uri="{FF2B5EF4-FFF2-40B4-BE49-F238E27FC236}">
              <a16:creationId xmlns:a16="http://schemas.microsoft.com/office/drawing/2014/main" id="{00000000-0008-0000-0400-00001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2" name="Picture 34" descr="Deutschland">
          <a:hlinkClick xmlns:r="http://schemas.openxmlformats.org/officeDocument/2006/relationships" r:id="rId102"/>
          <a:extLst>
            <a:ext uri="{FF2B5EF4-FFF2-40B4-BE49-F238E27FC236}">
              <a16:creationId xmlns:a16="http://schemas.microsoft.com/office/drawing/2014/main" id="{00000000-0008-0000-0400-00001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3" name="Picture 36" descr="Israel">
          <a:hlinkClick xmlns:r="http://schemas.openxmlformats.org/officeDocument/2006/relationships" r:id="rId103"/>
          <a:extLst>
            <a:ext uri="{FF2B5EF4-FFF2-40B4-BE49-F238E27FC236}">
              <a16:creationId xmlns:a16="http://schemas.microsoft.com/office/drawing/2014/main" id="{00000000-0008-0000-0400-00001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4" name="Picture 37" descr="Slovensko">
          <a:hlinkClick xmlns:r="http://schemas.openxmlformats.org/officeDocument/2006/relationships" r:id="rId104"/>
          <a:extLst>
            <a:ext uri="{FF2B5EF4-FFF2-40B4-BE49-F238E27FC236}">
              <a16:creationId xmlns:a16="http://schemas.microsoft.com/office/drawing/2014/main" id="{00000000-0008-0000-0400-00001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5" name="Picture 2" descr="España">
          <a:hlinkClick xmlns:r="http://schemas.openxmlformats.org/officeDocument/2006/relationships" r:id="rId90"/>
          <a:extLst>
            <a:ext uri="{FF2B5EF4-FFF2-40B4-BE49-F238E27FC236}">
              <a16:creationId xmlns:a16="http://schemas.microsoft.com/office/drawing/2014/main" id="{00000000-0008-0000-0400-00001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6" name="Picture 3" descr="USA">
          <a:hlinkClick xmlns:r="http://schemas.openxmlformats.org/officeDocument/2006/relationships" r:id="rId91"/>
          <a:extLst>
            <a:ext uri="{FF2B5EF4-FFF2-40B4-BE49-F238E27FC236}">
              <a16:creationId xmlns:a16="http://schemas.microsoft.com/office/drawing/2014/main" id="{00000000-0008-0000-0400-00001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7" name="Picture 5" descr="España">
          <a:hlinkClick xmlns:r="http://schemas.openxmlformats.org/officeDocument/2006/relationships" r:id="rId90"/>
          <a:extLst>
            <a:ext uri="{FF2B5EF4-FFF2-40B4-BE49-F238E27FC236}">
              <a16:creationId xmlns:a16="http://schemas.microsoft.com/office/drawing/2014/main" id="{00000000-0008-0000-0400-00001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8" name="Picture 6" descr="España">
          <a:hlinkClick xmlns:r="http://schemas.openxmlformats.org/officeDocument/2006/relationships" r:id="rId90"/>
          <a:extLst>
            <a:ext uri="{FF2B5EF4-FFF2-40B4-BE49-F238E27FC236}">
              <a16:creationId xmlns:a16="http://schemas.microsoft.com/office/drawing/2014/main" id="{00000000-0008-0000-0400-00001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9" name="Picture 7" descr="Sverige">
          <a:hlinkClick xmlns:r="http://schemas.openxmlformats.org/officeDocument/2006/relationships" r:id="rId93"/>
          <a:extLst>
            <a:ext uri="{FF2B5EF4-FFF2-40B4-BE49-F238E27FC236}">
              <a16:creationId xmlns:a16="http://schemas.microsoft.com/office/drawing/2014/main" id="{00000000-0008-0000-0400-00001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0" name="Picture 9" descr="Suomi">
          <a:hlinkClick xmlns:r="http://schemas.openxmlformats.org/officeDocument/2006/relationships" r:id="rId94"/>
          <a:extLst>
            <a:ext uri="{FF2B5EF4-FFF2-40B4-BE49-F238E27FC236}">
              <a16:creationId xmlns:a16="http://schemas.microsoft.com/office/drawing/2014/main" id="{00000000-0008-0000-0400-00001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1" name="Picture 10" descr="España">
          <a:hlinkClick xmlns:r="http://schemas.openxmlformats.org/officeDocument/2006/relationships" r:id="rId90"/>
          <a:extLst>
            <a:ext uri="{FF2B5EF4-FFF2-40B4-BE49-F238E27FC236}">
              <a16:creationId xmlns:a16="http://schemas.microsoft.com/office/drawing/2014/main" id="{00000000-0008-0000-0400-00001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2" name="Picture 11" descr="Nederland">
          <a:hlinkClick xmlns:r="http://schemas.openxmlformats.org/officeDocument/2006/relationships" r:id="rId95"/>
          <a:extLst>
            <a:ext uri="{FF2B5EF4-FFF2-40B4-BE49-F238E27FC236}">
              <a16:creationId xmlns:a16="http://schemas.microsoft.com/office/drawing/2014/main" id="{00000000-0008-0000-0400-00001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3" name="Picture 13" descr="Deutschland">
          <a:hlinkClick xmlns:r="http://schemas.openxmlformats.org/officeDocument/2006/relationships" r:id="rId102"/>
          <a:extLst>
            <a:ext uri="{FF2B5EF4-FFF2-40B4-BE49-F238E27FC236}">
              <a16:creationId xmlns:a16="http://schemas.microsoft.com/office/drawing/2014/main" id="{00000000-0008-0000-0400-00001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4" name="Picture 14" descr="España">
          <a:hlinkClick xmlns:r="http://schemas.openxmlformats.org/officeDocument/2006/relationships" r:id="rId90"/>
          <a:extLst>
            <a:ext uri="{FF2B5EF4-FFF2-40B4-BE49-F238E27FC236}">
              <a16:creationId xmlns:a16="http://schemas.microsoft.com/office/drawing/2014/main" id="{00000000-0008-0000-0400-00002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5" name="Picture 16" descr="France">
          <a:hlinkClick xmlns:r="http://schemas.openxmlformats.org/officeDocument/2006/relationships" r:id="rId97"/>
          <a:extLst>
            <a:ext uri="{FF2B5EF4-FFF2-40B4-BE49-F238E27FC236}">
              <a16:creationId xmlns:a16="http://schemas.microsoft.com/office/drawing/2014/main" id="{00000000-0008-0000-0400-00002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6" name="Picture 18" descr="France">
          <a:hlinkClick xmlns:r="http://schemas.openxmlformats.org/officeDocument/2006/relationships" r:id="rId97"/>
          <a:extLst>
            <a:ext uri="{FF2B5EF4-FFF2-40B4-BE49-F238E27FC236}">
              <a16:creationId xmlns:a16="http://schemas.microsoft.com/office/drawing/2014/main" id="{00000000-0008-0000-0400-00002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7" name="Picture 19" descr="Argentina">
          <a:hlinkClick xmlns:r="http://schemas.openxmlformats.org/officeDocument/2006/relationships" r:id="rId98"/>
          <a:extLst>
            <a:ext uri="{FF2B5EF4-FFF2-40B4-BE49-F238E27FC236}">
              <a16:creationId xmlns:a16="http://schemas.microsoft.com/office/drawing/2014/main" id="{00000000-0008-0000-0400-00002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8" name="Picture 20" descr="España">
          <a:hlinkClick xmlns:r="http://schemas.openxmlformats.org/officeDocument/2006/relationships" r:id="rId90"/>
          <a:extLst>
            <a:ext uri="{FF2B5EF4-FFF2-40B4-BE49-F238E27FC236}">
              <a16:creationId xmlns:a16="http://schemas.microsoft.com/office/drawing/2014/main" id="{00000000-0008-0000-0400-00002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9" name="Picture 21" descr="Lubnan">
          <a:hlinkClick xmlns:r="http://schemas.openxmlformats.org/officeDocument/2006/relationships" r:id="rId99"/>
          <a:extLst>
            <a:ext uri="{FF2B5EF4-FFF2-40B4-BE49-F238E27FC236}">
              <a16:creationId xmlns:a16="http://schemas.microsoft.com/office/drawing/2014/main" id="{00000000-0008-0000-0400-00002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0" name="Picture 23" descr="Magyarország">
          <a:hlinkClick xmlns:r="http://schemas.openxmlformats.org/officeDocument/2006/relationships" r:id="rId100"/>
          <a:extLst>
            <a:ext uri="{FF2B5EF4-FFF2-40B4-BE49-F238E27FC236}">
              <a16:creationId xmlns:a16="http://schemas.microsoft.com/office/drawing/2014/main" id="{00000000-0008-0000-0400-00002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1" name="Picture 25" descr="Uruguay">
          <a:hlinkClick xmlns:r="http://schemas.openxmlformats.org/officeDocument/2006/relationships" r:id="rId101"/>
          <a:extLst>
            <a:ext uri="{FF2B5EF4-FFF2-40B4-BE49-F238E27FC236}">
              <a16:creationId xmlns:a16="http://schemas.microsoft.com/office/drawing/2014/main" id="{00000000-0008-0000-0400-00002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2" name="Picture 26" descr="Italia">
          <a:hlinkClick xmlns:r="http://schemas.openxmlformats.org/officeDocument/2006/relationships" r:id="rId96"/>
          <a:extLst>
            <a:ext uri="{FF2B5EF4-FFF2-40B4-BE49-F238E27FC236}">
              <a16:creationId xmlns:a16="http://schemas.microsoft.com/office/drawing/2014/main" id="{00000000-0008-0000-0400-00002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3" name="Picture 27" descr="España">
          <a:hlinkClick xmlns:r="http://schemas.openxmlformats.org/officeDocument/2006/relationships" r:id="rId90"/>
          <a:extLst>
            <a:ext uri="{FF2B5EF4-FFF2-40B4-BE49-F238E27FC236}">
              <a16:creationId xmlns:a16="http://schemas.microsoft.com/office/drawing/2014/main" id="{00000000-0008-0000-0400-00002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4" name="Picture 28" descr="Nederland">
          <a:hlinkClick xmlns:r="http://schemas.openxmlformats.org/officeDocument/2006/relationships" r:id="rId95"/>
          <a:extLst>
            <a:ext uri="{FF2B5EF4-FFF2-40B4-BE49-F238E27FC236}">
              <a16:creationId xmlns:a16="http://schemas.microsoft.com/office/drawing/2014/main" id="{00000000-0008-0000-0400-00002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5" name="Picture 29" descr="Italia">
          <a:hlinkClick xmlns:r="http://schemas.openxmlformats.org/officeDocument/2006/relationships" r:id="rId96"/>
          <a:extLst>
            <a:ext uri="{FF2B5EF4-FFF2-40B4-BE49-F238E27FC236}">
              <a16:creationId xmlns:a16="http://schemas.microsoft.com/office/drawing/2014/main" id="{00000000-0008-0000-0400-00002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6" name="Picture 30" descr="Deutschland">
          <a:hlinkClick xmlns:r="http://schemas.openxmlformats.org/officeDocument/2006/relationships" r:id="rId102"/>
          <a:extLst>
            <a:ext uri="{FF2B5EF4-FFF2-40B4-BE49-F238E27FC236}">
              <a16:creationId xmlns:a16="http://schemas.microsoft.com/office/drawing/2014/main" id="{00000000-0008-0000-0400-00002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7" name="Picture 32" descr="Israel">
          <a:hlinkClick xmlns:r="http://schemas.openxmlformats.org/officeDocument/2006/relationships" r:id="rId103"/>
          <a:extLst>
            <a:ext uri="{FF2B5EF4-FFF2-40B4-BE49-F238E27FC236}">
              <a16:creationId xmlns:a16="http://schemas.microsoft.com/office/drawing/2014/main" id="{00000000-0008-0000-0400-00002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8" name="Picture 33" descr="Slovensko">
          <a:hlinkClick xmlns:r="http://schemas.openxmlformats.org/officeDocument/2006/relationships" r:id="rId104"/>
          <a:extLst>
            <a:ext uri="{FF2B5EF4-FFF2-40B4-BE49-F238E27FC236}">
              <a16:creationId xmlns:a16="http://schemas.microsoft.com/office/drawing/2014/main" id="{00000000-0008-0000-0400-00002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59" name="Picture 2" descr="España">
          <a:hlinkClick xmlns:r="http://schemas.openxmlformats.org/officeDocument/2006/relationships" r:id="rId90"/>
          <a:extLst>
            <a:ext uri="{FF2B5EF4-FFF2-40B4-BE49-F238E27FC236}">
              <a16:creationId xmlns:a16="http://schemas.microsoft.com/office/drawing/2014/main" id="{00000000-0008-0000-0400-00002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0" name="Picture 3" descr="USA">
          <a:hlinkClick xmlns:r="http://schemas.openxmlformats.org/officeDocument/2006/relationships" r:id="rId91"/>
          <a:extLst>
            <a:ext uri="{FF2B5EF4-FFF2-40B4-BE49-F238E27FC236}">
              <a16:creationId xmlns:a16="http://schemas.microsoft.com/office/drawing/2014/main" id="{00000000-0008-0000-0400-00003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1" name="Picture 5" descr="España">
          <a:hlinkClick xmlns:r="http://schemas.openxmlformats.org/officeDocument/2006/relationships" r:id="rId90"/>
          <a:extLst>
            <a:ext uri="{FF2B5EF4-FFF2-40B4-BE49-F238E27FC236}">
              <a16:creationId xmlns:a16="http://schemas.microsoft.com/office/drawing/2014/main" id="{00000000-0008-0000-0400-00003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2" name="Picture 6" descr="España">
          <a:hlinkClick xmlns:r="http://schemas.openxmlformats.org/officeDocument/2006/relationships" r:id="rId90"/>
          <a:extLst>
            <a:ext uri="{FF2B5EF4-FFF2-40B4-BE49-F238E27FC236}">
              <a16:creationId xmlns:a16="http://schemas.microsoft.com/office/drawing/2014/main" id="{00000000-0008-0000-0400-00003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3" name="Picture 8" descr="Česká republika">
          <a:hlinkClick xmlns:r="http://schemas.openxmlformats.org/officeDocument/2006/relationships" r:id="rId92"/>
          <a:extLst>
            <a:ext uri="{FF2B5EF4-FFF2-40B4-BE49-F238E27FC236}">
              <a16:creationId xmlns:a16="http://schemas.microsoft.com/office/drawing/2014/main" id="{00000000-0008-0000-0400-00003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4" name="Picture 9" descr="Sverige">
          <a:hlinkClick xmlns:r="http://schemas.openxmlformats.org/officeDocument/2006/relationships" r:id="rId93"/>
          <a:extLst>
            <a:ext uri="{FF2B5EF4-FFF2-40B4-BE49-F238E27FC236}">
              <a16:creationId xmlns:a16="http://schemas.microsoft.com/office/drawing/2014/main" id="{00000000-0008-0000-0400-00003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5" name="Picture 11" descr="Suomi">
          <a:hlinkClick xmlns:r="http://schemas.openxmlformats.org/officeDocument/2006/relationships" r:id="rId94"/>
          <a:extLst>
            <a:ext uri="{FF2B5EF4-FFF2-40B4-BE49-F238E27FC236}">
              <a16:creationId xmlns:a16="http://schemas.microsoft.com/office/drawing/2014/main" id="{00000000-0008-0000-0400-00003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6" name="Picture 12" descr="España">
          <a:hlinkClick xmlns:r="http://schemas.openxmlformats.org/officeDocument/2006/relationships" r:id="rId90"/>
          <a:extLst>
            <a:ext uri="{FF2B5EF4-FFF2-40B4-BE49-F238E27FC236}">
              <a16:creationId xmlns:a16="http://schemas.microsoft.com/office/drawing/2014/main" id="{00000000-0008-0000-0400-00003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7" name="Picture 13" descr="Nederland">
          <a:hlinkClick xmlns:r="http://schemas.openxmlformats.org/officeDocument/2006/relationships" r:id="rId95"/>
          <a:extLst>
            <a:ext uri="{FF2B5EF4-FFF2-40B4-BE49-F238E27FC236}">
              <a16:creationId xmlns:a16="http://schemas.microsoft.com/office/drawing/2014/main" id="{00000000-0008-0000-0400-00003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8" name="Picture 14" descr="Italia">
          <a:hlinkClick xmlns:r="http://schemas.openxmlformats.org/officeDocument/2006/relationships" r:id="rId96"/>
          <a:extLst>
            <a:ext uri="{FF2B5EF4-FFF2-40B4-BE49-F238E27FC236}">
              <a16:creationId xmlns:a16="http://schemas.microsoft.com/office/drawing/2014/main" id="{00000000-0008-0000-0400-00003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9" name="Picture 16" descr="España">
          <a:hlinkClick xmlns:r="http://schemas.openxmlformats.org/officeDocument/2006/relationships" r:id="rId90"/>
          <a:extLst>
            <a:ext uri="{FF2B5EF4-FFF2-40B4-BE49-F238E27FC236}">
              <a16:creationId xmlns:a16="http://schemas.microsoft.com/office/drawing/2014/main" id="{00000000-0008-0000-0400-00003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0" name="Picture 18" descr="France">
          <a:hlinkClick xmlns:r="http://schemas.openxmlformats.org/officeDocument/2006/relationships" r:id="rId97"/>
          <a:extLst>
            <a:ext uri="{FF2B5EF4-FFF2-40B4-BE49-F238E27FC236}">
              <a16:creationId xmlns:a16="http://schemas.microsoft.com/office/drawing/2014/main" id="{00000000-0008-0000-0400-00003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1" name="Picture 19" descr="France">
          <a:hlinkClick xmlns:r="http://schemas.openxmlformats.org/officeDocument/2006/relationships" r:id="rId97"/>
          <a:extLst>
            <a:ext uri="{FF2B5EF4-FFF2-40B4-BE49-F238E27FC236}">
              <a16:creationId xmlns:a16="http://schemas.microsoft.com/office/drawing/2014/main" id="{00000000-0008-0000-0400-00003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2" name="Picture 21" descr="Argentina">
          <a:hlinkClick xmlns:r="http://schemas.openxmlformats.org/officeDocument/2006/relationships" r:id="rId98"/>
          <a:extLst>
            <a:ext uri="{FF2B5EF4-FFF2-40B4-BE49-F238E27FC236}">
              <a16:creationId xmlns:a16="http://schemas.microsoft.com/office/drawing/2014/main" id="{00000000-0008-0000-0400-00003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3" name="Picture 23" descr="España">
          <a:hlinkClick xmlns:r="http://schemas.openxmlformats.org/officeDocument/2006/relationships" r:id="rId90"/>
          <a:extLst>
            <a:ext uri="{FF2B5EF4-FFF2-40B4-BE49-F238E27FC236}">
              <a16:creationId xmlns:a16="http://schemas.microsoft.com/office/drawing/2014/main" id="{00000000-0008-0000-0400-00003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4" name="Picture 25" descr="Lubnan">
          <a:hlinkClick xmlns:r="http://schemas.openxmlformats.org/officeDocument/2006/relationships" r:id="rId99"/>
          <a:extLst>
            <a:ext uri="{FF2B5EF4-FFF2-40B4-BE49-F238E27FC236}">
              <a16:creationId xmlns:a16="http://schemas.microsoft.com/office/drawing/2014/main" id="{00000000-0008-0000-0400-00003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5" name="Picture 27" descr="Magyarország">
          <a:hlinkClick xmlns:r="http://schemas.openxmlformats.org/officeDocument/2006/relationships" r:id="rId100"/>
          <a:extLst>
            <a:ext uri="{FF2B5EF4-FFF2-40B4-BE49-F238E27FC236}">
              <a16:creationId xmlns:a16="http://schemas.microsoft.com/office/drawing/2014/main" id="{00000000-0008-0000-0400-00003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6" name="Picture 29" descr="Uruguay">
          <a:hlinkClick xmlns:r="http://schemas.openxmlformats.org/officeDocument/2006/relationships" r:id="rId101"/>
          <a:extLst>
            <a:ext uri="{FF2B5EF4-FFF2-40B4-BE49-F238E27FC236}">
              <a16:creationId xmlns:a16="http://schemas.microsoft.com/office/drawing/2014/main" id="{00000000-0008-0000-0400-00004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7" name="Picture 30" descr="Italia">
          <a:hlinkClick xmlns:r="http://schemas.openxmlformats.org/officeDocument/2006/relationships" r:id="rId96"/>
          <a:extLst>
            <a:ext uri="{FF2B5EF4-FFF2-40B4-BE49-F238E27FC236}">
              <a16:creationId xmlns:a16="http://schemas.microsoft.com/office/drawing/2014/main" id="{00000000-0008-0000-0400-00004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8" name="Picture 31" descr="Nederland">
          <a:hlinkClick xmlns:r="http://schemas.openxmlformats.org/officeDocument/2006/relationships" r:id="rId95"/>
          <a:extLst>
            <a:ext uri="{FF2B5EF4-FFF2-40B4-BE49-F238E27FC236}">
              <a16:creationId xmlns:a16="http://schemas.microsoft.com/office/drawing/2014/main" id="{00000000-0008-0000-0400-00004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9" name="Picture 32" descr="Italia">
          <a:hlinkClick xmlns:r="http://schemas.openxmlformats.org/officeDocument/2006/relationships" r:id="rId96"/>
          <a:extLst>
            <a:ext uri="{FF2B5EF4-FFF2-40B4-BE49-F238E27FC236}">
              <a16:creationId xmlns:a16="http://schemas.microsoft.com/office/drawing/2014/main" id="{00000000-0008-0000-0400-00004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0" name="Picture 34" descr="Deutschland">
          <a:hlinkClick xmlns:r="http://schemas.openxmlformats.org/officeDocument/2006/relationships" r:id="rId102"/>
          <a:extLst>
            <a:ext uri="{FF2B5EF4-FFF2-40B4-BE49-F238E27FC236}">
              <a16:creationId xmlns:a16="http://schemas.microsoft.com/office/drawing/2014/main" id="{00000000-0008-0000-0400-00004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1" name="Picture 36" descr="Israel">
          <a:hlinkClick xmlns:r="http://schemas.openxmlformats.org/officeDocument/2006/relationships" r:id="rId103"/>
          <a:extLst>
            <a:ext uri="{FF2B5EF4-FFF2-40B4-BE49-F238E27FC236}">
              <a16:creationId xmlns:a16="http://schemas.microsoft.com/office/drawing/2014/main" id="{00000000-0008-0000-0400-00004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2" name="Picture 37" descr="Slovensko">
          <a:hlinkClick xmlns:r="http://schemas.openxmlformats.org/officeDocument/2006/relationships" r:id="rId104"/>
          <a:extLst>
            <a:ext uri="{FF2B5EF4-FFF2-40B4-BE49-F238E27FC236}">
              <a16:creationId xmlns:a16="http://schemas.microsoft.com/office/drawing/2014/main" id="{00000000-0008-0000-0400-00004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3" name="Picture 2" descr="España">
          <a:hlinkClick xmlns:r="http://schemas.openxmlformats.org/officeDocument/2006/relationships" r:id="rId90"/>
          <a:extLst>
            <a:ext uri="{FF2B5EF4-FFF2-40B4-BE49-F238E27FC236}">
              <a16:creationId xmlns:a16="http://schemas.microsoft.com/office/drawing/2014/main" id="{00000000-0008-0000-0400-00004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4" name="Picture 3" descr="USA">
          <a:hlinkClick xmlns:r="http://schemas.openxmlformats.org/officeDocument/2006/relationships" r:id="rId91"/>
          <a:extLst>
            <a:ext uri="{FF2B5EF4-FFF2-40B4-BE49-F238E27FC236}">
              <a16:creationId xmlns:a16="http://schemas.microsoft.com/office/drawing/2014/main" id="{00000000-0008-0000-0400-00004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5" name="Picture 5" descr="España">
          <a:hlinkClick xmlns:r="http://schemas.openxmlformats.org/officeDocument/2006/relationships" r:id="rId90"/>
          <a:extLst>
            <a:ext uri="{FF2B5EF4-FFF2-40B4-BE49-F238E27FC236}">
              <a16:creationId xmlns:a16="http://schemas.microsoft.com/office/drawing/2014/main" id="{00000000-0008-0000-0400-00004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6" name="Picture 6" descr="España">
          <a:hlinkClick xmlns:r="http://schemas.openxmlformats.org/officeDocument/2006/relationships" r:id="rId90"/>
          <a:extLst>
            <a:ext uri="{FF2B5EF4-FFF2-40B4-BE49-F238E27FC236}">
              <a16:creationId xmlns:a16="http://schemas.microsoft.com/office/drawing/2014/main" id="{00000000-0008-0000-0400-00004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7" name="Picture 8" descr="Česká republika">
          <a:hlinkClick xmlns:r="http://schemas.openxmlformats.org/officeDocument/2006/relationships" r:id="rId92"/>
          <a:extLst>
            <a:ext uri="{FF2B5EF4-FFF2-40B4-BE49-F238E27FC236}">
              <a16:creationId xmlns:a16="http://schemas.microsoft.com/office/drawing/2014/main" id="{00000000-0008-0000-0400-00004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8" name="Picture 9" descr="Sverige">
          <a:hlinkClick xmlns:r="http://schemas.openxmlformats.org/officeDocument/2006/relationships" r:id="rId93"/>
          <a:extLst>
            <a:ext uri="{FF2B5EF4-FFF2-40B4-BE49-F238E27FC236}">
              <a16:creationId xmlns:a16="http://schemas.microsoft.com/office/drawing/2014/main" id="{00000000-0008-0000-0400-00004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9" name="Picture 11" descr="Suomi">
          <a:hlinkClick xmlns:r="http://schemas.openxmlformats.org/officeDocument/2006/relationships" r:id="rId94"/>
          <a:extLst>
            <a:ext uri="{FF2B5EF4-FFF2-40B4-BE49-F238E27FC236}">
              <a16:creationId xmlns:a16="http://schemas.microsoft.com/office/drawing/2014/main" id="{00000000-0008-0000-0400-00004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0" name="Picture 12" descr="España">
          <a:hlinkClick xmlns:r="http://schemas.openxmlformats.org/officeDocument/2006/relationships" r:id="rId90"/>
          <a:extLst>
            <a:ext uri="{FF2B5EF4-FFF2-40B4-BE49-F238E27FC236}">
              <a16:creationId xmlns:a16="http://schemas.microsoft.com/office/drawing/2014/main" id="{00000000-0008-0000-0400-00004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1" name="Picture 13" descr="Nederland">
          <a:hlinkClick xmlns:r="http://schemas.openxmlformats.org/officeDocument/2006/relationships" r:id="rId95"/>
          <a:extLst>
            <a:ext uri="{FF2B5EF4-FFF2-40B4-BE49-F238E27FC236}">
              <a16:creationId xmlns:a16="http://schemas.microsoft.com/office/drawing/2014/main" id="{00000000-0008-0000-0400-00004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2" name="Picture 14" descr="Italia">
          <a:hlinkClick xmlns:r="http://schemas.openxmlformats.org/officeDocument/2006/relationships" r:id="rId96"/>
          <a:extLst>
            <a:ext uri="{FF2B5EF4-FFF2-40B4-BE49-F238E27FC236}">
              <a16:creationId xmlns:a16="http://schemas.microsoft.com/office/drawing/2014/main" id="{00000000-0008-0000-0400-00005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3" name="Picture 16" descr="España">
          <a:hlinkClick xmlns:r="http://schemas.openxmlformats.org/officeDocument/2006/relationships" r:id="rId90"/>
          <a:extLst>
            <a:ext uri="{FF2B5EF4-FFF2-40B4-BE49-F238E27FC236}">
              <a16:creationId xmlns:a16="http://schemas.microsoft.com/office/drawing/2014/main" id="{00000000-0008-0000-0400-00005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4" name="Picture 18" descr="France">
          <a:hlinkClick xmlns:r="http://schemas.openxmlformats.org/officeDocument/2006/relationships" r:id="rId97"/>
          <a:extLst>
            <a:ext uri="{FF2B5EF4-FFF2-40B4-BE49-F238E27FC236}">
              <a16:creationId xmlns:a16="http://schemas.microsoft.com/office/drawing/2014/main" id="{00000000-0008-0000-0400-00005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5" name="Picture 19" descr="France">
          <a:hlinkClick xmlns:r="http://schemas.openxmlformats.org/officeDocument/2006/relationships" r:id="rId97"/>
          <a:extLst>
            <a:ext uri="{FF2B5EF4-FFF2-40B4-BE49-F238E27FC236}">
              <a16:creationId xmlns:a16="http://schemas.microsoft.com/office/drawing/2014/main" id="{00000000-0008-0000-0400-00005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6" name="Picture 21" descr="Argentina">
          <a:hlinkClick xmlns:r="http://schemas.openxmlformats.org/officeDocument/2006/relationships" r:id="rId98"/>
          <a:extLst>
            <a:ext uri="{FF2B5EF4-FFF2-40B4-BE49-F238E27FC236}">
              <a16:creationId xmlns:a16="http://schemas.microsoft.com/office/drawing/2014/main" id="{00000000-0008-0000-0400-00005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7" name="Picture 23" descr="España">
          <a:hlinkClick xmlns:r="http://schemas.openxmlformats.org/officeDocument/2006/relationships" r:id="rId90"/>
          <a:extLst>
            <a:ext uri="{FF2B5EF4-FFF2-40B4-BE49-F238E27FC236}">
              <a16:creationId xmlns:a16="http://schemas.microsoft.com/office/drawing/2014/main" id="{00000000-0008-0000-0400-00005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8" name="Picture 25" descr="Lubnan">
          <a:hlinkClick xmlns:r="http://schemas.openxmlformats.org/officeDocument/2006/relationships" r:id="rId99"/>
          <a:extLst>
            <a:ext uri="{FF2B5EF4-FFF2-40B4-BE49-F238E27FC236}">
              <a16:creationId xmlns:a16="http://schemas.microsoft.com/office/drawing/2014/main" id="{00000000-0008-0000-0400-00005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9" name="Picture 27" descr="Magyarország">
          <a:hlinkClick xmlns:r="http://schemas.openxmlformats.org/officeDocument/2006/relationships" r:id="rId100"/>
          <a:extLst>
            <a:ext uri="{FF2B5EF4-FFF2-40B4-BE49-F238E27FC236}">
              <a16:creationId xmlns:a16="http://schemas.microsoft.com/office/drawing/2014/main" id="{00000000-0008-0000-0400-00005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0" name="Picture 29" descr="Uruguay">
          <a:hlinkClick xmlns:r="http://schemas.openxmlformats.org/officeDocument/2006/relationships" r:id="rId101"/>
          <a:extLst>
            <a:ext uri="{FF2B5EF4-FFF2-40B4-BE49-F238E27FC236}">
              <a16:creationId xmlns:a16="http://schemas.microsoft.com/office/drawing/2014/main" id="{00000000-0008-0000-0400-00005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1" name="Picture 30" descr="Italia">
          <a:hlinkClick xmlns:r="http://schemas.openxmlformats.org/officeDocument/2006/relationships" r:id="rId96"/>
          <a:extLst>
            <a:ext uri="{FF2B5EF4-FFF2-40B4-BE49-F238E27FC236}">
              <a16:creationId xmlns:a16="http://schemas.microsoft.com/office/drawing/2014/main" id="{00000000-0008-0000-0400-00005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2" name="Picture 31" descr="Nederland">
          <a:hlinkClick xmlns:r="http://schemas.openxmlformats.org/officeDocument/2006/relationships" r:id="rId95"/>
          <a:extLst>
            <a:ext uri="{FF2B5EF4-FFF2-40B4-BE49-F238E27FC236}">
              <a16:creationId xmlns:a16="http://schemas.microsoft.com/office/drawing/2014/main" id="{00000000-0008-0000-0400-00005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3" name="Picture 32" descr="Italia">
          <a:hlinkClick xmlns:r="http://schemas.openxmlformats.org/officeDocument/2006/relationships" r:id="rId96"/>
          <a:extLst>
            <a:ext uri="{FF2B5EF4-FFF2-40B4-BE49-F238E27FC236}">
              <a16:creationId xmlns:a16="http://schemas.microsoft.com/office/drawing/2014/main" id="{00000000-0008-0000-0400-00005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4" name="Picture 34" descr="Deutschland">
          <a:hlinkClick xmlns:r="http://schemas.openxmlformats.org/officeDocument/2006/relationships" r:id="rId102"/>
          <a:extLst>
            <a:ext uri="{FF2B5EF4-FFF2-40B4-BE49-F238E27FC236}">
              <a16:creationId xmlns:a16="http://schemas.microsoft.com/office/drawing/2014/main" id="{00000000-0008-0000-0400-00005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5" name="Picture 36" descr="Israel">
          <a:hlinkClick xmlns:r="http://schemas.openxmlformats.org/officeDocument/2006/relationships" r:id="rId103"/>
          <a:extLst>
            <a:ext uri="{FF2B5EF4-FFF2-40B4-BE49-F238E27FC236}">
              <a16:creationId xmlns:a16="http://schemas.microsoft.com/office/drawing/2014/main" id="{00000000-0008-0000-0400-00005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6" name="Picture 37" descr="Slovensko">
          <a:hlinkClick xmlns:r="http://schemas.openxmlformats.org/officeDocument/2006/relationships" r:id="rId104"/>
          <a:extLst>
            <a:ext uri="{FF2B5EF4-FFF2-40B4-BE49-F238E27FC236}">
              <a16:creationId xmlns:a16="http://schemas.microsoft.com/office/drawing/2014/main" id="{00000000-0008-0000-0400-00005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7" name="Picture 2" descr="España">
          <a:hlinkClick xmlns:r="http://schemas.openxmlformats.org/officeDocument/2006/relationships" r:id="rId90"/>
          <a:extLst>
            <a:ext uri="{FF2B5EF4-FFF2-40B4-BE49-F238E27FC236}">
              <a16:creationId xmlns:a16="http://schemas.microsoft.com/office/drawing/2014/main" id="{00000000-0008-0000-0400-00005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8" name="Picture 3" descr="USA">
          <a:hlinkClick xmlns:r="http://schemas.openxmlformats.org/officeDocument/2006/relationships" r:id="rId91"/>
          <a:extLst>
            <a:ext uri="{FF2B5EF4-FFF2-40B4-BE49-F238E27FC236}">
              <a16:creationId xmlns:a16="http://schemas.microsoft.com/office/drawing/2014/main" id="{00000000-0008-0000-0400-00006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9" name="Picture 5" descr="España">
          <a:hlinkClick xmlns:r="http://schemas.openxmlformats.org/officeDocument/2006/relationships" r:id="rId90"/>
          <a:extLst>
            <a:ext uri="{FF2B5EF4-FFF2-40B4-BE49-F238E27FC236}">
              <a16:creationId xmlns:a16="http://schemas.microsoft.com/office/drawing/2014/main" id="{00000000-0008-0000-0400-00006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0" name="Picture 6" descr="España">
          <a:hlinkClick xmlns:r="http://schemas.openxmlformats.org/officeDocument/2006/relationships" r:id="rId90"/>
          <a:extLst>
            <a:ext uri="{FF2B5EF4-FFF2-40B4-BE49-F238E27FC236}">
              <a16:creationId xmlns:a16="http://schemas.microsoft.com/office/drawing/2014/main" id="{00000000-0008-0000-0400-00006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1" name="Picture 8" descr="Česká republika">
          <a:hlinkClick xmlns:r="http://schemas.openxmlformats.org/officeDocument/2006/relationships" r:id="rId92"/>
          <a:extLst>
            <a:ext uri="{FF2B5EF4-FFF2-40B4-BE49-F238E27FC236}">
              <a16:creationId xmlns:a16="http://schemas.microsoft.com/office/drawing/2014/main" id="{00000000-0008-0000-0400-00006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2" name="Picture 9" descr="Sverige">
          <a:hlinkClick xmlns:r="http://schemas.openxmlformats.org/officeDocument/2006/relationships" r:id="rId93"/>
          <a:extLst>
            <a:ext uri="{FF2B5EF4-FFF2-40B4-BE49-F238E27FC236}">
              <a16:creationId xmlns:a16="http://schemas.microsoft.com/office/drawing/2014/main" id="{00000000-0008-0000-0400-00006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3" name="Picture 11" descr="Suomi">
          <a:hlinkClick xmlns:r="http://schemas.openxmlformats.org/officeDocument/2006/relationships" r:id="rId94"/>
          <a:extLst>
            <a:ext uri="{FF2B5EF4-FFF2-40B4-BE49-F238E27FC236}">
              <a16:creationId xmlns:a16="http://schemas.microsoft.com/office/drawing/2014/main" id="{00000000-0008-0000-0400-00006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4" name="Picture 12" descr="España">
          <a:hlinkClick xmlns:r="http://schemas.openxmlformats.org/officeDocument/2006/relationships" r:id="rId90"/>
          <a:extLst>
            <a:ext uri="{FF2B5EF4-FFF2-40B4-BE49-F238E27FC236}">
              <a16:creationId xmlns:a16="http://schemas.microsoft.com/office/drawing/2014/main" id="{00000000-0008-0000-0400-00006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5" name="Picture 13" descr="Nederland">
          <a:hlinkClick xmlns:r="http://schemas.openxmlformats.org/officeDocument/2006/relationships" r:id="rId95"/>
          <a:extLst>
            <a:ext uri="{FF2B5EF4-FFF2-40B4-BE49-F238E27FC236}">
              <a16:creationId xmlns:a16="http://schemas.microsoft.com/office/drawing/2014/main" id="{00000000-0008-0000-0400-00006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6" name="Picture 14" descr="Italia">
          <a:hlinkClick xmlns:r="http://schemas.openxmlformats.org/officeDocument/2006/relationships" r:id="rId96"/>
          <a:extLst>
            <a:ext uri="{FF2B5EF4-FFF2-40B4-BE49-F238E27FC236}">
              <a16:creationId xmlns:a16="http://schemas.microsoft.com/office/drawing/2014/main" id="{00000000-0008-0000-0400-00006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7" name="Picture 16" descr="España">
          <a:hlinkClick xmlns:r="http://schemas.openxmlformats.org/officeDocument/2006/relationships" r:id="rId90"/>
          <a:extLst>
            <a:ext uri="{FF2B5EF4-FFF2-40B4-BE49-F238E27FC236}">
              <a16:creationId xmlns:a16="http://schemas.microsoft.com/office/drawing/2014/main" id="{00000000-0008-0000-0400-00006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8" name="Picture 18" descr="France">
          <a:hlinkClick xmlns:r="http://schemas.openxmlformats.org/officeDocument/2006/relationships" r:id="rId97"/>
          <a:extLst>
            <a:ext uri="{FF2B5EF4-FFF2-40B4-BE49-F238E27FC236}">
              <a16:creationId xmlns:a16="http://schemas.microsoft.com/office/drawing/2014/main" id="{00000000-0008-0000-0400-00006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9" name="Picture 19" descr="France">
          <a:hlinkClick xmlns:r="http://schemas.openxmlformats.org/officeDocument/2006/relationships" r:id="rId97"/>
          <a:extLst>
            <a:ext uri="{FF2B5EF4-FFF2-40B4-BE49-F238E27FC236}">
              <a16:creationId xmlns:a16="http://schemas.microsoft.com/office/drawing/2014/main" id="{00000000-0008-0000-0400-00006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0" name="Picture 21" descr="Argentina">
          <a:hlinkClick xmlns:r="http://schemas.openxmlformats.org/officeDocument/2006/relationships" r:id="rId98"/>
          <a:extLst>
            <a:ext uri="{FF2B5EF4-FFF2-40B4-BE49-F238E27FC236}">
              <a16:creationId xmlns:a16="http://schemas.microsoft.com/office/drawing/2014/main" id="{00000000-0008-0000-0400-00006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1" name="Picture 23" descr="España">
          <a:hlinkClick xmlns:r="http://schemas.openxmlformats.org/officeDocument/2006/relationships" r:id="rId90"/>
          <a:extLst>
            <a:ext uri="{FF2B5EF4-FFF2-40B4-BE49-F238E27FC236}">
              <a16:creationId xmlns:a16="http://schemas.microsoft.com/office/drawing/2014/main" id="{00000000-0008-0000-0400-00006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2" name="Picture 25" descr="Lubnan">
          <a:hlinkClick xmlns:r="http://schemas.openxmlformats.org/officeDocument/2006/relationships" r:id="rId99"/>
          <a:extLst>
            <a:ext uri="{FF2B5EF4-FFF2-40B4-BE49-F238E27FC236}">
              <a16:creationId xmlns:a16="http://schemas.microsoft.com/office/drawing/2014/main" id="{00000000-0008-0000-0400-00006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3" name="Picture 27" descr="Magyarország">
          <a:hlinkClick xmlns:r="http://schemas.openxmlformats.org/officeDocument/2006/relationships" r:id="rId100"/>
          <a:extLst>
            <a:ext uri="{FF2B5EF4-FFF2-40B4-BE49-F238E27FC236}">
              <a16:creationId xmlns:a16="http://schemas.microsoft.com/office/drawing/2014/main" id="{00000000-0008-0000-0400-00006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4" name="Picture 29" descr="Uruguay">
          <a:hlinkClick xmlns:r="http://schemas.openxmlformats.org/officeDocument/2006/relationships" r:id="rId101"/>
          <a:extLst>
            <a:ext uri="{FF2B5EF4-FFF2-40B4-BE49-F238E27FC236}">
              <a16:creationId xmlns:a16="http://schemas.microsoft.com/office/drawing/2014/main" id="{00000000-0008-0000-0400-00007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5" name="Picture 30" descr="Italia">
          <a:hlinkClick xmlns:r="http://schemas.openxmlformats.org/officeDocument/2006/relationships" r:id="rId96"/>
          <a:extLst>
            <a:ext uri="{FF2B5EF4-FFF2-40B4-BE49-F238E27FC236}">
              <a16:creationId xmlns:a16="http://schemas.microsoft.com/office/drawing/2014/main" id="{00000000-0008-0000-0400-00007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6" name="Picture 31" descr="Nederland">
          <a:hlinkClick xmlns:r="http://schemas.openxmlformats.org/officeDocument/2006/relationships" r:id="rId95"/>
          <a:extLst>
            <a:ext uri="{FF2B5EF4-FFF2-40B4-BE49-F238E27FC236}">
              <a16:creationId xmlns:a16="http://schemas.microsoft.com/office/drawing/2014/main" id="{00000000-0008-0000-0400-00007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7" name="Picture 32" descr="Italia">
          <a:hlinkClick xmlns:r="http://schemas.openxmlformats.org/officeDocument/2006/relationships" r:id="rId96"/>
          <a:extLst>
            <a:ext uri="{FF2B5EF4-FFF2-40B4-BE49-F238E27FC236}">
              <a16:creationId xmlns:a16="http://schemas.microsoft.com/office/drawing/2014/main" id="{00000000-0008-0000-0400-00007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8" name="Picture 34" descr="Deutschland">
          <a:hlinkClick xmlns:r="http://schemas.openxmlformats.org/officeDocument/2006/relationships" r:id="rId102"/>
          <a:extLst>
            <a:ext uri="{FF2B5EF4-FFF2-40B4-BE49-F238E27FC236}">
              <a16:creationId xmlns:a16="http://schemas.microsoft.com/office/drawing/2014/main" id="{00000000-0008-0000-0400-00007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9" name="Picture 36" descr="Israel">
          <a:hlinkClick xmlns:r="http://schemas.openxmlformats.org/officeDocument/2006/relationships" r:id="rId103"/>
          <a:extLst>
            <a:ext uri="{FF2B5EF4-FFF2-40B4-BE49-F238E27FC236}">
              <a16:creationId xmlns:a16="http://schemas.microsoft.com/office/drawing/2014/main" id="{00000000-0008-0000-0400-00007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30" name="Picture 37" descr="Slovensko">
          <a:hlinkClick xmlns:r="http://schemas.openxmlformats.org/officeDocument/2006/relationships" r:id="rId104"/>
          <a:extLst>
            <a:ext uri="{FF2B5EF4-FFF2-40B4-BE49-F238E27FC236}">
              <a16:creationId xmlns:a16="http://schemas.microsoft.com/office/drawing/2014/main" id="{00000000-0008-0000-0400-00007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1" name="Picture 2" descr="España">
          <a:hlinkClick xmlns:r="http://schemas.openxmlformats.org/officeDocument/2006/relationships" r:id="rId90"/>
          <a:extLst>
            <a:ext uri="{FF2B5EF4-FFF2-40B4-BE49-F238E27FC236}">
              <a16:creationId xmlns:a16="http://schemas.microsoft.com/office/drawing/2014/main" id="{00000000-0008-0000-0400-00007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2" name="Picture 3" descr="USA">
          <a:hlinkClick xmlns:r="http://schemas.openxmlformats.org/officeDocument/2006/relationships" r:id="rId91"/>
          <a:extLst>
            <a:ext uri="{FF2B5EF4-FFF2-40B4-BE49-F238E27FC236}">
              <a16:creationId xmlns:a16="http://schemas.microsoft.com/office/drawing/2014/main" id="{00000000-0008-0000-0400-00007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3" name="Picture 5" descr="España">
          <a:hlinkClick xmlns:r="http://schemas.openxmlformats.org/officeDocument/2006/relationships" r:id="rId90"/>
          <a:extLst>
            <a:ext uri="{FF2B5EF4-FFF2-40B4-BE49-F238E27FC236}">
              <a16:creationId xmlns:a16="http://schemas.microsoft.com/office/drawing/2014/main" id="{00000000-0008-0000-0400-00007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4" name="Picture 6" descr="España">
          <a:hlinkClick xmlns:r="http://schemas.openxmlformats.org/officeDocument/2006/relationships" r:id="rId90"/>
          <a:extLst>
            <a:ext uri="{FF2B5EF4-FFF2-40B4-BE49-F238E27FC236}">
              <a16:creationId xmlns:a16="http://schemas.microsoft.com/office/drawing/2014/main" id="{00000000-0008-0000-0400-00007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5" name="Picture 8" descr="Česká republika">
          <a:hlinkClick xmlns:r="http://schemas.openxmlformats.org/officeDocument/2006/relationships" r:id="rId92"/>
          <a:extLst>
            <a:ext uri="{FF2B5EF4-FFF2-40B4-BE49-F238E27FC236}">
              <a16:creationId xmlns:a16="http://schemas.microsoft.com/office/drawing/2014/main" id="{00000000-0008-0000-0400-00007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6" name="Picture 9" descr="Sverige">
          <a:hlinkClick xmlns:r="http://schemas.openxmlformats.org/officeDocument/2006/relationships" r:id="rId93"/>
          <a:extLst>
            <a:ext uri="{FF2B5EF4-FFF2-40B4-BE49-F238E27FC236}">
              <a16:creationId xmlns:a16="http://schemas.microsoft.com/office/drawing/2014/main" id="{00000000-0008-0000-0400-00007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7" name="Picture 11" descr="Suomi">
          <a:hlinkClick xmlns:r="http://schemas.openxmlformats.org/officeDocument/2006/relationships" r:id="rId94"/>
          <a:extLst>
            <a:ext uri="{FF2B5EF4-FFF2-40B4-BE49-F238E27FC236}">
              <a16:creationId xmlns:a16="http://schemas.microsoft.com/office/drawing/2014/main" id="{00000000-0008-0000-0400-00007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8" name="Picture 12" descr="España">
          <a:hlinkClick xmlns:r="http://schemas.openxmlformats.org/officeDocument/2006/relationships" r:id="rId90"/>
          <a:extLst>
            <a:ext uri="{FF2B5EF4-FFF2-40B4-BE49-F238E27FC236}">
              <a16:creationId xmlns:a16="http://schemas.microsoft.com/office/drawing/2014/main" id="{00000000-0008-0000-0400-00007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9" name="Picture 13" descr="Nederland">
          <a:hlinkClick xmlns:r="http://schemas.openxmlformats.org/officeDocument/2006/relationships" r:id="rId95"/>
          <a:extLst>
            <a:ext uri="{FF2B5EF4-FFF2-40B4-BE49-F238E27FC236}">
              <a16:creationId xmlns:a16="http://schemas.microsoft.com/office/drawing/2014/main" id="{00000000-0008-0000-0400-00007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0" name="Picture 14" descr="Italia">
          <a:hlinkClick xmlns:r="http://schemas.openxmlformats.org/officeDocument/2006/relationships" r:id="rId96"/>
          <a:extLst>
            <a:ext uri="{FF2B5EF4-FFF2-40B4-BE49-F238E27FC236}">
              <a16:creationId xmlns:a16="http://schemas.microsoft.com/office/drawing/2014/main" id="{00000000-0008-0000-0400-00008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1" name="Picture 16" descr="España">
          <a:hlinkClick xmlns:r="http://schemas.openxmlformats.org/officeDocument/2006/relationships" r:id="rId90"/>
          <a:extLst>
            <a:ext uri="{FF2B5EF4-FFF2-40B4-BE49-F238E27FC236}">
              <a16:creationId xmlns:a16="http://schemas.microsoft.com/office/drawing/2014/main" id="{00000000-0008-0000-0400-00008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2" name="Picture 18" descr="France">
          <a:hlinkClick xmlns:r="http://schemas.openxmlformats.org/officeDocument/2006/relationships" r:id="rId97"/>
          <a:extLst>
            <a:ext uri="{FF2B5EF4-FFF2-40B4-BE49-F238E27FC236}">
              <a16:creationId xmlns:a16="http://schemas.microsoft.com/office/drawing/2014/main" id="{00000000-0008-0000-0400-00008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3" name="Picture 19" descr="France">
          <a:hlinkClick xmlns:r="http://schemas.openxmlformats.org/officeDocument/2006/relationships" r:id="rId97"/>
          <a:extLst>
            <a:ext uri="{FF2B5EF4-FFF2-40B4-BE49-F238E27FC236}">
              <a16:creationId xmlns:a16="http://schemas.microsoft.com/office/drawing/2014/main" id="{00000000-0008-0000-0400-00008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4" name="Picture 21" descr="Argentina">
          <a:hlinkClick xmlns:r="http://schemas.openxmlformats.org/officeDocument/2006/relationships" r:id="rId98"/>
          <a:extLst>
            <a:ext uri="{FF2B5EF4-FFF2-40B4-BE49-F238E27FC236}">
              <a16:creationId xmlns:a16="http://schemas.microsoft.com/office/drawing/2014/main" id="{00000000-0008-0000-0400-00008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5" name="Picture 23" descr="España">
          <a:hlinkClick xmlns:r="http://schemas.openxmlformats.org/officeDocument/2006/relationships" r:id="rId90"/>
          <a:extLst>
            <a:ext uri="{FF2B5EF4-FFF2-40B4-BE49-F238E27FC236}">
              <a16:creationId xmlns:a16="http://schemas.microsoft.com/office/drawing/2014/main" id="{00000000-0008-0000-0400-00008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6" name="Picture 25" descr="Lubnan">
          <a:hlinkClick xmlns:r="http://schemas.openxmlformats.org/officeDocument/2006/relationships" r:id="rId99"/>
          <a:extLst>
            <a:ext uri="{FF2B5EF4-FFF2-40B4-BE49-F238E27FC236}">
              <a16:creationId xmlns:a16="http://schemas.microsoft.com/office/drawing/2014/main" id="{00000000-0008-0000-0400-00008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7" name="Picture 27" descr="Magyarország">
          <a:hlinkClick xmlns:r="http://schemas.openxmlformats.org/officeDocument/2006/relationships" r:id="rId100"/>
          <a:extLst>
            <a:ext uri="{FF2B5EF4-FFF2-40B4-BE49-F238E27FC236}">
              <a16:creationId xmlns:a16="http://schemas.microsoft.com/office/drawing/2014/main" id="{00000000-0008-0000-0400-00008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8" name="Picture 29" descr="Uruguay">
          <a:hlinkClick xmlns:r="http://schemas.openxmlformats.org/officeDocument/2006/relationships" r:id="rId101"/>
          <a:extLst>
            <a:ext uri="{FF2B5EF4-FFF2-40B4-BE49-F238E27FC236}">
              <a16:creationId xmlns:a16="http://schemas.microsoft.com/office/drawing/2014/main" id="{00000000-0008-0000-0400-00008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9" name="Picture 30" descr="Italia">
          <a:hlinkClick xmlns:r="http://schemas.openxmlformats.org/officeDocument/2006/relationships" r:id="rId96"/>
          <a:extLst>
            <a:ext uri="{FF2B5EF4-FFF2-40B4-BE49-F238E27FC236}">
              <a16:creationId xmlns:a16="http://schemas.microsoft.com/office/drawing/2014/main" id="{00000000-0008-0000-0400-00008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0" name="Picture 31" descr="Nederland">
          <a:hlinkClick xmlns:r="http://schemas.openxmlformats.org/officeDocument/2006/relationships" r:id="rId95"/>
          <a:extLst>
            <a:ext uri="{FF2B5EF4-FFF2-40B4-BE49-F238E27FC236}">
              <a16:creationId xmlns:a16="http://schemas.microsoft.com/office/drawing/2014/main" id="{00000000-0008-0000-0400-00008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1" name="Picture 32" descr="Italia">
          <a:hlinkClick xmlns:r="http://schemas.openxmlformats.org/officeDocument/2006/relationships" r:id="rId96"/>
          <a:extLst>
            <a:ext uri="{FF2B5EF4-FFF2-40B4-BE49-F238E27FC236}">
              <a16:creationId xmlns:a16="http://schemas.microsoft.com/office/drawing/2014/main" id="{00000000-0008-0000-0400-00008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2" name="Picture 34" descr="Deutschland">
          <a:hlinkClick xmlns:r="http://schemas.openxmlformats.org/officeDocument/2006/relationships" r:id="rId102"/>
          <a:extLst>
            <a:ext uri="{FF2B5EF4-FFF2-40B4-BE49-F238E27FC236}">
              <a16:creationId xmlns:a16="http://schemas.microsoft.com/office/drawing/2014/main" id="{00000000-0008-0000-0400-00008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3" name="Picture 36" descr="Israel">
          <a:hlinkClick xmlns:r="http://schemas.openxmlformats.org/officeDocument/2006/relationships" r:id="rId103"/>
          <a:extLst>
            <a:ext uri="{FF2B5EF4-FFF2-40B4-BE49-F238E27FC236}">
              <a16:creationId xmlns:a16="http://schemas.microsoft.com/office/drawing/2014/main" id="{00000000-0008-0000-0400-00008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4" name="Picture 37" descr="Slovensko">
          <a:hlinkClick xmlns:r="http://schemas.openxmlformats.org/officeDocument/2006/relationships" r:id="rId104"/>
          <a:extLst>
            <a:ext uri="{FF2B5EF4-FFF2-40B4-BE49-F238E27FC236}">
              <a16:creationId xmlns:a16="http://schemas.microsoft.com/office/drawing/2014/main" id="{00000000-0008-0000-0400-00008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5" name="Picture 18" descr="France">
          <a:hlinkClick xmlns:r="http://schemas.openxmlformats.org/officeDocument/2006/relationships" r:id="rId97"/>
          <a:extLst>
            <a:ext uri="{FF2B5EF4-FFF2-40B4-BE49-F238E27FC236}">
              <a16:creationId xmlns:a16="http://schemas.microsoft.com/office/drawing/2014/main" id="{00000000-0008-0000-0400-00008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953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6" name="Picture 19" descr="Argentina">
          <a:hlinkClick xmlns:r="http://schemas.openxmlformats.org/officeDocument/2006/relationships" r:id="rId98"/>
          <a:extLst>
            <a:ext uri="{FF2B5EF4-FFF2-40B4-BE49-F238E27FC236}">
              <a16:creationId xmlns:a16="http://schemas.microsoft.com/office/drawing/2014/main" id="{00000000-0008-0000-0400-00009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5143500"/>
          <a:ext cx="9525" cy="9525"/>
        </a:xfrm>
        <a:prstGeom prst="rect">
          <a:avLst/>
        </a:prstGeom>
        <a:noFill/>
      </xdr:spPr>
    </xdr:pic>
    <xdr:clientData/>
  </xdr:twoCellAnchor>
  <xdr:twoCellAnchor editAs="oneCell">
    <xdr:from>
      <xdr:col>11</xdr:col>
      <xdr:colOff>0</xdr:colOff>
      <xdr:row>23</xdr:row>
      <xdr:rowOff>0</xdr:rowOff>
    </xdr:from>
    <xdr:to>
      <xdr:col>11</xdr:col>
      <xdr:colOff>9525</xdr:colOff>
      <xdr:row>23</xdr:row>
      <xdr:rowOff>9525</xdr:rowOff>
    </xdr:to>
    <xdr:pic>
      <xdr:nvPicPr>
        <xdr:cNvPr id="657" name="Picture 20" descr="España">
          <a:hlinkClick xmlns:r="http://schemas.openxmlformats.org/officeDocument/2006/relationships" r:id="rId90"/>
          <a:extLst>
            <a:ext uri="{FF2B5EF4-FFF2-40B4-BE49-F238E27FC236}">
              <a16:creationId xmlns:a16="http://schemas.microsoft.com/office/drawing/2014/main" id="{00000000-0008-0000-0400-00009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5334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58" name="Picture 21" descr="Lubnan">
          <a:hlinkClick xmlns:r="http://schemas.openxmlformats.org/officeDocument/2006/relationships" r:id="rId99"/>
          <a:extLst>
            <a:ext uri="{FF2B5EF4-FFF2-40B4-BE49-F238E27FC236}">
              <a16:creationId xmlns:a16="http://schemas.microsoft.com/office/drawing/2014/main" id="{00000000-0008-0000-0400-00009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59" name="Picture 23" descr="Magyarország">
          <a:hlinkClick xmlns:r="http://schemas.openxmlformats.org/officeDocument/2006/relationships" r:id="rId100"/>
          <a:extLst>
            <a:ext uri="{FF2B5EF4-FFF2-40B4-BE49-F238E27FC236}">
              <a16:creationId xmlns:a16="http://schemas.microsoft.com/office/drawing/2014/main" id="{00000000-0008-0000-0400-00009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0" name="Picture 25" descr="Uruguay">
          <a:hlinkClick xmlns:r="http://schemas.openxmlformats.org/officeDocument/2006/relationships" r:id="rId101"/>
          <a:extLst>
            <a:ext uri="{FF2B5EF4-FFF2-40B4-BE49-F238E27FC236}">
              <a16:creationId xmlns:a16="http://schemas.microsoft.com/office/drawing/2014/main" id="{00000000-0008-0000-0400-00009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1" name="Picture 26" descr="Italia">
          <a:hlinkClick xmlns:r="http://schemas.openxmlformats.org/officeDocument/2006/relationships" r:id="rId96"/>
          <a:extLst>
            <a:ext uri="{FF2B5EF4-FFF2-40B4-BE49-F238E27FC236}">
              <a16:creationId xmlns:a16="http://schemas.microsoft.com/office/drawing/2014/main" id="{00000000-0008-0000-0400-00009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62" name="Picture 30" descr="España">
          <a:hlinkClick xmlns:r="http://schemas.openxmlformats.org/officeDocument/2006/relationships" r:id="rId105"/>
          <a:extLst>
            <a:ext uri="{FF2B5EF4-FFF2-40B4-BE49-F238E27FC236}">
              <a16:creationId xmlns:a16="http://schemas.microsoft.com/office/drawing/2014/main" id="{00000000-0008-0000-0400-00009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63" name="Picture 31" descr="España">
          <a:hlinkClick xmlns:r="http://schemas.openxmlformats.org/officeDocument/2006/relationships" r:id="rId105"/>
          <a:extLst>
            <a:ext uri="{FF2B5EF4-FFF2-40B4-BE49-F238E27FC236}">
              <a16:creationId xmlns:a16="http://schemas.microsoft.com/office/drawing/2014/main" id="{00000000-0008-0000-0400-00009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4" name="Picture 32" descr="España">
          <a:hlinkClick xmlns:r="http://schemas.openxmlformats.org/officeDocument/2006/relationships" r:id="rId105"/>
          <a:extLst>
            <a:ext uri="{FF2B5EF4-FFF2-40B4-BE49-F238E27FC236}">
              <a16:creationId xmlns:a16="http://schemas.microsoft.com/office/drawing/2014/main" id="{00000000-0008-0000-0400-00009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5" name="Picture 33" descr="España">
          <a:hlinkClick xmlns:r="http://schemas.openxmlformats.org/officeDocument/2006/relationships" r:id="rId105"/>
          <a:extLst>
            <a:ext uri="{FF2B5EF4-FFF2-40B4-BE49-F238E27FC236}">
              <a16:creationId xmlns:a16="http://schemas.microsoft.com/office/drawing/2014/main" id="{00000000-0008-0000-0400-00009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6" name="Picture 41" descr="España">
          <a:hlinkClick xmlns:r="http://schemas.openxmlformats.org/officeDocument/2006/relationships" r:id="rId45"/>
          <a:extLst>
            <a:ext uri="{FF2B5EF4-FFF2-40B4-BE49-F238E27FC236}">
              <a16:creationId xmlns:a16="http://schemas.microsoft.com/office/drawing/2014/main" id="{00000000-0008-0000-0400-00009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304800</xdr:colOff>
      <xdr:row>22</xdr:row>
      <xdr:rowOff>95250</xdr:rowOff>
    </xdr:to>
    <xdr:sp macro="" textlink="">
      <xdr:nvSpPr>
        <xdr:cNvPr id="667" name="AutoShape 42" descr="Imprevisible">
          <a:extLst>
            <a:ext uri="{FF2B5EF4-FFF2-40B4-BE49-F238E27FC236}">
              <a16:creationId xmlns:a16="http://schemas.microsoft.com/office/drawing/2014/main" id="{00000000-0008-0000-0400-00009B020000}"/>
            </a:ext>
          </a:extLst>
        </xdr:cNvPr>
        <xdr:cNvSpPr>
          <a:spLocks noChangeAspect="1" noChangeArrowheads="1"/>
        </xdr:cNvSpPr>
      </xdr:nvSpPr>
      <xdr:spPr bwMode="auto">
        <a:xfrm>
          <a:off x="5248275" y="4381500"/>
          <a:ext cx="304800" cy="285750"/>
        </a:xfrm>
        <a:prstGeom prst="rect">
          <a:avLst/>
        </a:prstGeom>
        <a:noFill/>
      </xdr:spPr>
    </xdr:sp>
    <xdr:clientData/>
  </xdr:twoCellAnchor>
  <xdr:twoCellAnchor editAs="oneCell">
    <xdr:from>
      <xdr:col>11</xdr:col>
      <xdr:colOff>0</xdr:colOff>
      <xdr:row>22</xdr:row>
      <xdr:rowOff>0</xdr:rowOff>
    </xdr:from>
    <xdr:to>
      <xdr:col>11</xdr:col>
      <xdr:colOff>9525</xdr:colOff>
      <xdr:row>22</xdr:row>
      <xdr:rowOff>9525</xdr:rowOff>
    </xdr:to>
    <xdr:pic>
      <xdr:nvPicPr>
        <xdr:cNvPr id="668" name="Picture 43" descr="España">
          <a:hlinkClick xmlns:r="http://schemas.openxmlformats.org/officeDocument/2006/relationships" r:id="rId45"/>
          <a:extLst>
            <a:ext uri="{FF2B5EF4-FFF2-40B4-BE49-F238E27FC236}">
              <a16:creationId xmlns:a16="http://schemas.microsoft.com/office/drawing/2014/main" id="{00000000-0008-0000-0400-00009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304800</xdr:colOff>
      <xdr:row>23</xdr:row>
      <xdr:rowOff>104775</xdr:rowOff>
    </xdr:to>
    <xdr:sp macro="" textlink="">
      <xdr:nvSpPr>
        <xdr:cNvPr id="669" name="AutoShape 44" descr="Ràpid">
          <a:extLst>
            <a:ext uri="{FF2B5EF4-FFF2-40B4-BE49-F238E27FC236}">
              <a16:creationId xmlns:a16="http://schemas.microsoft.com/office/drawing/2014/main" id="{00000000-0008-0000-0400-00009D020000}"/>
            </a:ext>
          </a:extLst>
        </xdr:cNvPr>
        <xdr:cNvSpPr>
          <a:spLocks noChangeAspect="1" noChangeArrowheads="1"/>
        </xdr:cNvSpPr>
      </xdr:nvSpPr>
      <xdr:spPr bwMode="auto">
        <a:xfrm>
          <a:off x="5248275" y="4572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0" name="AutoShape 47" descr="Entrenador">
          <a:extLst>
            <a:ext uri="{FF2B5EF4-FFF2-40B4-BE49-F238E27FC236}">
              <a16:creationId xmlns:a16="http://schemas.microsoft.com/office/drawing/2014/main" id="{00000000-0008-0000-0400-00009E020000}"/>
            </a:ext>
          </a:extLst>
        </xdr:cNvPr>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1" name="AutoShape 48" descr="Imprevisible">
          <a:extLst>
            <a:ext uri="{FF2B5EF4-FFF2-40B4-BE49-F238E27FC236}">
              <a16:creationId xmlns:a16="http://schemas.microsoft.com/office/drawing/2014/main" id="{00000000-0008-0000-0400-00009F020000}"/>
            </a:ext>
          </a:extLst>
        </xdr:cNvPr>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19</xdr:row>
      <xdr:rowOff>0</xdr:rowOff>
    </xdr:from>
    <xdr:to>
      <xdr:col>11</xdr:col>
      <xdr:colOff>9525</xdr:colOff>
      <xdr:row>19</xdr:row>
      <xdr:rowOff>9525</xdr:rowOff>
    </xdr:to>
    <xdr:pic>
      <xdr:nvPicPr>
        <xdr:cNvPr id="672" name="Picture 50" descr="Portugal">
          <a:hlinkClick xmlns:r="http://schemas.openxmlformats.org/officeDocument/2006/relationships" r:id="rId50"/>
          <a:extLst>
            <a:ext uri="{FF2B5EF4-FFF2-40B4-BE49-F238E27FC236}">
              <a16:creationId xmlns:a16="http://schemas.microsoft.com/office/drawing/2014/main" id="{00000000-0008-0000-0400-0000A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304800</xdr:colOff>
      <xdr:row>20</xdr:row>
      <xdr:rowOff>104775</xdr:rowOff>
    </xdr:to>
    <xdr:sp macro="" textlink="">
      <xdr:nvSpPr>
        <xdr:cNvPr id="673" name="AutoShape 51" descr="Tècnic">
          <a:extLst>
            <a:ext uri="{FF2B5EF4-FFF2-40B4-BE49-F238E27FC236}">
              <a16:creationId xmlns:a16="http://schemas.microsoft.com/office/drawing/2014/main" id="{00000000-0008-0000-0400-0000A1020000}"/>
            </a:ext>
          </a:extLst>
        </xdr:cNvPr>
        <xdr:cNvSpPr>
          <a:spLocks noChangeAspect="1" noChangeArrowheads="1"/>
        </xdr:cNvSpPr>
      </xdr:nvSpPr>
      <xdr:spPr bwMode="auto">
        <a:xfrm>
          <a:off x="5248275" y="3810000"/>
          <a:ext cx="304800" cy="295275"/>
        </a:xfrm>
        <a:prstGeom prst="rect">
          <a:avLst/>
        </a:prstGeom>
        <a:noFill/>
      </xdr:spPr>
    </xdr:sp>
    <xdr:clientData/>
  </xdr:twoCellAnchor>
  <xdr:twoCellAnchor editAs="oneCell">
    <xdr:from>
      <xdr:col>11</xdr:col>
      <xdr:colOff>0</xdr:colOff>
      <xdr:row>20</xdr:row>
      <xdr:rowOff>0</xdr:rowOff>
    </xdr:from>
    <xdr:to>
      <xdr:col>11</xdr:col>
      <xdr:colOff>9525</xdr:colOff>
      <xdr:row>20</xdr:row>
      <xdr:rowOff>9525</xdr:rowOff>
    </xdr:to>
    <xdr:pic>
      <xdr:nvPicPr>
        <xdr:cNvPr id="674" name="Picture 52" descr="România">
          <a:hlinkClick xmlns:r="http://schemas.openxmlformats.org/officeDocument/2006/relationships" r:id="rId58"/>
          <a:extLst>
            <a:ext uri="{FF2B5EF4-FFF2-40B4-BE49-F238E27FC236}">
              <a16:creationId xmlns:a16="http://schemas.microsoft.com/office/drawing/2014/main" id="{00000000-0008-0000-0400-0000A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75" name="Picture 53" descr="España">
          <a:hlinkClick xmlns:r="http://schemas.openxmlformats.org/officeDocument/2006/relationships" r:id="rId45"/>
          <a:extLst>
            <a:ext uri="{FF2B5EF4-FFF2-40B4-BE49-F238E27FC236}">
              <a16:creationId xmlns:a16="http://schemas.microsoft.com/office/drawing/2014/main" id="{00000000-0008-0000-0400-0000A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6" name="Picture 18" descr="Nederland">
          <a:hlinkClick xmlns:r="http://schemas.openxmlformats.org/officeDocument/2006/relationships" r:id="rId10"/>
          <a:extLst>
            <a:ext uri="{FF2B5EF4-FFF2-40B4-BE49-F238E27FC236}">
              <a16:creationId xmlns:a16="http://schemas.microsoft.com/office/drawing/2014/main" id="{00000000-0008-0000-0400-0000A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7" name="Picture 29" descr="Belgium">
          <a:hlinkClick xmlns:r="http://schemas.openxmlformats.org/officeDocument/2006/relationships" r:id="rId15"/>
          <a:extLst>
            <a:ext uri="{FF2B5EF4-FFF2-40B4-BE49-F238E27FC236}">
              <a16:creationId xmlns:a16="http://schemas.microsoft.com/office/drawing/2014/main" id="{00000000-0008-0000-0400-0000A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8" name="Picture 16" descr="Colombia">
          <a:hlinkClick xmlns:r="http://schemas.openxmlformats.org/officeDocument/2006/relationships" r:id="rId21"/>
          <a:extLst>
            <a:ext uri="{FF2B5EF4-FFF2-40B4-BE49-F238E27FC236}">
              <a16:creationId xmlns:a16="http://schemas.microsoft.com/office/drawing/2014/main" id="{00000000-0008-0000-0400-0000A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9" name="Picture 30" descr="España">
          <a:hlinkClick xmlns:r="http://schemas.openxmlformats.org/officeDocument/2006/relationships" r:id="rId17"/>
          <a:extLst>
            <a:ext uri="{FF2B5EF4-FFF2-40B4-BE49-F238E27FC236}">
              <a16:creationId xmlns:a16="http://schemas.microsoft.com/office/drawing/2014/main" id="{00000000-0008-0000-0400-0000A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0" name="Picture 36" descr="España">
          <a:hlinkClick xmlns:r="http://schemas.openxmlformats.org/officeDocument/2006/relationships" r:id="rId17"/>
          <a:extLst>
            <a:ext uri="{FF2B5EF4-FFF2-40B4-BE49-F238E27FC236}">
              <a16:creationId xmlns:a16="http://schemas.microsoft.com/office/drawing/2014/main" id="{00000000-0008-0000-0400-0000A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1" name="Picture 42" descr="Portugal">
          <a:hlinkClick xmlns:r="http://schemas.openxmlformats.org/officeDocument/2006/relationships" r:id="rId22"/>
          <a:extLst>
            <a:ext uri="{FF2B5EF4-FFF2-40B4-BE49-F238E27FC236}">
              <a16:creationId xmlns:a16="http://schemas.microsoft.com/office/drawing/2014/main" id="{00000000-0008-0000-0400-0000A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2" name="Picture 11" descr="Deutschland">
          <a:hlinkClick xmlns:r="http://schemas.openxmlformats.org/officeDocument/2006/relationships" r:id="rId34"/>
          <a:extLst>
            <a:ext uri="{FF2B5EF4-FFF2-40B4-BE49-F238E27FC236}">
              <a16:creationId xmlns:a16="http://schemas.microsoft.com/office/drawing/2014/main" id="{00000000-0008-0000-0400-0000A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3" name="Picture 22" descr="Deutschland">
          <a:hlinkClick xmlns:r="http://schemas.openxmlformats.org/officeDocument/2006/relationships" r:id="rId34"/>
          <a:extLst>
            <a:ext uri="{FF2B5EF4-FFF2-40B4-BE49-F238E27FC236}">
              <a16:creationId xmlns:a16="http://schemas.microsoft.com/office/drawing/2014/main" id="{00000000-0008-0000-0400-0000A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4" name="Picture 28" descr="España">
          <a:hlinkClick xmlns:r="http://schemas.openxmlformats.org/officeDocument/2006/relationships" r:id="rId31"/>
          <a:extLst>
            <a:ext uri="{FF2B5EF4-FFF2-40B4-BE49-F238E27FC236}">
              <a16:creationId xmlns:a16="http://schemas.microsoft.com/office/drawing/2014/main" id="{00000000-0008-0000-0400-0000A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5" name="Picture 34" descr="România">
          <a:hlinkClick xmlns:r="http://schemas.openxmlformats.org/officeDocument/2006/relationships" r:id="rId44"/>
          <a:extLst>
            <a:ext uri="{FF2B5EF4-FFF2-40B4-BE49-F238E27FC236}">
              <a16:creationId xmlns:a16="http://schemas.microsoft.com/office/drawing/2014/main" id="{00000000-0008-0000-0400-0000A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6" name="Picture 11" descr="Deutschland">
          <a:hlinkClick xmlns:r="http://schemas.openxmlformats.org/officeDocument/2006/relationships" r:id="rId48"/>
          <a:extLst>
            <a:ext uri="{FF2B5EF4-FFF2-40B4-BE49-F238E27FC236}">
              <a16:creationId xmlns:a16="http://schemas.microsoft.com/office/drawing/2014/main" id="{00000000-0008-0000-0400-0000A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7" name="Picture 23" descr="España">
          <a:hlinkClick xmlns:r="http://schemas.openxmlformats.org/officeDocument/2006/relationships" r:id="rId45"/>
          <a:extLst>
            <a:ext uri="{FF2B5EF4-FFF2-40B4-BE49-F238E27FC236}">
              <a16:creationId xmlns:a16="http://schemas.microsoft.com/office/drawing/2014/main" id="{00000000-0008-0000-0400-0000A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8" name="Picture 29" descr="España">
          <a:hlinkClick xmlns:r="http://schemas.openxmlformats.org/officeDocument/2006/relationships" r:id="rId45"/>
          <a:extLst>
            <a:ext uri="{FF2B5EF4-FFF2-40B4-BE49-F238E27FC236}">
              <a16:creationId xmlns:a16="http://schemas.microsoft.com/office/drawing/2014/main" id="{00000000-0008-0000-0400-0000B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9" name="Picture 35" descr="España">
          <a:hlinkClick xmlns:r="http://schemas.openxmlformats.org/officeDocument/2006/relationships" r:id="rId45"/>
          <a:extLst>
            <a:ext uri="{FF2B5EF4-FFF2-40B4-BE49-F238E27FC236}">
              <a16:creationId xmlns:a16="http://schemas.microsoft.com/office/drawing/2014/main" id="{00000000-0008-0000-0400-0000B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0" name="Picture 11" descr="Deutschland">
          <a:hlinkClick xmlns:r="http://schemas.openxmlformats.org/officeDocument/2006/relationships" r:id="rId12"/>
          <a:extLst>
            <a:ext uri="{FF2B5EF4-FFF2-40B4-BE49-F238E27FC236}">
              <a16:creationId xmlns:a16="http://schemas.microsoft.com/office/drawing/2014/main" id="{00000000-0008-0000-0400-0000B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1" name="Picture 23" descr="España">
          <a:hlinkClick xmlns:r="http://schemas.openxmlformats.org/officeDocument/2006/relationships" r:id="rId1"/>
          <a:extLst>
            <a:ext uri="{FF2B5EF4-FFF2-40B4-BE49-F238E27FC236}">
              <a16:creationId xmlns:a16="http://schemas.microsoft.com/office/drawing/2014/main" id="{00000000-0008-0000-0400-0000B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2" name="Picture 27" descr="España">
          <a:hlinkClick xmlns:r="http://schemas.openxmlformats.org/officeDocument/2006/relationships" r:id="rId1"/>
          <a:extLst>
            <a:ext uri="{FF2B5EF4-FFF2-40B4-BE49-F238E27FC236}">
              <a16:creationId xmlns:a16="http://schemas.microsoft.com/office/drawing/2014/main" id="{00000000-0008-0000-0400-0000B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3" name="Picture 34" descr="España">
          <a:hlinkClick xmlns:r="http://schemas.openxmlformats.org/officeDocument/2006/relationships" r:id="rId1"/>
          <a:extLst>
            <a:ext uri="{FF2B5EF4-FFF2-40B4-BE49-F238E27FC236}">
              <a16:creationId xmlns:a16="http://schemas.microsoft.com/office/drawing/2014/main" id="{00000000-0008-0000-0400-0000B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4" name="Picture 11" descr="Deutschland">
          <a:hlinkClick xmlns:r="http://schemas.openxmlformats.org/officeDocument/2006/relationships" r:id="rId66"/>
          <a:extLst>
            <a:ext uri="{FF2B5EF4-FFF2-40B4-BE49-F238E27FC236}">
              <a16:creationId xmlns:a16="http://schemas.microsoft.com/office/drawing/2014/main" id="{00000000-0008-0000-0400-0000B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5" name="Picture 24" descr="España">
          <a:hlinkClick xmlns:r="http://schemas.openxmlformats.org/officeDocument/2006/relationships" r:id="rId63"/>
          <a:extLst>
            <a:ext uri="{FF2B5EF4-FFF2-40B4-BE49-F238E27FC236}">
              <a16:creationId xmlns:a16="http://schemas.microsoft.com/office/drawing/2014/main" id="{00000000-0008-0000-0400-0000B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6" name="Picture 29" descr="España">
          <a:hlinkClick xmlns:r="http://schemas.openxmlformats.org/officeDocument/2006/relationships" r:id="rId63"/>
          <a:extLst>
            <a:ext uri="{FF2B5EF4-FFF2-40B4-BE49-F238E27FC236}">
              <a16:creationId xmlns:a16="http://schemas.microsoft.com/office/drawing/2014/main" id="{00000000-0008-0000-0400-0000B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7" name="Picture 36" descr="España">
          <a:hlinkClick xmlns:r="http://schemas.openxmlformats.org/officeDocument/2006/relationships" r:id="rId63"/>
          <a:extLst>
            <a:ext uri="{FF2B5EF4-FFF2-40B4-BE49-F238E27FC236}">
              <a16:creationId xmlns:a16="http://schemas.microsoft.com/office/drawing/2014/main" id="{00000000-0008-0000-0400-0000B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8" name="Picture 11" descr="Deutschland">
          <a:hlinkClick xmlns:r="http://schemas.openxmlformats.org/officeDocument/2006/relationships" r:id="rId79"/>
          <a:extLst>
            <a:ext uri="{FF2B5EF4-FFF2-40B4-BE49-F238E27FC236}">
              <a16:creationId xmlns:a16="http://schemas.microsoft.com/office/drawing/2014/main" id="{00000000-0008-0000-0400-0000B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9" name="Picture 23" descr="Slovenija">
          <a:hlinkClick xmlns:r="http://schemas.openxmlformats.org/officeDocument/2006/relationships" r:id="rId87"/>
          <a:extLst>
            <a:ext uri="{FF2B5EF4-FFF2-40B4-BE49-F238E27FC236}">
              <a16:creationId xmlns:a16="http://schemas.microsoft.com/office/drawing/2014/main" id="{00000000-0008-0000-0400-0000B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0" name="Picture 27" descr="Polska">
          <a:hlinkClick xmlns:r="http://schemas.openxmlformats.org/officeDocument/2006/relationships" r:id="rId85"/>
          <a:extLst>
            <a:ext uri="{FF2B5EF4-FFF2-40B4-BE49-F238E27FC236}">
              <a16:creationId xmlns:a16="http://schemas.microsoft.com/office/drawing/2014/main" id="{00000000-0008-0000-0400-0000B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1" name="Picture 32" descr="España">
          <a:hlinkClick xmlns:r="http://schemas.openxmlformats.org/officeDocument/2006/relationships" r:id="rId77"/>
          <a:extLst>
            <a:ext uri="{FF2B5EF4-FFF2-40B4-BE49-F238E27FC236}">
              <a16:creationId xmlns:a16="http://schemas.microsoft.com/office/drawing/2014/main" id="{00000000-0008-0000-0400-0000B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2" name="Picture 14" descr="España">
          <a:hlinkClick xmlns:r="http://schemas.openxmlformats.org/officeDocument/2006/relationships" r:id="rId1"/>
          <a:extLst>
            <a:ext uri="{FF2B5EF4-FFF2-40B4-BE49-F238E27FC236}">
              <a16:creationId xmlns:a16="http://schemas.microsoft.com/office/drawing/2014/main" id="{00000000-0008-0000-0400-0000B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3" name="Picture 16" descr="Nederland">
          <a:hlinkClick xmlns:r="http://schemas.openxmlformats.org/officeDocument/2006/relationships" r:id="rId10"/>
          <a:extLst>
            <a:ext uri="{FF2B5EF4-FFF2-40B4-BE49-F238E27FC236}">
              <a16:creationId xmlns:a16="http://schemas.microsoft.com/office/drawing/2014/main" id="{00000000-0008-0000-0400-0000B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4" name="Picture 17" descr="Polska">
          <a:hlinkClick xmlns:r="http://schemas.openxmlformats.org/officeDocument/2006/relationships" r:id="rId5"/>
          <a:extLst>
            <a:ext uri="{FF2B5EF4-FFF2-40B4-BE49-F238E27FC236}">
              <a16:creationId xmlns:a16="http://schemas.microsoft.com/office/drawing/2014/main" id="{00000000-0008-0000-0400-0000C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5" name="Picture 19" descr="Danmark">
          <a:hlinkClick xmlns:r="http://schemas.openxmlformats.org/officeDocument/2006/relationships" r:id="rId11"/>
          <a:extLst>
            <a:ext uri="{FF2B5EF4-FFF2-40B4-BE49-F238E27FC236}">
              <a16:creationId xmlns:a16="http://schemas.microsoft.com/office/drawing/2014/main" id="{00000000-0008-0000-0400-0000C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6" name="Picture 20" descr="España">
          <a:hlinkClick xmlns:r="http://schemas.openxmlformats.org/officeDocument/2006/relationships" r:id="rId1"/>
          <a:extLst>
            <a:ext uri="{FF2B5EF4-FFF2-40B4-BE49-F238E27FC236}">
              <a16:creationId xmlns:a16="http://schemas.microsoft.com/office/drawing/2014/main" id="{00000000-0008-0000-0400-0000C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7" name="Picture 21" descr="Deutschland">
          <a:hlinkClick xmlns:r="http://schemas.openxmlformats.org/officeDocument/2006/relationships" r:id="rId12"/>
          <a:extLst>
            <a:ext uri="{FF2B5EF4-FFF2-40B4-BE49-F238E27FC236}">
              <a16:creationId xmlns:a16="http://schemas.microsoft.com/office/drawing/2014/main" id="{00000000-0008-0000-0400-0000C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8" name="Picture 22" descr="España">
          <a:hlinkClick xmlns:r="http://schemas.openxmlformats.org/officeDocument/2006/relationships" r:id="rId1"/>
          <a:extLst>
            <a:ext uri="{FF2B5EF4-FFF2-40B4-BE49-F238E27FC236}">
              <a16:creationId xmlns:a16="http://schemas.microsoft.com/office/drawing/2014/main" id="{00000000-0008-0000-0400-0000C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9" name="Picture 23" descr="España">
          <a:hlinkClick xmlns:r="http://schemas.openxmlformats.org/officeDocument/2006/relationships" r:id="rId1"/>
          <a:extLst>
            <a:ext uri="{FF2B5EF4-FFF2-40B4-BE49-F238E27FC236}">
              <a16:creationId xmlns:a16="http://schemas.microsoft.com/office/drawing/2014/main" id="{00000000-0008-0000-0400-0000C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0" name="Picture 24" descr="España">
          <a:hlinkClick xmlns:r="http://schemas.openxmlformats.org/officeDocument/2006/relationships" r:id="rId1"/>
          <a:extLst>
            <a:ext uri="{FF2B5EF4-FFF2-40B4-BE49-F238E27FC236}">
              <a16:creationId xmlns:a16="http://schemas.microsoft.com/office/drawing/2014/main" id="{00000000-0008-0000-0400-0000C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1" name="Picture 25" descr="Israel">
          <a:hlinkClick xmlns:r="http://schemas.openxmlformats.org/officeDocument/2006/relationships" r:id="rId13"/>
          <a:extLst>
            <a:ext uri="{FF2B5EF4-FFF2-40B4-BE49-F238E27FC236}">
              <a16:creationId xmlns:a16="http://schemas.microsoft.com/office/drawing/2014/main" id="{00000000-0008-0000-0400-0000C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2" name="Picture 26" descr="España">
          <a:hlinkClick xmlns:r="http://schemas.openxmlformats.org/officeDocument/2006/relationships" r:id="rId1"/>
          <a:extLst>
            <a:ext uri="{FF2B5EF4-FFF2-40B4-BE49-F238E27FC236}">
              <a16:creationId xmlns:a16="http://schemas.microsoft.com/office/drawing/2014/main" id="{00000000-0008-0000-0400-0000C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3" name="Picture 27" descr="Việt Nam">
          <a:hlinkClick xmlns:r="http://schemas.openxmlformats.org/officeDocument/2006/relationships" r:id="rId14"/>
          <a:extLst>
            <a:ext uri="{FF2B5EF4-FFF2-40B4-BE49-F238E27FC236}">
              <a16:creationId xmlns:a16="http://schemas.microsoft.com/office/drawing/2014/main" id="{00000000-0008-0000-0400-0000C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4" name="Picture 28" descr="Italia">
          <a:hlinkClick xmlns:r="http://schemas.openxmlformats.org/officeDocument/2006/relationships" r:id="rId4"/>
          <a:extLst>
            <a:ext uri="{FF2B5EF4-FFF2-40B4-BE49-F238E27FC236}">
              <a16:creationId xmlns:a16="http://schemas.microsoft.com/office/drawing/2014/main" id="{00000000-0008-0000-0400-0000C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5" name="Picture 30" descr="España">
          <a:hlinkClick xmlns:r="http://schemas.openxmlformats.org/officeDocument/2006/relationships" r:id="rId1"/>
          <a:extLst>
            <a:ext uri="{FF2B5EF4-FFF2-40B4-BE49-F238E27FC236}">
              <a16:creationId xmlns:a16="http://schemas.microsoft.com/office/drawing/2014/main" id="{00000000-0008-0000-0400-0000C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6" name="Picture 32" descr="Portugal">
          <a:hlinkClick xmlns:r="http://schemas.openxmlformats.org/officeDocument/2006/relationships" r:id="rId16"/>
          <a:extLst>
            <a:ext uri="{FF2B5EF4-FFF2-40B4-BE49-F238E27FC236}">
              <a16:creationId xmlns:a16="http://schemas.microsoft.com/office/drawing/2014/main" id="{00000000-0008-0000-0400-0000C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7" name="Picture 12" descr="Suomi">
          <a:hlinkClick xmlns:r="http://schemas.openxmlformats.org/officeDocument/2006/relationships" r:id="rId19"/>
          <a:extLst>
            <a:ext uri="{FF2B5EF4-FFF2-40B4-BE49-F238E27FC236}">
              <a16:creationId xmlns:a16="http://schemas.microsoft.com/office/drawing/2014/main" id="{00000000-0008-0000-0400-0000C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8" name="Picture 14" descr="Deutschland">
          <a:hlinkClick xmlns:r="http://schemas.openxmlformats.org/officeDocument/2006/relationships" r:id="rId20"/>
          <a:extLst>
            <a:ext uri="{FF2B5EF4-FFF2-40B4-BE49-F238E27FC236}">
              <a16:creationId xmlns:a16="http://schemas.microsoft.com/office/drawing/2014/main" id="{00000000-0008-0000-0400-0000C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9" name="Picture 15" descr="España">
          <a:hlinkClick xmlns:r="http://schemas.openxmlformats.org/officeDocument/2006/relationships" r:id="rId17"/>
          <a:extLst>
            <a:ext uri="{FF2B5EF4-FFF2-40B4-BE49-F238E27FC236}">
              <a16:creationId xmlns:a16="http://schemas.microsoft.com/office/drawing/2014/main" id="{00000000-0008-0000-0400-0000C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0" name="Picture 17" descr="Portugal">
          <a:hlinkClick xmlns:r="http://schemas.openxmlformats.org/officeDocument/2006/relationships" r:id="rId22"/>
          <a:extLst>
            <a:ext uri="{FF2B5EF4-FFF2-40B4-BE49-F238E27FC236}">
              <a16:creationId xmlns:a16="http://schemas.microsoft.com/office/drawing/2014/main" id="{00000000-0008-0000-0400-0000D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1" name="Picture 18" descr="Nederland">
          <a:hlinkClick xmlns:r="http://schemas.openxmlformats.org/officeDocument/2006/relationships" r:id="rId23"/>
          <a:extLst>
            <a:ext uri="{FF2B5EF4-FFF2-40B4-BE49-F238E27FC236}">
              <a16:creationId xmlns:a16="http://schemas.microsoft.com/office/drawing/2014/main" id="{00000000-0008-0000-0400-0000D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2" name="Picture 19" descr="Northern Ireland">
          <a:hlinkClick xmlns:r="http://schemas.openxmlformats.org/officeDocument/2006/relationships" r:id="rId24"/>
          <a:extLst>
            <a:ext uri="{FF2B5EF4-FFF2-40B4-BE49-F238E27FC236}">
              <a16:creationId xmlns:a16="http://schemas.microsoft.com/office/drawing/2014/main" id="{00000000-0008-0000-0400-0000D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3" name="Picture 20" descr="China">
          <a:hlinkClick xmlns:r="http://schemas.openxmlformats.org/officeDocument/2006/relationships" r:id="rId25"/>
          <a:extLst>
            <a:ext uri="{FF2B5EF4-FFF2-40B4-BE49-F238E27FC236}">
              <a16:creationId xmlns:a16="http://schemas.microsoft.com/office/drawing/2014/main" id="{00000000-0008-0000-0400-0000D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4" name="Picture 21" descr="Polska">
          <a:hlinkClick xmlns:r="http://schemas.openxmlformats.org/officeDocument/2006/relationships" r:id="rId26"/>
          <a:extLst>
            <a:ext uri="{FF2B5EF4-FFF2-40B4-BE49-F238E27FC236}">
              <a16:creationId xmlns:a16="http://schemas.microsoft.com/office/drawing/2014/main" id="{00000000-0008-0000-0400-0000D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5" name="Picture 23" descr="Nederland">
          <a:hlinkClick xmlns:r="http://schemas.openxmlformats.org/officeDocument/2006/relationships" r:id="rId23"/>
          <a:extLst>
            <a:ext uri="{FF2B5EF4-FFF2-40B4-BE49-F238E27FC236}">
              <a16:creationId xmlns:a16="http://schemas.microsoft.com/office/drawing/2014/main" id="{00000000-0008-0000-0400-0000D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6" name="Picture 25" descr="Danmark">
          <a:hlinkClick xmlns:r="http://schemas.openxmlformats.org/officeDocument/2006/relationships" r:id="rId27"/>
          <a:extLst>
            <a:ext uri="{FF2B5EF4-FFF2-40B4-BE49-F238E27FC236}">
              <a16:creationId xmlns:a16="http://schemas.microsoft.com/office/drawing/2014/main" id="{00000000-0008-0000-0400-0000D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7" name="Picture 26" descr="España">
          <a:hlinkClick xmlns:r="http://schemas.openxmlformats.org/officeDocument/2006/relationships" r:id="rId17"/>
          <a:extLst>
            <a:ext uri="{FF2B5EF4-FFF2-40B4-BE49-F238E27FC236}">
              <a16:creationId xmlns:a16="http://schemas.microsoft.com/office/drawing/2014/main" id="{00000000-0008-0000-0400-0000D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8" name="Picture 27" descr="Deutschland">
          <a:hlinkClick xmlns:r="http://schemas.openxmlformats.org/officeDocument/2006/relationships" r:id="rId20"/>
          <a:extLst>
            <a:ext uri="{FF2B5EF4-FFF2-40B4-BE49-F238E27FC236}">
              <a16:creationId xmlns:a16="http://schemas.microsoft.com/office/drawing/2014/main" id="{00000000-0008-0000-0400-0000D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9" name="Picture 28" descr="Polska">
          <a:hlinkClick xmlns:r="http://schemas.openxmlformats.org/officeDocument/2006/relationships" r:id="rId26"/>
          <a:extLst>
            <a:ext uri="{FF2B5EF4-FFF2-40B4-BE49-F238E27FC236}">
              <a16:creationId xmlns:a16="http://schemas.microsoft.com/office/drawing/2014/main" id="{00000000-0008-0000-0400-0000D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0" name="Picture 31" descr="España">
          <a:hlinkClick xmlns:r="http://schemas.openxmlformats.org/officeDocument/2006/relationships" r:id="rId17"/>
          <a:extLst>
            <a:ext uri="{FF2B5EF4-FFF2-40B4-BE49-F238E27FC236}">
              <a16:creationId xmlns:a16="http://schemas.microsoft.com/office/drawing/2014/main" id="{00000000-0008-0000-0400-0000D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1" name="Picture 33" descr="España">
          <a:hlinkClick xmlns:r="http://schemas.openxmlformats.org/officeDocument/2006/relationships" r:id="rId17"/>
          <a:extLst>
            <a:ext uri="{FF2B5EF4-FFF2-40B4-BE49-F238E27FC236}">
              <a16:creationId xmlns:a16="http://schemas.microsoft.com/office/drawing/2014/main" id="{00000000-0008-0000-0400-0000D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2" name="Picture 37" descr="Việt Nam">
          <a:hlinkClick xmlns:r="http://schemas.openxmlformats.org/officeDocument/2006/relationships" r:id="rId28"/>
          <a:extLst>
            <a:ext uri="{FF2B5EF4-FFF2-40B4-BE49-F238E27FC236}">
              <a16:creationId xmlns:a16="http://schemas.microsoft.com/office/drawing/2014/main" id="{00000000-0008-0000-0400-0000D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3" name="Picture 38" descr="Italia">
          <a:hlinkClick xmlns:r="http://schemas.openxmlformats.org/officeDocument/2006/relationships" r:id="rId29"/>
          <a:extLst>
            <a:ext uri="{FF2B5EF4-FFF2-40B4-BE49-F238E27FC236}">
              <a16:creationId xmlns:a16="http://schemas.microsoft.com/office/drawing/2014/main" id="{00000000-0008-0000-0400-0000D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4" name="Picture 39" descr="España">
          <a:hlinkClick xmlns:r="http://schemas.openxmlformats.org/officeDocument/2006/relationships" r:id="rId17"/>
          <a:extLst>
            <a:ext uri="{FF2B5EF4-FFF2-40B4-BE49-F238E27FC236}">
              <a16:creationId xmlns:a16="http://schemas.microsoft.com/office/drawing/2014/main" id="{00000000-0008-0000-0400-0000D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5" name="Picture 7" descr="España">
          <a:hlinkClick xmlns:r="http://schemas.openxmlformats.org/officeDocument/2006/relationships" r:id="rId31"/>
          <a:extLst>
            <a:ext uri="{FF2B5EF4-FFF2-40B4-BE49-F238E27FC236}">
              <a16:creationId xmlns:a16="http://schemas.microsoft.com/office/drawing/2014/main" id="{00000000-0008-0000-0400-0000D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6" name="Picture 9" descr="España">
          <a:hlinkClick xmlns:r="http://schemas.openxmlformats.org/officeDocument/2006/relationships" r:id="rId31"/>
          <a:extLst>
            <a:ext uri="{FF2B5EF4-FFF2-40B4-BE49-F238E27FC236}">
              <a16:creationId xmlns:a16="http://schemas.microsoft.com/office/drawing/2014/main" id="{00000000-0008-0000-0400-0000E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7" name="Picture 10" descr="Suomi">
          <a:hlinkClick xmlns:r="http://schemas.openxmlformats.org/officeDocument/2006/relationships" r:id="rId33"/>
          <a:extLst>
            <a:ext uri="{FF2B5EF4-FFF2-40B4-BE49-F238E27FC236}">
              <a16:creationId xmlns:a16="http://schemas.microsoft.com/office/drawing/2014/main" id="{00000000-0008-0000-0400-0000E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8" name="Picture 12" descr="Deutschland">
          <a:hlinkClick xmlns:r="http://schemas.openxmlformats.org/officeDocument/2006/relationships" r:id="rId34"/>
          <a:extLst>
            <a:ext uri="{FF2B5EF4-FFF2-40B4-BE49-F238E27FC236}">
              <a16:creationId xmlns:a16="http://schemas.microsoft.com/office/drawing/2014/main" id="{00000000-0008-0000-0400-0000E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9" name="Picture 13" descr="España">
          <a:hlinkClick xmlns:r="http://schemas.openxmlformats.org/officeDocument/2006/relationships" r:id="rId31"/>
          <a:extLst>
            <a:ext uri="{FF2B5EF4-FFF2-40B4-BE49-F238E27FC236}">
              <a16:creationId xmlns:a16="http://schemas.microsoft.com/office/drawing/2014/main" id="{00000000-0008-0000-0400-0000E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0" name="Picture 14" descr="Colombia">
          <a:hlinkClick xmlns:r="http://schemas.openxmlformats.org/officeDocument/2006/relationships" r:id="rId35"/>
          <a:extLst>
            <a:ext uri="{FF2B5EF4-FFF2-40B4-BE49-F238E27FC236}">
              <a16:creationId xmlns:a16="http://schemas.microsoft.com/office/drawing/2014/main" id="{00000000-0008-0000-0400-0000E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1" name="Picture 15" descr="Portugal">
          <a:hlinkClick xmlns:r="http://schemas.openxmlformats.org/officeDocument/2006/relationships" r:id="rId36"/>
          <a:extLst>
            <a:ext uri="{FF2B5EF4-FFF2-40B4-BE49-F238E27FC236}">
              <a16:creationId xmlns:a16="http://schemas.microsoft.com/office/drawing/2014/main" id="{00000000-0008-0000-0400-0000E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2" name="Picture 16" descr="Nederland">
          <a:hlinkClick xmlns:r="http://schemas.openxmlformats.org/officeDocument/2006/relationships" r:id="rId37"/>
          <a:extLst>
            <a:ext uri="{FF2B5EF4-FFF2-40B4-BE49-F238E27FC236}">
              <a16:creationId xmlns:a16="http://schemas.microsoft.com/office/drawing/2014/main" id="{00000000-0008-0000-0400-0000E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3" name="Picture 17" descr="Northern Ireland">
          <a:hlinkClick xmlns:r="http://schemas.openxmlformats.org/officeDocument/2006/relationships" r:id="rId38"/>
          <a:extLst>
            <a:ext uri="{FF2B5EF4-FFF2-40B4-BE49-F238E27FC236}">
              <a16:creationId xmlns:a16="http://schemas.microsoft.com/office/drawing/2014/main" id="{00000000-0008-0000-0400-0000E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4" name="Picture 18" descr="China">
          <a:hlinkClick xmlns:r="http://schemas.openxmlformats.org/officeDocument/2006/relationships" r:id="rId39"/>
          <a:extLst>
            <a:ext uri="{FF2B5EF4-FFF2-40B4-BE49-F238E27FC236}">
              <a16:creationId xmlns:a16="http://schemas.microsoft.com/office/drawing/2014/main" id="{00000000-0008-0000-0400-0000E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5" name="Picture 19" descr="Polska">
          <a:hlinkClick xmlns:r="http://schemas.openxmlformats.org/officeDocument/2006/relationships" r:id="rId40"/>
          <a:extLst>
            <a:ext uri="{FF2B5EF4-FFF2-40B4-BE49-F238E27FC236}">
              <a16:creationId xmlns:a16="http://schemas.microsoft.com/office/drawing/2014/main" id="{00000000-0008-0000-0400-0000E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6" name="Picture 20" descr="Danmark">
          <a:hlinkClick xmlns:r="http://schemas.openxmlformats.org/officeDocument/2006/relationships" r:id="rId41"/>
          <a:extLst>
            <a:ext uri="{FF2B5EF4-FFF2-40B4-BE49-F238E27FC236}">
              <a16:creationId xmlns:a16="http://schemas.microsoft.com/office/drawing/2014/main" id="{00000000-0008-0000-0400-0000E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7" name="Picture 21" descr="España">
          <a:hlinkClick xmlns:r="http://schemas.openxmlformats.org/officeDocument/2006/relationships" r:id="rId31"/>
          <a:extLst>
            <a:ext uri="{FF2B5EF4-FFF2-40B4-BE49-F238E27FC236}">
              <a16:creationId xmlns:a16="http://schemas.microsoft.com/office/drawing/2014/main" id="{00000000-0008-0000-0400-0000E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8" name="Picture 24" descr="Polska">
          <a:hlinkClick xmlns:r="http://schemas.openxmlformats.org/officeDocument/2006/relationships" r:id="rId40"/>
          <a:extLst>
            <a:ext uri="{FF2B5EF4-FFF2-40B4-BE49-F238E27FC236}">
              <a16:creationId xmlns:a16="http://schemas.microsoft.com/office/drawing/2014/main" id="{00000000-0008-0000-0400-0000E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9" name="Picture 27" descr="España">
          <a:hlinkClick xmlns:r="http://schemas.openxmlformats.org/officeDocument/2006/relationships" r:id="rId31"/>
          <a:extLst>
            <a:ext uri="{FF2B5EF4-FFF2-40B4-BE49-F238E27FC236}">
              <a16:creationId xmlns:a16="http://schemas.microsoft.com/office/drawing/2014/main" id="{00000000-0008-0000-0400-0000E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0" name="Picture 29" descr="España">
          <a:hlinkClick xmlns:r="http://schemas.openxmlformats.org/officeDocument/2006/relationships" r:id="rId31"/>
          <a:extLst>
            <a:ext uri="{FF2B5EF4-FFF2-40B4-BE49-F238E27FC236}">
              <a16:creationId xmlns:a16="http://schemas.microsoft.com/office/drawing/2014/main" id="{00000000-0008-0000-0400-0000E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1" name="Picture 30" descr="Việt Nam">
          <a:hlinkClick xmlns:r="http://schemas.openxmlformats.org/officeDocument/2006/relationships" r:id="rId42"/>
          <a:extLst>
            <a:ext uri="{FF2B5EF4-FFF2-40B4-BE49-F238E27FC236}">
              <a16:creationId xmlns:a16="http://schemas.microsoft.com/office/drawing/2014/main" id="{00000000-0008-0000-0400-0000E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2" name="Picture 31" descr="Italia">
          <a:hlinkClick xmlns:r="http://schemas.openxmlformats.org/officeDocument/2006/relationships" r:id="rId43"/>
          <a:extLst>
            <a:ext uri="{FF2B5EF4-FFF2-40B4-BE49-F238E27FC236}">
              <a16:creationId xmlns:a16="http://schemas.microsoft.com/office/drawing/2014/main" id="{00000000-0008-0000-0400-0000F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3" name="Picture 35" descr="España">
          <a:hlinkClick xmlns:r="http://schemas.openxmlformats.org/officeDocument/2006/relationships" r:id="rId31"/>
          <a:extLst>
            <a:ext uri="{FF2B5EF4-FFF2-40B4-BE49-F238E27FC236}">
              <a16:creationId xmlns:a16="http://schemas.microsoft.com/office/drawing/2014/main" id="{00000000-0008-0000-0400-0000F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4" name="Picture 7" descr="España">
          <a:hlinkClick xmlns:r="http://schemas.openxmlformats.org/officeDocument/2006/relationships" r:id="rId45"/>
          <a:extLst>
            <a:ext uri="{FF2B5EF4-FFF2-40B4-BE49-F238E27FC236}">
              <a16:creationId xmlns:a16="http://schemas.microsoft.com/office/drawing/2014/main" id="{00000000-0008-0000-0400-0000F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5" name="Picture 9" descr="España">
          <a:hlinkClick xmlns:r="http://schemas.openxmlformats.org/officeDocument/2006/relationships" r:id="rId45"/>
          <a:extLst>
            <a:ext uri="{FF2B5EF4-FFF2-40B4-BE49-F238E27FC236}">
              <a16:creationId xmlns:a16="http://schemas.microsoft.com/office/drawing/2014/main" id="{00000000-0008-0000-0400-0000F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6" name="Picture 10" descr="Suomi">
          <a:hlinkClick xmlns:r="http://schemas.openxmlformats.org/officeDocument/2006/relationships" r:id="rId47"/>
          <a:extLst>
            <a:ext uri="{FF2B5EF4-FFF2-40B4-BE49-F238E27FC236}">
              <a16:creationId xmlns:a16="http://schemas.microsoft.com/office/drawing/2014/main" id="{00000000-0008-0000-0400-0000F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7" name="Picture 12" descr="Deutschland">
          <a:hlinkClick xmlns:r="http://schemas.openxmlformats.org/officeDocument/2006/relationships" r:id="rId48"/>
          <a:extLst>
            <a:ext uri="{FF2B5EF4-FFF2-40B4-BE49-F238E27FC236}">
              <a16:creationId xmlns:a16="http://schemas.microsoft.com/office/drawing/2014/main" id="{00000000-0008-0000-0400-0000F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8" name="Picture 13" descr="España">
          <a:hlinkClick xmlns:r="http://schemas.openxmlformats.org/officeDocument/2006/relationships" r:id="rId45"/>
          <a:extLst>
            <a:ext uri="{FF2B5EF4-FFF2-40B4-BE49-F238E27FC236}">
              <a16:creationId xmlns:a16="http://schemas.microsoft.com/office/drawing/2014/main" id="{00000000-0008-0000-0400-0000F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9" name="Picture 14" descr="Colombia">
          <a:hlinkClick xmlns:r="http://schemas.openxmlformats.org/officeDocument/2006/relationships" r:id="rId49"/>
          <a:extLst>
            <a:ext uri="{FF2B5EF4-FFF2-40B4-BE49-F238E27FC236}">
              <a16:creationId xmlns:a16="http://schemas.microsoft.com/office/drawing/2014/main" id="{00000000-0008-0000-0400-0000F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0" name="Picture 15" descr="Portugal">
          <a:hlinkClick xmlns:r="http://schemas.openxmlformats.org/officeDocument/2006/relationships" r:id="rId50"/>
          <a:extLst>
            <a:ext uri="{FF2B5EF4-FFF2-40B4-BE49-F238E27FC236}">
              <a16:creationId xmlns:a16="http://schemas.microsoft.com/office/drawing/2014/main" id="{00000000-0008-0000-0400-0000F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1" name="Picture 16" descr="Nederland">
          <a:hlinkClick xmlns:r="http://schemas.openxmlformats.org/officeDocument/2006/relationships" r:id="rId51"/>
          <a:extLst>
            <a:ext uri="{FF2B5EF4-FFF2-40B4-BE49-F238E27FC236}">
              <a16:creationId xmlns:a16="http://schemas.microsoft.com/office/drawing/2014/main" id="{00000000-0008-0000-0400-0000F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2" name="Picture 17" descr="Northern Ireland">
          <a:hlinkClick xmlns:r="http://schemas.openxmlformats.org/officeDocument/2006/relationships" r:id="rId52"/>
          <a:extLst>
            <a:ext uri="{FF2B5EF4-FFF2-40B4-BE49-F238E27FC236}">
              <a16:creationId xmlns:a16="http://schemas.microsoft.com/office/drawing/2014/main" id="{00000000-0008-0000-0400-0000F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3" name="Picture 18" descr="China">
          <a:hlinkClick xmlns:r="http://schemas.openxmlformats.org/officeDocument/2006/relationships" r:id="rId53"/>
          <a:extLst>
            <a:ext uri="{FF2B5EF4-FFF2-40B4-BE49-F238E27FC236}">
              <a16:creationId xmlns:a16="http://schemas.microsoft.com/office/drawing/2014/main" id="{00000000-0008-0000-0400-0000F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4" name="Picture 19" descr="Polska">
          <a:hlinkClick xmlns:r="http://schemas.openxmlformats.org/officeDocument/2006/relationships" r:id="rId54"/>
          <a:extLst>
            <a:ext uri="{FF2B5EF4-FFF2-40B4-BE49-F238E27FC236}">
              <a16:creationId xmlns:a16="http://schemas.microsoft.com/office/drawing/2014/main" id="{00000000-0008-0000-0400-0000F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5" name="Picture 20" descr="Deutschland">
          <a:hlinkClick xmlns:r="http://schemas.openxmlformats.org/officeDocument/2006/relationships" r:id="rId48"/>
          <a:extLst>
            <a:ext uri="{FF2B5EF4-FFF2-40B4-BE49-F238E27FC236}">
              <a16:creationId xmlns:a16="http://schemas.microsoft.com/office/drawing/2014/main" id="{00000000-0008-0000-0400-0000F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6" name="Picture 22" descr="Danmark">
          <a:hlinkClick xmlns:r="http://schemas.openxmlformats.org/officeDocument/2006/relationships" r:id="rId55"/>
          <a:extLst>
            <a:ext uri="{FF2B5EF4-FFF2-40B4-BE49-F238E27FC236}">
              <a16:creationId xmlns:a16="http://schemas.microsoft.com/office/drawing/2014/main" id="{00000000-0008-0000-0400-0000F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7" name="Picture 24" descr="Deutschland">
          <a:hlinkClick xmlns:r="http://schemas.openxmlformats.org/officeDocument/2006/relationships" r:id="rId48"/>
          <a:extLst>
            <a:ext uri="{FF2B5EF4-FFF2-40B4-BE49-F238E27FC236}">
              <a16:creationId xmlns:a16="http://schemas.microsoft.com/office/drawing/2014/main" id="{00000000-0008-0000-0400-0000F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8" name="Picture 28" descr="España">
          <a:hlinkClick xmlns:r="http://schemas.openxmlformats.org/officeDocument/2006/relationships" r:id="rId45"/>
          <a:extLst>
            <a:ext uri="{FF2B5EF4-FFF2-40B4-BE49-F238E27FC236}">
              <a16:creationId xmlns:a16="http://schemas.microsoft.com/office/drawing/2014/main" id="{00000000-0008-0000-0400-00000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9" name="Picture 30" descr="España">
          <a:hlinkClick xmlns:r="http://schemas.openxmlformats.org/officeDocument/2006/relationships" r:id="rId45"/>
          <a:extLst>
            <a:ext uri="{FF2B5EF4-FFF2-40B4-BE49-F238E27FC236}">
              <a16:creationId xmlns:a16="http://schemas.microsoft.com/office/drawing/2014/main" id="{00000000-0008-0000-0400-00000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0" name="Picture 31" descr="España">
          <a:hlinkClick xmlns:r="http://schemas.openxmlformats.org/officeDocument/2006/relationships" r:id="rId45"/>
          <a:extLst>
            <a:ext uri="{FF2B5EF4-FFF2-40B4-BE49-F238E27FC236}">
              <a16:creationId xmlns:a16="http://schemas.microsoft.com/office/drawing/2014/main" id="{00000000-0008-0000-0400-00000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1" name="Picture 32" descr="Việt Nam">
          <a:hlinkClick xmlns:r="http://schemas.openxmlformats.org/officeDocument/2006/relationships" r:id="rId56"/>
          <a:extLst>
            <a:ext uri="{FF2B5EF4-FFF2-40B4-BE49-F238E27FC236}">
              <a16:creationId xmlns:a16="http://schemas.microsoft.com/office/drawing/2014/main" id="{00000000-0008-0000-0400-00000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2" name="Picture 36" descr="España">
          <a:hlinkClick xmlns:r="http://schemas.openxmlformats.org/officeDocument/2006/relationships" r:id="rId45"/>
          <a:extLst>
            <a:ext uri="{FF2B5EF4-FFF2-40B4-BE49-F238E27FC236}">
              <a16:creationId xmlns:a16="http://schemas.microsoft.com/office/drawing/2014/main" id="{00000000-0008-0000-0400-00000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3" name="Picture 7" descr="España">
          <a:hlinkClick xmlns:r="http://schemas.openxmlformats.org/officeDocument/2006/relationships" r:id="rId1"/>
          <a:extLst>
            <a:ext uri="{FF2B5EF4-FFF2-40B4-BE49-F238E27FC236}">
              <a16:creationId xmlns:a16="http://schemas.microsoft.com/office/drawing/2014/main" id="{00000000-0008-0000-0400-00000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4" name="Picture 9" descr="España">
          <a:hlinkClick xmlns:r="http://schemas.openxmlformats.org/officeDocument/2006/relationships" r:id="rId1"/>
          <a:extLst>
            <a:ext uri="{FF2B5EF4-FFF2-40B4-BE49-F238E27FC236}">
              <a16:creationId xmlns:a16="http://schemas.microsoft.com/office/drawing/2014/main" id="{00000000-0008-0000-0400-00000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5" name="Picture 10" descr="Suomi">
          <a:hlinkClick xmlns:r="http://schemas.openxmlformats.org/officeDocument/2006/relationships" r:id="rId59"/>
          <a:extLst>
            <a:ext uri="{FF2B5EF4-FFF2-40B4-BE49-F238E27FC236}">
              <a16:creationId xmlns:a16="http://schemas.microsoft.com/office/drawing/2014/main" id="{00000000-0008-0000-0400-00000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6" name="Picture 12" descr="Deutschland">
          <a:hlinkClick xmlns:r="http://schemas.openxmlformats.org/officeDocument/2006/relationships" r:id="rId12"/>
          <a:extLst>
            <a:ext uri="{FF2B5EF4-FFF2-40B4-BE49-F238E27FC236}">
              <a16:creationId xmlns:a16="http://schemas.microsoft.com/office/drawing/2014/main" id="{00000000-0008-0000-0400-00000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7" name="Picture 13" descr="España">
          <a:hlinkClick xmlns:r="http://schemas.openxmlformats.org/officeDocument/2006/relationships" r:id="rId1"/>
          <a:extLst>
            <a:ext uri="{FF2B5EF4-FFF2-40B4-BE49-F238E27FC236}">
              <a16:creationId xmlns:a16="http://schemas.microsoft.com/office/drawing/2014/main" id="{00000000-0008-0000-0400-00000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8" name="Picture 14" descr="Colombia">
          <a:hlinkClick xmlns:r="http://schemas.openxmlformats.org/officeDocument/2006/relationships" r:id="rId8"/>
          <a:extLst>
            <a:ext uri="{FF2B5EF4-FFF2-40B4-BE49-F238E27FC236}">
              <a16:creationId xmlns:a16="http://schemas.microsoft.com/office/drawing/2014/main" id="{00000000-0008-0000-0400-00000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9" name="Picture 15" descr="Portugal">
          <a:hlinkClick xmlns:r="http://schemas.openxmlformats.org/officeDocument/2006/relationships" r:id="rId16"/>
          <a:extLst>
            <a:ext uri="{FF2B5EF4-FFF2-40B4-BE49-F238E27FC236}">
              <a16:creationId xmlns:a16="http://schemas.microsoft.com/office/drawing/2014/main" id="{00000000-0008-0000-0400-00000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0" name="Picture 16" descr="Nederland">
          <a:hlinkClick xmlns:r="http://schemas.openxmlformats.org/officeDocument/2006/relationships" r:id="rId10"/>
          <a:extLst>
            <a:ext uri="{FF2B5EF4-FFF2-40B4-BE49-F238E27FC236}">
              <a16:creationId xmlns:a16="http://schemas.microsoft.com/office/drawing/2014/main" id="{00000000-0008-0000-0400-00000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1" name="Picture 17" descr="Northern Ireland">
          <a:hlinkClick xmlns:r="http://schemas.openxmlformats.org/officeDocument/2006/relationships" r:id="rId60"/>
          <a:extLst>
            <a:ext uri="{FF2B5EF4-FFF2-40B4-BE49-F238E27FC236}">
              <a16:creationId xmlns:a16="http://schemas.microsoft.com/office/drawing/2014/main" id="{00000000-0008-0000-0400-00000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2" name="Picture 18" descr="China">
          <a:hlinkClick xmlns:r="http://schemas.openxmlformats.org/officeDocument/2006/relationships" r:id="rId61"/>
          <a:extLst>
            <a:ext uri="{FF2B5EF4-FFF2-40B4-BE49-F238E27FC236}">
              <a16:creationId xmlns:a16="http://schemas.microsoft.com/office/drawing/2014/main" id="{00000000-0008-0000-0400-00000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3" name="Picture 19" descr="Polska">
          <a:hlinkClick xmlns:r="http://schemas.openxmlformats.org/officeDocument/2006/relationships" r:id="rId5"/>
          <a:extLst>
            <a:ext uri="{FF2B5EF4-FFF2-40B4-BE49-F238E27FC236}">
              <a16:creationId xmlns:a16="http://schemas.microsoft.com/office/drawing/2014/main" id="{00000000-0008-0000-0400-00000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4" name="Picture 20" descr="Deutschland">
          <a:hlinkClick xmlns:r="http://schemas.openxmlformats.org/officeDocument/2006/relationships" r:id="rId12"/>
          <a:extLst>
            <a:ext uri="{FF2B5EF4-FFF2-40B4-BE49-F238E27FC236}">
              <a16:creationId xmlns:a16="http://schemas.microsoft.com/office/drawing/2014/main" id="{00000000-0008-0000-0400-00001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5" name="Picture 22" descr="Danmark">
          <a:hlinkClick xmlns:r="http://schemas.openxmlformats.org/officeDocument/2006/relationships" r:id="rId11"/>
          <a:extLst>
            <a:ext uri="{FF2B5EF4-FFF2-40B4-BE49-F238E27FC236}">
              <a16:creationId xmlns:a16="http://schemas.microsoft.com/office/drawing/2014/main" id="{00000000-0008-0000-0400-00001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6" name="Picture 26" descr="España">
          <a:hlinkClick xmlns:r="http://schemas.openxmlformats.org/officeDocument/2006/relationships" r:id="rId1"/>
          <a:extLst>
            <a:ext uri="{FF2B5EF4-FFF2-40B4-BE49-F238E27FC236}">
              <a16:creationId xmlns:a16="http://schemas.microsoft.com/office/drawing/2014/main" id="{00000000-0008-0000-0400-00001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7" name="Picture 28" descr="España">
          <a:hlinkClick xmlns:r="http://schemas.openxmlformats.org/officeDocument/2006/relationships" r:id="rId1"/>
          <a:extLst>
            <a:ext uri="{FF2B5EF4-FFF2-40B4-BE49-F238E27FC236}">
              <a16:creationId xmlns:a16="http://schemas.microsoft.com/office/drawing/2014/main" id="{00000000-0008-0000-0400-00001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8" name="Picture 30" descr="España">
          <a:hlinkClick xmlns:r="http://schemas.openxmlformats.org/officeDocument/2006/relationships" r:id="rId1"/>
          <a:extLst>
            <a:ext uri="{FF2B5EF4-FFF2-40B4-BE49-F238E27FC236}">
              <a16:creationId xmlns:a16="http://schemas.microsoft.com/office/drawing/2014/main" id="{00000000-0008-0000-0400-00001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9" name="Picture 35" descr="España">
          <a:hlinkClick xmlns:r="http://schemas.openxmlformats.org/officeDocument/2006/relationships" r:id="rId1"/>
          <a:extLst>
            <a:ext uri="{FF2B5EF4-FFF2-40B4-BE49-F238E27FC236}">
              <a16:creationId xmlns:a16="http://schemas.microsoft.com/office/drawing/2014/main" id="{00000000-0008-0000-0400-00001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0" name="Picture 7" descr="España">
          <a:hlinkClick xmlns:r="http://schemas.openxmlformats.org/officeDocument/2006/relationships" r:id="rId63"/>
          <a:extLst>
            <a:ext uri="{FF2B5EF4-FFF2-40B4-BE49-F238E27FC236}">
              <a16:creationId xmlns:a16="http://schemas.microsoft.com/office/drawing/2014/main" id="{00000000-0008-0000-0400-00001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1" name="Picture 9" descr="España">
          <a:hlinkClick xmlns:r="http://schemas.openxmlformats.org/officeDocument/2006/relationships" r:id="rId63"/>
          <a:extLst>
            <a:ext uri="{FF2B5EF4-FFF2-40B4-BE49-F238E27FC236}">
              <a16:creationId xmlns:a16="http://schemas.microsoft.com/office/drawing/2014/main" id="{00000000-0008-0000-0400-00001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2" name="Picture 10" descr="Suomi">
          <a:hlinkClick xmlns:r="http://schemas.openxmlformats.org/officeDocument/2006/relationships" r:id="rId65"/>
          <a:extLst>
            <a:ext uri="{FF2B5EF4-FFF2-40B4-BE49-F238E27FC236}">
              <a16:creationId xmlns:a16="http://schemas.microsoft.com/office/drawing/2014/main" id="{00000000-0008-0000-0400-00001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3" name="Picture 12" descr="Deutschland">
          <a:hlinkClick xmlns:r="http://schemas.openxmlformats.org/officeDocument/2006/relationships" r:id="rId66"/>
          <a:extLst>
            <a:ext uri="{FF2B5EF4-FFF2-40B4-BE49-F238E27FC236}">
              <a16:creationId xmlns:a16="http://schemas.microsoft.com/office/drawing/2014/main" id="{00000000-0008-0000-0400-00001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4" name="Picture 13" descr="España">
          <a:hlinkClick xmlns:r="http://schemas.openxmlformats.org/officeDocument/2006/relationships" r:id="rId63"/>
          <a:extLst>
            <a:ext uri="{FF2B5EF4-FFF2-40B4-BE49-F238E27FC236}">
              <a16:creationId xmlns:a16="http://schemas.microsoft.com/office/drawing/2014/main" id="{00000000-0008-0000-0400-00001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5" name="Picture 14" descr="Colombia">
          <a:hlinkClick xmlns:r="http://schemas.openxmlformats.org/officeDocument/2006/relationships" r:id="rId67"/>
          <a:extLst>
            <a:ext uri="{FF2B5EF4-FFF2-40B4-BE49-F238E27FC236}">
              <a16:creationId xmlns:a16="http://schemas.microsoft.com/office/drawing/2014/main" id="{00000000-0008-0000-0400-00001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6" name="Picture 15" descr="Portugal">
          <a:hlinkClick xmlns:r="http://schemas.openxmlformats.org/officeDocument/2006/relationships" r:id="rId68"/>
          <a:extLst>
            <a:ext uri="{FF2B5EF4-FFF2-40B4-BE49-F238E27FC236}">
              <a16:creationId xmlns:a16="http://schemas.microsoft.com/office/drawing/2014/main" id="{00000000-0008-0000-0400-00001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7" name="Picture 16" descr="Nederland">
          <a:hlinkClick xmlns:r="http://schemas.openxmlformats.org/officeDocument/2006/relationships" r:id="rId69"/>
          <a:extLst>
            <a:ext uri="{FF2B5EF4-FFF2-40B4-BE49-F238E27FC236}">
              <a16:creationId xmlns:a16="http://schemas.microsoft.com/office/drawing/2014/main" id="{00000000-0008-0000-0400-00001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8" name="Picture 17" descr="Northern Ireland">
          <a:hlinkClick xmlns:r="http://schemas.openxmlformats.org/officeDocument/2006/relationships" r:id="rId70"/>
          <a:extLst>
            <a:ext uri="{FF2B5EF4-FFF2-40B4-BE49-F238E27FC236}">
              <a16:creationId xmlns:a16="http://schemas.microsoft.com/office/drawing/2014/main" id="{00000000-0008-0000-0400-00001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9" name="Picture 19" descr="China">
          <a:hlinkClick xmlns:r="http://schemas.openxmlformats.org/officeDocument/2006/relationships" r:id="rId71"/>
          <a:extLst>
            <a:ext uri="{FF2B5EF4-FFF2-40B4-BE49-F238E27FC236}">
              <a16:creationId xmlns:a16="http://schemas.microsoft.com/office/drawing/2014/main" id="{00000000-0008-0000-0400-00001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0" name="Picture 20" descr="Polska">
          <a:hlinkClick xmlns:r="http://schemas.openxmlformats.org/officeDocument/2006/relationships" r:id="rId72"/>
          <a:extLst>
            <a:ext uri="{FF2B5EF4-FFF2-40B4-BE49-F238E27FC236}">
              <a16:creationId xmlns:a16="http://schemas.microsoft.com/office/drawing/2014/main" id="{00000000-0008-0000-0400-00002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1" name="Picture 21" descr="Deutschland">
          <a:hlinkClick xmlns:r="http://schemas.openxmlformats.org/officeDocument/2006/relationships" r:id="rId66"/>
          <a:extLst>
            <a:ext uri="{FF2B5EF4-FFF2-40B4-BE49-F238E27FC236}">
              <a16:creationId xmlns:a16="http://schemas.microsoft.com/office/drawing/2014/main" id="{00000000-0008-0000-0400-00002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2" name="Picture 23" descr="Danmark">
          <a:hlinkClick xmlns:r="http://schemas.openxmlformats.org/officeDocument/2006/relationships" r:id="rId73"/>
          <a:extLst>
            <a:ext uri="{FF2B5EF4-FFF2-40B4-BE49-F238E27FC236}">
              <a16:creationId xmlns:a16="http://schemas.microsoft.com/office/drawing/2014/main" id="{00000000-0008-0000-0400-00002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3" name="Picture 25" descr="France">
          <a:hlinkClick xmlns:r="http://schemas.openxmlformats.org/officeDocument/2006/relationships" r:id="rId74"/>
          <a:extLst>
            <a:ext uri="{FF2B5EF4-FFF2-40B4-BE49-F238E27FC236}">
              <a16:creationId xmlns:a16="http://schemas.microsoft.com/office/drawing/2014/main" id="{00000000-0008-0000-0400-00002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4" name="Picture 28" descr="España">
          <a:hlinkClick xmlns:r="http://schemas.openxmlformats.org/officeDocument/2006/relationships" r:id="rId63"/>
          <a:extLst>
            <a:ext uri="{FF2B5EF4-FFF2-40B4-BE49-F238E27FC236}">
              <a16:creationId xmlns:a16="http://schemas.microsoft.com/office/drawing/2014/main" id="{00000000-0008-0000-0400-00002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5" name="Picture 30" descr="España">
          <a:hlinkClick xmlns:r="http://schemas.openxmlformats.org/officeDocument/2006/relationships" r:id="rId63"/>
          <a:extLst>
            <a:ext uri="{FF2B5EF4-FFF2-40B4-BE49-F238E27FC236}">
              <a16:creationId xmlns:a16="http://schemas.microsoft.com/office/drawing/2014/main" id="{00000000-0008-0000-0400-00002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6" name="Picture 31" descr="Nederland">
          <a:hlinkClick xmlns:r="http://schemas.openxmlformats.org/officeDocument/2006/relationships" r:id="rId69"/>
          <a:extLst>
            <a:ext uri="{FF2B5EF4-FFF2-40B4-BE49-F238E27FC236}">
              <a16:creationId xmlns:a16="http://schemas.microsoft.com/office/drawing/2014/main" id="{00000000-0008-0000-0400-00002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7" name="Picture 33" descr="España">
          <a:hlinkClick xmlns:r="http://schemas.openxmlformats.org/officeDocument/2006/relationships" r:id="rId63"/>
          <a:extLst>
            <a:ext uri="{FF2B5EF4-FFF2-40B4-BE49-F238E27FC236}">
              <a16:creationId xmlns:a16="http://schemas.microsoft.com/office/drawing/2014/main" id="{00000000-0008-0000-0400-00002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8" name="Picture 37" descr="România">
          <a:hlinkClick xmlns:r="http://schemas.openxmlformats.org/officeDocument/2006/relationships" r:id="rId76"/>
          <a:extLst>
            <a:ext uri="{FF2B5EF4-FFF2-40B4-BE49-F238E27FC236}">
              <a16:creationId xmlns:a16="http://schemas.microsoft.com/office/drawing/2014/main" id="{00000000-0008-0000-0400-00002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9" name="Picture 7" descr="España">
          <a:hlinkClick xmlns:r="http://schemas.openxmlformats.org/officeDocument/2006/relationships" r:id="rId77"/>
          <a:extLst>
            <a:ext uri="{FF2B5EF4-FFF2-40B4-BE49-F238E27FC236}">
              <a16:creationId xmlns:a16="http://schemas.microsoft.com/office/drawing/2014/main" id="{00000000-0008-0000-0400-00002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0" name="Picture 9" descr="España">
          <a:hlinkClick xmlns:r="http://schemas.openxmlformats.org/officeDocument/2006/relationships" r:id="rId77"/>
          <a:extLst>
            <a:ext uri="{FF2B5EF4-FFF2-40B4-BE49-F238E27FC236}">
              <a16:creationId xmlns:a16="http://schemas.microsoft.com/office/drawing/2014/main" id="{00000000-0008-0000-0400-00002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1" name="Picture 10" descr="Suomi">
          <a:hlinkClick xmlns:r="http://schemas.openxmlformats.org/officeDocument/2006/relationships" r:id="rId78"/>
          <a:extLst>
            <a:ext uri="{FF2B5EF4-FFF2-40B4-BE49-F238E27FC236}">
              <a16:creationId xmlns:a16="http://schemas.microsoft.com/office/drawing/2014/main" id="{00000000-0008-0000-0400-00002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2" name="Picture 12" descr="Deutschland">
          <a:hlinkClick xmlns:r="http://schemas.openxmlformats.org/officeDocument/2006/relationships" r:id="rId79"/>
          <a:extLst>
            <a:ext uri="{FF2B5EF4-FFF2-40B4-BE49-F238E27FC236}">
              <a16:creationId xmlns:a16="http://schemas.microsoft.com/office/drawing/2014/main" id="{00000000-0008-0000-0400-00002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3" name="Picture 13" descr="España">
          <a:hlinkClick xmlns:r="http://schemas.openxmlformats.org/officeDocument/2006/relationships" r:id="rId77"/>
          <a:extLst>
            <a:ext uri="{FF2B5EF4-FFF2-40B4-BE49-F238E27FC236}">
              <a16:creationId xmlns:a16="http://schemas.microsoft.com/office/drawing/2014/main" id="{00000000-0008-0000-0400-00002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4" name="Picture 15" descr="Colombia">
          <a:hlinkClick xmlns:r="http://schemas.openxmlformats.org/officeDocument/2006/relationships" r:id="rId80"/>
          <a:extLst>
            <a:ext uri="{FF2B5EF4-FFF2-40B4-BE49-F238E27FC236}">
              <a16:creationId xmlns:a16="http://schemas.microsoft.com/office/drawing/2014/main" id="{00000000-0008-0000-0400-00002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5" name="Picture 16" descr="Portugal">
          <a:hlinkClick xmlns:r="http://schemas.openxmlformats.org/officeDocument/2006/relationships" r:id="rId81"/>
          <a:extLst>
            <a:ext uri="{FF2B5EF4-FFF2-40B4-BE49-F238E27FC236}">
              <a16:creationId xmlns:a16="http://schemas.microsoft.com/office/drawing/2014/main" id="{00000000-0008-0000-0400-00002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6" name="Picture 17" descr="Nederland">
          <a:hlinkClick xmlns:r="http://schemas.openxmlformats.org/officeDocument/2006/relationships" r:id="rId82"/>
          <a:extLst>
            <a:ext uri="{FF2B5EF4-FFF2-40B4-BE49-F238E27FC236}">
              <a16:creationId xmlns:a16="http://schemas.microsoft.com/office/drawing/2014/main" id="{00000000-0008-0000-0400-00003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7" name="Picture 18" descr="Northern Ireland">
          <a:hlinkClick xmlns:r="http://schemas.openxmlformats.org/officeDocument/2006/relationships" r:id="rId83"/>
          <a:extLst>
            <a:ext uri="{FF2B5EF4-FFF2-40B4-BE49-F238E27FC236}">
              <a16:creationId xmlns:a16="http://schemas.microsoft.com/office/drawing/2014/main" id="{00000000-0008-0000-0400-00003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8" name="Picture 19" descr="China">
          <a:hlinkClick xmlns:r="http://schemas.openxmlformats.org/officeDocument/2006/relationships" r:id="rId84"/>
          <a:extLst>
            <a:ext uri="{FF2B5EF4-FFF2-40B4-BE49-F238E27FC236}">
              <a16:creationId xmlns:a16="http://schemas.microsoft.com/office/drawing/2014/main" id="{00000000-0008-0000-0400-00003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9" name="Picture 20" descr="Polska">
          <a:hlinkClick xmlns:r="http://schemas.openxmlformats.org/officeDocument/2006/relationships" r:id="rId85"/>
          <a:extLst>
            <a:ext uri="{FF2B5EF4-FFF2-40B4-BE49-F238E27FC236}">
              <a16:creationId xmlns:a16="http://schemas.microsoft.com/office/drawing/2014/main" id="{00000000-0008-0000-0400-00003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0" name="Picture 21" descr="Deutschland">
          <a:hlinkClick xmlns:r="http://schemas.openxmlformats.org/officeDocument/2006/relationships" r:id="rId79"/>
          <a:extLst>
            <a:ext uri="{FF2B5EF4-FFF2-40B4-BE49-F238E27FC236}">
              <a16:creationId xmlns:a16="http://schemas.microsoft.com/office/drawing/2014/main" id="{00000000-0008-0000-0400-00003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1" name="Picture 22" descr="Danmark">
          <a:hlinkClick xmlns:r="http://schemas.openxmlformats.org/officeDocument/2006/relationships" r:id="rId86"/>
          <a:extLst>
            <a:ext uri="{FF2B5EF4-FFF2-40B4-BE49-F238E27FC236}">
              <a16:creationId xmlns:a16="http://schemas.microsoft.com/office/drawing/2014/main" id="{00000000-0008-0000-0400-00003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2" name="Picture 24" descr="España">
          <a:hlinkClick xmlns:r="http://schemas.openxmlformats.org/officeDocument/2006/relationships" r:id="rId77"/>
          <a:extLst>
            <a:ext uri="{FF2B5EF4-FFF2-40B4-BE49-F238E27FC236}">
              <a16:creationId xmlns:a16="http://schemas.microsoft.com/office/drawing/2014/main" id="{00000000-0008-0000-0400-00003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3" name="Picture 26" descr="România">
          <a:hlinkClick xmlns:r="http://schemas.openxmlformats.org/officeDocument/2006/relationships" r:id="rId89"/>
          <a:extLst>
            <a:ext uri="{FF2B5EF4-FFF2-40B4-BE49-F238E27FC236}">
              <a16:creationId xmlns:a16="http://schemas.microsoft.com/office/drawing/2014/main" id="{00000000-0008-0000-0400-00003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4" name="Picture 28" descr="España">
          <a:hlinkClick xmlns:r="http://schemas.openxmlformats.org/officeDocument/2006/relationships" r:id="rId77"/>
          <a:extLst>
            <a:ext uri="{FF2B5EF4-FFF2-40B4-BE49-F238E27FC236}">
              <a16:creationId xmlns:a16="http://schemas.microsoft.com/office/drawing/2014/main" id="{00000000-0008-0000-0400-00003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5" name="Picture 29" descr="España">
          <a:hlinkClick xmlns:r="http://schemas.openxmlformats.org/officeDocument/2006/relationships" r:id="rId77"/>
          <a:extLst>
            <a:ext uri="{FF2B5EF4-FFF2-40B4-BE49-F238E27FC236}">
              <a16:creationId xmlns:a16="http://schemas.microsoft.com/office/drawing/2014/main" id="{00000000-0008-0000-0400-00003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6" name="Picture 30" descr="España">
          <a:hlinkClick xmlns:r="http://schemas.openxmlformats.org/officeDocument/2006/relationships" r:id="rId77"/>
          <a:extLst>
            <a:ext uri="{FF2B5EF4-FFF2-40B4-BE49-F238E27FC236}">
              <a16:creationId xmlns:a16="http://schemas.microsoft.com/office/drawing/2014/main" id="{00000000-0008-0000-0400-00003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7" name="Picture 33" descr="Polska">
          <a:hlinkClick xmlns:r="http://schemas.openxmlformats.org/officeDocument/2006/relationships" r:id="rId85"/>
          <a:extLst>
            <a:ext uri="{FF2B5EF4-FFF2-40B4-BE49-F238E27FC236}">
              <a16:creationId xmlns:a16="http://schemas.microsoft.com/office/drawing/2014/main" id="{00000000-0008-0000-0400-00003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8" name="Picture 37" descr="Portugal">
          <a:hlinkClick xmlns:r="http://schemas.openxmlformats.org/officeDocument/2006/relationships" r:id="rId81"/>
          <a:extLst>
            <a:ext uri="{FF2B5EF4-FFF2-40B4-BE49-F238E27FC236}">
              <a16:creationId xmlns:a16="http://schemas.microsoft.com/office/drawing/2014/main" id="{00000000-0008-0000-0400-00003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9" name="Picture 2" descr="España">
          <a:hlinkClick xmlns:r="http://schemas.openxmlformats.org/officeDocument/2006/relationships" r:id="rId90"/>
          <a:extLst>
            <a:ext uri="{FF2B5EF4-FFF2-40B4-BE49-F238E27FC236}">
              <a16:creationId xmlns:a16="http://schemas.microsoft.com/office/drawing/2014/main" id="{00000000-0008-0000-0400-00003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0" name="Picture 3" descr="USA">
          <a:hlinkClick xmlns:r="http://schemas.openxmlformats.org/officeDocument/2006/relationships" r:id="rId91"/>
          <a:extLst>
            <a:ext uri="{FF2B5EF4-FFF2-40B4-BE49-F238E27FC236}">
              <a16:creationId xmlns:a16="http://schemas.microsoft.com/office/drawing/2014/main" id="{00000000-0008-0000-0400-00003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1" name="Picture 5" descr="España">
          <a:hlinkClick xmlns:r="http://schemas.openxmlformats.org/officeDocument/2006/relationships" r:id="rId90"/>
          <a:extLst>
            <a:ext uri="{FF2B5EF4-FFF2-40B4-BE49-F238E27FC236}">
              <a16:creationId xmlns:a16="http://schemas.microsoft.com/office/drawing/2014/main" id="{00000000-0008-0000-0400-00003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2" name="Picture 6" descr="España">
          <a:hlinkClick xmlns:r="http://schemas.openxmlformats.org/officeDocument/2006/relationships" r:id="rId90"/>
          <a:extLst>
            <a:ext uri="{FF2B5EF4-FFF2-40B4-BE49-F238E27FC236}">
              <a16:creationId xmlns:a16="http://schemas.microsoft.com/office/drawing/2014/main" id="{00000000-0008-0000-0400-00004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3" name="Picture 8" descr="Česká republika">
          <a:hlinkClick xmlns:r="http://schemas.openxmlformats.org/officeDocument/2006/relationships" r:id="rId92"/>
          <a:extLst>
            <a:ext uri="{FF2B5EF4-FFF2-40B4-BE49-F238E27FC236}">
              <a16:creationId xmlns:a16="http://schemas.microsoft.com/office/drawing/2014/main" id="{00000000-0008-0000-0400-00004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4" name="Picture 9" descr="Sverige">
          <a:hlinkClick xmlns:r="http://schemas.openxmlformats.org/officeDocument/2006/relationships" r:id="rId93"/>
          <a:extLst>
            <a:ext uri="{FF2B5EF4-FFF2-40B4-BE49-F238E27FC236}">
              <a16:creationId xmlns:a16="http://schemas.microsoft.com/office/drawing/2014/main" id="{00000000-0008-0000-0400-00004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5" name="Picture 11" descr="Suomi">
          <a:hlinkClick xmlns:r="http://schemas.openxmlformats.org/officeDocument/2006/relationships" r:id="rId94"/>
          <a:extLst>
            <a:ext uri="{FF2B5EF4-FFF2-40B4-BE49-F238E27FC236}">
              <a16:creationId xmlns:a16="http://schemas.microsoft.com/office/drawing/2014/main" id="{00000000-0008-0000-0400-00004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6" name="Picture 12" descr="España">
          <a:hlinkClick xmlns:r="http://schemas.openxmlformats.org/officeDocument/2006/relationships" r:id="rId90"/>
          <a:extLst>
            <a:ext uri="{FF2B5EF4-FFF2-40B4-BE49-F238E27FC236}">
              <a16:creationId xmlns:a16="http://schemas.microsoft.com/office/drawing/2014/main" id="{00000000-0008-0000-0400-00004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7" name="Picture 13" descr="Nederland">
          <a:hlinkClick xmlns:r="http://schemas.openxmlformats.org/officeDocument/2006/relationships" r:id="rId95"/>
          <a:extLst>
            <a:ext uri="{FF2B5EF4-FFF2-40B4-BE49-F238E27FC236}">
              <a16:creationId xmlns:a16="http://schemas.microsoft.com/office/drawing/2014/main" id="{00000000-0008-0000-0400-00004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8" name="Picture 14" descr="Italia">
          <a:hlinkClick xmlns:r="http://schemas.openxmlformats.org/officeDocument/2006/relationships" r:id="rId96"/>
          <a:extLst>
            <a:ext uri="{FF2B5EF4-FFF2-40B4-BE49-F238E27FC236}">
              <a16:creationId xmlns:a16="http://schemas.microsoft.com/office/drawing/2014/main" id="{00000000-0008-0000-0400-00004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9" name="Picture 16" descr="España">
          <a:hlinkClick xmlns:r="http://schemas.openxmlformats.org/officeDocument/2006/relationships" r:id="rId90"/>
          <a:extLst>
            <a:ext uri="{FF2B5EF4-FFF2-40B4-BE49-F238E27FC236}">
              <a16:creationId xmlns:a16="http://schemas.microsoft.com/office/drawing/2014/main" id="{00000000-0008-0000-0400-00004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0" name="Picture 18" descr="France">
          <a:hlinkClick xmlns:r="http://schemas.openxmlformats.org/officeDocument/2006/relationships" r:id="rId97"/>
          <a:extLst>
            <a:ext uri="{FF2B5EF4-FFF2-40B4-BE49-F238E27FC236}">
              <a16:creationId xmlns:a16="http://schemas.microsoft.com/office/drawing/2014/main" id="{00000000-0008-0000-0400-00004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1" name="Picture 19" descr="France">
          <a:hlinkClick xmlns:r="http://schemas.openxmlformats.org/officeDocument/2006/relationships" r:id="rId97"/>
          <a:extLst>
            <a:ext uri="{FF2B5EF4-FFF2-40B4-BE49-F238E27FC236}">
              <a16:creationId xmlns:a16="http://schemas.microsoft.com/office/drawing/2014/main" id="{00000000-0008-0000-0400-00004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2" name="Picture 21" descr="Argentina">
          <a:hlinkClick xmlns:r="http://schemas.openxmlformats.org/officeDocument/2006/relationships" r:id="rId98"/>
          <a:extLst>
            <a:ext uri="{FF2B5EF4-FFF2-40B4-BE49-F238E27FC236}">
              <a16:creationId xmlns:a16="http://schemas.microsoft.com/office/drawing/2014/main" id="{00000000-0008-0000-0400-00004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3" name="Picture 23" descr="España">
          <a:hlinkClick xmlns:r="http://schemas.openxmlformats.org/officeDocument/2006/relationships" r:id="rId90"/>
          <a:extLst>
            <a:ext uri="{FF2B5EF4-FFF2-40B4-BE49-F238E27FC236}">
              <a16:creationId xmlns:a16="http://schemas.microsoft.com/office/drawing/2014/main" id="{00000000-0008-0000-0400-00004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4" name="Picture 25" descr="Lubnan">
          <a:hlinkClick xmlns:r="http://schemas.openxmlformats.org/officeDocument/2006/relationships" r:id="rId99"/>
          <a:extLst>
            <a:ext uri="{FF2B5EF4-FFF2-40B4-BE49-F238E27FC236}">
              <a16:creationId xmlns:a16="http://schemas.microsoft.com/office/drawing/2014/main" id="{00000000-0008-0000-0400-00004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5" name="Picture 27" descr="Magyarország">
          <a:hlinkClick xmlns:r="http://schemas.openxmlformats.org/officeDocument/2006/relationships" r:id="rId100"/>
          <a:extLst>
            <a:ext uri="{FF2B5EF4-FFF2-40B4-BE49-F238E27FC236}">
              <a16:creationId xmlns:a16="http://schemas.microsoft.com/office/drawing/2014/main" id="{00000000-0008-0000-0400-00004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6" name="Picture 29" descr="Uruguay">
          <a:hlinkClick xmlns:r="http://schemas.openxmlformats.org/officeDocument/2006/relationships" r:id="rId101"/>
          <a:extLst>
            <a:ext uri="{FF2B5EF4-FFF2-40B4-BE49-F238E27FC236}">
              <a16:creationId xmlns:a16="http://schemas.microsoft.com/office/drawing/2014/main" id="{00000000-0008-0000-0400-00004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7" name="Picture 30" descr="Italia">
          <a:hlinkClick xmlns:r="http://schemas.openxmlformats.org/officeDocument/2006/relationships" r:id="rId96"/>
          <a:extLst>
            <a:ext uri="{FF2B5EF4-FFF2-40B4-BE49-F238E27FC236}">
              <a16:creationId xmlns:a16="http://schemas.microsoft.com/office/drawing/2014/main" id="{00000000-0008-0000-0400-00004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8" name="Picture 31" descr="Nederland">
          <a:hlinkClick xmlns:r="http://schemas.openxmlformats.org/officeDocument/2006/relationships" r:id="rId95"/>
          <a:extLst>
            <a:ext uri="{FF2B5EF4-FFF2-40B4-BE49-F238E27FC236}">
              <a16:creationId xmlns:a16="http://schemas.microsoft.com/office/drawing/2014/main" id="{00000000-0008-0000-0400-00005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9" name="Picture 32" descr="Italia">
          <a:hlinkClick xmlns:r="http://schemas.openxmlformats.org/officeDocument/2006/relationships" r:id="rId96"/>
          <a:extLst>
            <a:ext uri="{FF2B5EF4-FFF2-40B4-BE49-F238E27FC236}">
              <a16:creationId xmlns:a16="http://schemas.microsoft.com/office/drawing/2014/main" id="{00000000-0008-0000-0400-00005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0" name="Picture 34" descr="Deutschland">
          <a:hlinkClick xmlns:r="http://schemas.openxmlformats.org/officeDocument/2006/relationships" r:id="rId102"/>
          <a:extLst>
            <a:ext uri="{FF2B5EF4-FFF2-40B4-BE49-F238E27FC236}">
              <a16:creationId xmlns:a16="http://schemas.microsoft.com/office/drawing/2014/main" id="{00000000-0008-0000-0400-00005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1" name="Picture 36" descr="Israel">
          <a:hlinkClick xmlns:r="http://schemas.openxmlformats.org/officeDocument/2006/relationships" r:id="rId103"/>
          <a:extLst>
            <a:ext uri="{FF2B5EF4-FFF2-40B4-BE49-F238E27FC236}">
              <a16:creationId xmlns:a16="http://schemas.microsoft.com/office/drawing/2014/main" id="{00000000-0008-0000-0400-00005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2" name="Picture 37" descr="Slovensko">
          <a:hlinkClick xmlns:r="http://schemas.openxmlformats.org/officeDocument/2006/relationships" r:id="rId104"/>
          <a:extLst>
            <a:ext uri="{FF2B5EF4-FFF2-40B4-BE49-F238E27FC236}">
              <a16:creationId xmlns:a16="http://schemas.microsoft.com/office/drawing/2014/main" id="{00000000-0008-0000-0400-00005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3" name="Picture 2" descr="España">
          <a:hlinkClick xmlns:r="http://schemas.openxmlformats.org/officeDocument/2006/relationships" r:id="rId90"/>
          <a:extLst>
            <a:ext uri="{FF2B5EF4-FFF2-40B4-BE49-F238E27FC236}">
              <a16:creationId xmlns:a16="http://schemas.microsoft.com/office/drawing/2014/main" id="{00000000-0008-0000-0400-00005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4" name="Picture 3" descr="USA">
          <a:hlinkClick xmlns:r="http://schemas.openxmlformats.org/officeDocument/2006/relationships" r:id="rId91"/>
          <a:extLst>
            <a:ext uri="{FF2B5EF4-FFF2-40B4-BE49-F238E27FC236}">
              <a16:creationId xmlns:a16="http://schemas.microsoft.com/office/drawing/2014/main" id="{00000000-0008-0000-0400-00005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5" name="Picture 5" descr="España">
          <a:hlinkClick xmlns:r="http://schemas.openxmlformats.org/officeDocument/2006/relationships" r:id="rId90"/>
          <a:extLst>
            <a:ext uri="{FF2B5EF4-FFF2-40B4-BE49-F238E27FC236}">
              <a16:creationId xmlns:a16="http://schemas.microsoft.com/office/drawing/2014/main" id="{00000000-0008-0000-0400-00005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6" name="Picture 6" descr="España">
          <a:hlinkClick xmlns:r="http://schemas.openxmlformats.org/officeDocument/2006/relationships" r:id="rId90"/>
          <a:extLst>
            <a:ext uri="{FF2B5EF4-FFF2-40B4-BE49-F238E27FC236}">
              <a16:creationId xmlns:a16="http://schemas.microsoft.com/office/drawing/2014/main" id="{00000000-0008-0000-0400-00005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7" name="Picture 8" descr="Česká republika">
          <a:hlinkClick xmlns:r="http://schemas.openxmlformats.org/officeDocument/2006/relationships" r:id="rId92"/>
          <a:extLst>
            <a:ext uri="{FF2B5EF4-FFF2-40B4-BE49-F238E27FC236}">
              <a16:creationId xmlns:a16="http://schemas.microsoft.com/office/drawing/2014/main" id="{00000000-0008-0000-0400-00005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8" name="Picture 9" descr="Sverige">
          <a:hlinkClick xmlns:r="http://schemas.openxmlformats.org/officeDocument/2006/relationships" r:id="rId93"/>
          <a:extLst>
            <a:ext uri="{FF2B5EF4-FFF2-40B4-BE49-F238E27FC236}">
              <a16:creationId xmlns:a16="http://schemas.microsoft.com/office/drawing/2014/main" id="{00000000-0008-0000-0400-00005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9" name="Picture 11" descr="Suomi">
          <a:hlinkClick xmlns:r="http://schemas.openxmlformats.org/officeDocument/2006/relationships" r:id="rId94"/>
          <a:extLst>
            <a:ext uri="{FF2B5EF4-FFF2-40B4-BE49-F238E27FC236}">
              <a16:creationId xmlns:a16="http://schemas.microsoft.com/office/drawing/2014/main" id="{00000000-0008-0000-0400-00005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0" name="Picture 12" descr="España">
          <a:hlinkClick xmlns:r="http://schemas.openxmlformats.org/officeDocument/2006/relationships" r:id="rId90"/>
          <a:extLst>
            <a:ext uri="{FF2B5EF4-FFF2-40B4-BE49-F238E27FC236}">
              <a16:creationId xmlns:a16="http://schemas.microsoft.com/office/drawing/2014/main" id="{00000000-0008-0000-0400-00005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1" name="Picture 13" descr="Nederland">
          <a:hlinkClick xmlns:r="http://schemas.openxmlformats.org/officeDocument/2006/relationships" r:id="rId95"/>
          <a:extLst>
            <a:ext uri="{FF2B5EF4-FFF2-40B4-BE49-F238E27FC236}">
              <a16:creationId xmlns:a16="http://schemas.microsoft.com/office/drawing/2014/main" id="{00000000-0008-0000-0400-00005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2" name="Picture 14" descr="Italia">
          <a:hlinkClick xmlns:r="http://schemas.openxmlformats.org/officeDocument/2006/relationships" r:id="rId96"/>
          <a:extLst>
            <a:ext uri="{FF2B5EF4-FFF2-40B4-BE49-F238E27FC236}">
              <a16:creationId xmlns:a16="http://schemas.microsoft.com/office/drawing/2014/main" id="{00000000-0008-0000-0400-00005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3" name="Picture 16" descr="España">
          <a:hlinkClick xmlns:r="http://schemas.openxmlformats.org/officeDocument/2006/relationships" r:id="rId90"/>
          <a:extLst>
            <a:ext uri="{FF2B5EF4-FFF2-40B4-BE49-F238E27FC236}">
              <a16:creationId xmlns:a16="http://schemas.microsoft.com/office/drawing/2014/main" id="{00000000-0008-0000-0400-00005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4" name="Picture 18" descr="France">
          <a:hlinkClick xmlns:r="http://schemas.openxmlformats.org/officeDocument/2006/relationships" r:id="rId97"/>
          <a:extLst>
            <a:ext uri="{FF2B5EF4-FFF2-40B4-BE49-F238E27FC236}">
              <a16:creationId xmlns:a16="http://schemas.microsoft.com/office/drawing/2014/main" id="{00000000-0008-0000-0400-00006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5" name="Picture 19" descr="France">
          <a:hlinkClick xmlns:r="http://schemas.openxmlformats.org/officeDocument/2006/relationships" r:id="rId97"/>
          <a:extLst>
            <a:ext uri="{FF2B5EF4-FFF2-40B4-BE49-F238E27FC236}">
              <a16:creationId xmlns:a16="http://schemas.microsoft.com/office/drawing/2014/main" id="{00000000-0008-0000-0400-00006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6" name="Picture 21" descr="Argentina">
          <a:hlinkClick xmlns:r="http://schemas.openxmlformats.org/officeDocument/2006/relationships" r:id="rId98"/>
          <a:extLst>
            <a:ext uri="{FF2B5EF4-FFF2-40B4-BE49-F238E27FC236}">
              <a16:creationId xmlns:a16="http://schemas.microsoft.com/office/drawing/2014/main" id="{00000000-0008-0000-0400-00006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7" name="Picture 23" descr="España">
          <a:hlinkClick xmlns:r="http://schemas.openxmlformats.org/officeDocument/2006/relationships" r:id="rId90"/>
          <a:extLst>
            <a:ext uri="{FF2B5EF4-FFF2-40B4-BE49-F238E27FC236}">
              <a16:creationId xmlns:a16="http://schemas.microsoft.com/office/drawing/2014/main" id="{00000000-0008-0000-0400-00006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8" name="Picture 25" descr="Lubnan">
          <a:hlinkClick xmlns:r="http://schemas.openxmlformats.org/officeDocument/2006/relationships" r:id="rId99"/>
          <a:extLst>
            <a:ext uri="{FF2B5EF4-FFF2-40B4-BE49-F238E27FC236}">
              <a16:creationId xmlns:a16="http://schemas.microsoft.com/office/drawing/2014/main" id="{00000000-0008-0000-0400-00006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9" name="Picture 27" descr="Magyarország">
          <a:hlinkClick xmlns:r="http://schemas.openxmlformats.org/officeDocument/2006/relationships" r:id="rId100"/>
          <a:extLst>
            <a:ext uri="{FF2B5EF4-FFF2-40B4-BE49-F238E27FC236}">
              <a16:creationId xmlns:a16="http://schemas.microsoft.com/office/drawing/2014/main" id="{00000000-0008-0000-0400-00006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0" name="Picture 29" descr="Uruguay">
          <a:hlinkClick xmlns:r="http://schemas.openxmlformats.org/officeDocument/2006/relationships" r:id="rId101"/>
          <a:extLst>
            <a:ext uri="{FF2B5EF4-FFF2-40B4-BE49-F238E27FC236}">
              <a16:creationId xmlns:a16="http://schemas.microsoft.com/office/drawing/2014/main" id="{00000000-0008-0000-0400-00006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1" name="Picture 30" descr="Italia">
          <a:hlinkClick xmlns:r="http://schemas.openxmlformats.org/officeDocument/2006/relationships" r:id="rId96"/>
          <a:extLst>
            <a:ext uri="{FF2B5EF4-FFF2-40B4-BE49-F238E27FC236}">
              <a16:creationId xmlns:a16="http://schemas.microsoft.com/office/drawing/2014/main" id="{00000000-0008-0000-0400-00006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2" name="Picture 31" descr="Nederland">
          <a:hlinkClick xmlns:r="http://schemas.openxmlformats.org/officeDocument/2006/relationships" r:id="rId95"/>
          <a:extLst>
            <a:ext uri="{FF2B5EF4-FFF2-40B4-BE49-F238E27FC236}">
              <a16:creationId xmlns:a16="http://schemas.microsoft.com/office/drawing/2014/main" id="{00000000-0008-0000-0400-00006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3" name="Picture 32" descr="Italia">
          <a:hlinkClick xmlns:r="http://schemas.openxmlformats.org/officeDocument/2006/relationships" r:id="rId96"/>
          <a:extLst>
            <a:ext uri="{FF2B5EF4-FFF2-40B4-BE49-F238E27FC236}">
              <a16:creationId xmlns:a16="http://schemas.microsoft.com/office/drawing/2014/main" id="{00000000-0008-0000-0400-00006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4" name="Picture 34" descr="Deutschland">
          <a:hlinkClick xmlns:r="http://schemas.openxmlformats.org/officeDocument/2006/relationships" r:id="rId102"/>
          <a:extLst>
            <a:ext uri="{FF2B5EF4-FFF2-40B4-BE49-F238E27FC236}">
              <a16:creationId xmlns:a16="http://schemas.microsoft.com/office/drawing/2014/main" id="{00000000-0008-0000-0400-00006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5" name="Picture 36" descr="Israel">
          <a:hlinkClick xmlns:r="http://schemas.openxmlformats.org/officeDocument/2006/relationships" r:id="rId103"/>
          <a:extLst>
            <a:ext uri="{FF2B5EF4-FFF2-40B4-BE49-F238E27FC236}">
              <a16:creationId xmlns:a16="http://schemas.microsoft.com/office/drawing/2014/main" id="{00000000-0008-0000-0400-00006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6" name="Picture 37" descr="Slovensko">
          <a:hlinkClick xmlns:r="http://schemas.openxmlformats.org/officeDocument/2006/relationships" r:id="rId104"/>
          <a:extLst>
            <a:ext uri="{FF2B5EF4-FFF2-40B4-BE49-F238E27FC236}">
              <a16:creationId xmlns:a16="http://schemas.microsoft.com/office/drawing/2014/main" id="{00000000-0008-0000-0400-00006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7" name="Picture 2" descr="España">
          <a:hlinkClick xmlns:r="http://schemas.openxmlformats.org/officeDocument/2006/relationships" r:id="rId90"/>
          <a:extLst>
            <a:ext uri="{FF2B5EF4-FFF2-40B4-BE49-F238E27FC236}">
              <a16:creationId xmlns:a16="http://schemas.microsoft.com/office/drawing/2014/main" id="{00000000-0008-0000-0400-00006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8" name="Picture 3" descr="USA">
          <a:hlinkClick xmlns:r="http://schemas.openxmlformats.org/officeDocument/2006/relationships" r:id="rId91"/>
          <a:extLst>
            <a:ext uri="{FF2B5EF4-FFF2-40B4-BE49-F238E27FC236}">
              <a16:creationId xmlns:a16="http://schemas.microsoft.com/office/drawing/2014/main" id="{00000000-0008-0000-0400-00006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9" name="Picture 5" descr="España">
          <a:hlinkClick xmlns:r="http://schemas.openxmlformats.org/officeDocument/2006/relationships" r:id="rId90"/>
          <a:extLst>
            <a:ext uri="{FF2B5EF4-FFF2-40B4-BE49-F238E27FC236}">
              <a16:creationId xmlns:a16="http://schemas.microsoft.com/office/drawing/2014/main" id="{00000000-0008-0000-0400-00006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0" name="Picture 6" descr="España">
          <a:hlinkClick xmlns:r="http://schemas.openxmlformats.org/officeDocument/2006/relationships" r:id="rId90"/>
          <a:extLst>
            <a:ext uri="{FF2B5EF4-FFF2-40B4-BE49-F238E27FC236}">
              <a16:creationId xmlns:a16="http://schemas.microsoft.com/office/drawing/2014/main" id="{00000000-0008-0000-0400-00007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1" name="Picture 8" descr="Česká republika">
          <a:hlinkClick xmlns:r="http://schemas.openxmlformats.org/officeDocument/2006/relationships" r:id="rId92"/>
          <a:extLst>
            <a:ext uri="{FF2B5EF4-FFF2-40B4-BE49-F238E27FC236}">
              <a16:creationId xmlns:a16="http://schemas.microsoft.com/office/drawing/2014/main" id="{00000000-0008-0000-0400-00007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2" name="Picture 9" descr="Sverige">
          <a:hlinkClick xmlns:r="http://schemas.openxmlformats.org/officeDocument/2006/relationships" r:id="rId93"/>
          <a:extLst>
            <a:ext uri="{FF2B5EF4-FFF2-40B4-BE49-F238E27FC236}">
              <a16:creationId xmlns:a16="http://schemas.microsoft.com/office/drawing/2014/main" id="{00000000-0008-0000-0400-00007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3" name="Picture 11" descr="Suomi">
          <a:hlinkClick xmlns:r="http://schemas.openxmlformats.org/officeDocument/2006/relationships" r:id="rId94"/>
          <a:extLst>
            <a:ext uri="{FF2B5EF4-FFF2-40B4-BE49-F238E27FC236}">
              <a16:creationId xmlns:a16="http://schemas.microsoft.com/office/drawing/2014/main" id="{00000000-0008-0000-0400-00007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4" name="Picture 12" descr="España">
          <a:hlinkClick xmlns:r="http://schemas.openxmlformats.org/officeDocument/2006/relationships" r:id="rId90"/>
          <a:extLst>
            <a:ext uri="{FF2B5EF4-FFF2-40B4-BE49-F238E27FC236}">
              <a16:creationId xmlns:a16="http://schemas.microsoft.com/office/drawing/2014/main" id="{00000000-0008-0000-0400-00007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5" name="Picture 13" descr="Nederland">
          <a:hlinkClick xmlns:r="http://schemas.openxmlformats.org/officeDocument/2006/relationships" r:id="rId95"/>
          <a:extLst>
            <a:ext uri="{FF2B5EF4-FFF2-40B4-BE49-F238E27FC236}">
              <a16:creationId xmlns:a16="http://schemas.microsoft.com/office/drawing/2014/main" id="{00000000-0008-0000-0400-00007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6" name="Picture 14" descr="Italia">
          <a:hlinkClick xmlns:r="http://schemas.openxmlformats.org/officeDocument/2006/relationships" r:id="rId96"/>
          <a:extLst>
            <a:ext uri="{FF2B5EF4-FFF2-40B4-BE49-F238E27FC236}">
              <a16:creationId xmlns:a16="http://schemas.microsoft.com/office/drawing/2014/main" id="{00000000-0008-0000-0400-00007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7" name="Picture 16" descr="España">
          <a:hlinkClick xmlns:r="http://schemas.openxmlformats.org/officeDocument/2006/relationships" r:id="rId90"/>
          <a:extLst>
            <a:ext uri="{FF2B5EF4-FFF2-40B4-BE49-F238E27FC236}">
              <a16:creationId xmlns:a16="http://schemas.microsoft.com/office/drawing/2014/main" id="{00000000-0008-0000-0400-00007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8" name="Picture 18" descr="France">
          <a:hlinkClick xmlns:r="http://schemas.openxmlformats.org/officeDocument/2006/relationships" r:id="rId97"/>
          <a:extLst>
            <a:ext uri="{FF2B5EF4-FFF2-40B4-BE49-F238E27FC236}">
              <a16:creationId xmlns:a16="http://schemas.microsoft.com/office/drawing/2014/main" id="{00000000-0008-0000-0400-00007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9" name="Picture 19" descr="France">
          <a:hlinkClick xmlns:r="http://schemas.openxmlformats.org/officeDocument/2006/relationships" r:id="rId97"/>
          <a:extLst>
            <a:ext uri="{FF2B5EF4-FFF2-40B4-BE49-F238E27FC236}">
              <a16:creationId xmlns:a16="http://schemas.microsoft.com/office/drawing/2014/main" id="{00000000-0008-0000-0400-00007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0" name="Picture 21" descr="Argentina">
          <a:hlinkClick xmlns:r="http://schemas.openxmlformats.org/officeDocument/2006/relationships" r:id="rId98"/>
          <a:extLst>
            <a:ext uri="{FF2B5EF4-FFF2-40B4-BE49-F238E27FC236}">
              <a16:creationId xmlns:a16="http://schemas.microsoft.com/office/drawing/2014/main" id="{00000000-0008-0000-0400-00007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1" name="Picture 23" descr="España">
          <a:hlinkClick xmlns:r="http://schemas.openxmlformats.org/officeDocument/2006/relationships" r:id="rId90"/>
          <a:extLst>
            <a:ext uri="{FF2B5EF4-FFF2-40B4-BE49-F238E27FC236}">
              <a16:creationId xmlns:a16="http://schemas.microsoft.com/office/drawing/2014/main" id="{00000000-0008-0000-0400-00007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2" name="Picture 25" descr="Lubnan">
          <a:hlinkClick xmlns:r="http://schemas.openxmlformats.org/officeDocument/2006/relationships" r:id="rId99"/>
          <a:extLst>
            <a:ext uri="{FF2B5EF4-FFF2-40B4-BE49-F238E27FC236}">
              <a16:creationId xmlns:a16="http://schemas.microsoft.com/office/drawing/2014/main" id="{00000000-0008-0000-0400-00007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3" name="Picture 27" descr="Magyarország">
          <a:hlinkClick xmlns:r="http://schemas.openxmlformats.org/officeDocument/2006/relationships" r:id="rId100"/>
          <a:extLst>
            <a:ext uri="{FF2B5EF4-FFF2-40B4-BE49-F238E27FC236}">
              <a16:creationId xmlns:a16="http://schemas.microsoft.com/office/drawing/2014/main" id="{00000000-0008-0000-0400-00007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4" name="Picture 29" descr="Uruguay">
          <a:hlinkClick xmlns:r="http://schemas.openxmlformats.org/officeDocument/2006/relationships" r:id="rId101"/>
          <a:extLst>
            <a:ext uri="{FF2B5EF4-FFF2-40B4-BE49-F238E27FC236}">
              <a16:creationId xmlns:a16="http://schemas.microsoft.com/office/drawing/2014/main" id="{00000000-0008-0000-0400-00007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5" name="Picture 30" descr="Italia">
          <a:hlinkClick xmlns:r="http://schemas.openxmlformats.org/officeDocument/2006/relationships" r:id="rId96"/>
          <a:extLst>
            <a:ext uri="{FF2B5EF4-FFF2-40B4-BE49-F238E27FC236}">
              <a16:creationId xmlns:a16="http://schemas.microsoft.com/office/drawing/2014/main" id="{00000000-0008-0000-0400-00007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6" name="Picture 31" descr="Nederland">
          <a:hlinkClick xmlns:r="http://schemas.openxmlformats.org/officeDocument/2006/relationships" r:id="rId95"/>
          <a:extLst>
            <a:ext uri="{FF2B5EF4-FFF2-40B4-BE49-F238E27FC236}">
              <a16:creationId xmlns:a16="http://schemas.microsoft.com/office/drawing/2014/main" id="{00000000-0008-0000-0400-00008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7" name="Picture 32" descr="Italia">
          <a:hlinkClick xmlns:r="http://schemas.openxmlformats.org/officeDocument/2006/relationships" r:id="rId96"/>
          <a:extLst>
            <a:ext uri="{FF2B5EF4-FFF2-40B4-BE49-F238E27FC236}">
              <a16:creationId xmlns:a16="http://schemas.microsoft.com/office/drawing/2014/main" id="{00000000-0008-0000-0400-00008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8" name="Picture 34" descr="Deutschland">
          <a:hlinkClick xmlns:r="http://schemas.openxmlformats.org/officeDocument/2006/relationships" r:id="rId102"/>
          <a:extLst>
            <a:ext uri="{FF2B5EF4-FFF2-40B4-BE49-F238E27FC236}">
              <a16:creationId xmlns:a16="http://schemas.microsoft.com/office/drawing/2014/main" id="{00000000-0008-0000-0400-00008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9" name="Picture 36" descr="Israel">
          <a:hlinkClick xmlns:r="http://schemas.openxmlformats.org/officeDocument/2006/relationships" r:id="rId103"/>
          <a:extLst>
            <a:ext uri="{FF2B5EF4-FFF2-40B4-BE49-F238E27FC236}">
              <a16:creationId xmlns:a16="http://schemas.microsoft.com/office/drawing/2014/main" id="{00000000-0008-0000-0400-00008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0" name="Picture 37" descr="Slovensko">
          <a:hlinkClick xmlns:r="http://schemas.openxmlformats.org/officeDocument/2006/relationships" r:id="rId104"/>
          <a:extLst>
            <a:ext uri="{FF2B5EF4-FFF2-40B4-BE49-F238E27FC236}">
              <a16:creationId xmlns:a16="http://schemas.microsoft.com/office/drawing/2014/main" id="{00000000-0008-0000-0400-00008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1" name="Picture 2" descr="España">
          <a:hlinkClick xmlns:r="http://schemas.openxmlformats.org/officeDocument/2006/relationships" r:id="rId90"/>
          <a:extLst>
            <a:ext uri="{FF2B5EF4-FFF2-40B4-BE49-F238E27FC236}">
              <a16:creationId xmlns:a16="http://schemas.microsoft.com/office/drawing/2014/main" id="{00000000-0008-0000-0400-00008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2" name="Picture 3" descr="USA">
          <a:hlinkClick xmlns:r="http://schemas.openxmlformats.org/officeDocument/2006/relationships" r:id="rId91"/>
          <a:extLst>
            <a:ext uri="{FF2B5EF4-FFF2-40B4-BE49-F238E27FC236}">
              <a16:creationId xmlns:a16="http://schemas.microsoft.com/office/drawing/2014/main" id="{00000000-0008-0000-0400-00008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3" name="Picture 5" descr="España">
          <a:hlinkClick xmlns:r="http://schemas.openxmlformats.org/officeDocument/2006/relationships" r:id="rId90"/>
          <a:extLst>
            <a:ext uri="{FF2B5EF4-FFF2-40B4-BE49-F238E27FC236}">
              <a16:creationId xmlns:a16="http://schemas.microsoft.com/office/drawing/2014/main" id="{00000000-0008-0000-0400-00008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4" name="Picture 6" descr="España">
          <a:hlinkClick xmlns:r="http://schemas.openxmlformats.org/officeDocument/2006/relationships" r:id="rId90"/>
          <a:extLst>
            <a:ext uri="{FF2B5EF4-FFF2-40B4-BE49-F238E27FC236}">
              <a16:creationId xmlns:a16="http://schemas.microsoft.com/office/drawing/2014/main" id="{00000000-0008-0000-0400-00008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5" name="Picture 8" descr="Česká republika">
          <a:hlinkClick xmlns:r="http://schemas.openxmlformats.org/officeDocument/2006/relationships" r:id="rId92"/>
          <a:extLst>
            <a:ext uri="{FF2B5EF4-FFF2-40B4-BE49-F238E27FC236}">
              <a16:creationId xmlns:a16="http://schemas.microsoft.com/office/drawing/2014/main" id="{00000000-0008-0000-0400-00008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6" name="Picture 9" descr="Sverige">
          <a:hlinkClick xmlns:r="http://schemas.openxmlformats.org/officeDocument/2006/relationships" r:id="rId93"/>
          <a:extLst>
            <a:ext uri="{FF2B5EF4-FFF2-40B4-BE49-F238E27FC236}">
              <a16:creationId xmlns:a16="http://schemas.microsoft.com/office/drawing/2014/main" id="{00000000-0008-0000-0400-00008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7" name="Picture 11" descr="Suomi">
          <a:hlinkClick xmlns:r="http://schemas.openxmlformats.org/officeDocument/2006/relationships" r:id="rId94"/>
          <a:extLst>
            <a:ext uri="{FF2B5EF4-FFF2-40B4-BE49-F238E27FC236}">
              <a16:creationId xmlns:a16="http://schemas.microsoft.com/office/drawing/2014/main" id="{00000000-0008-0000-0400-00008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8" name="Picture 12" descr="España">
          <a:hlinkClick xmlns:r="http://schemas.openxmlformats.org/officeDocument/2006/relationships" r:id="rId90"/>
          <a:extLst>
            <a:ext uri="{FF2B5EF4-FFF2-40B4-BE49-F238E27FC236}">
              <a16:creationId xmlns:a16="http://schemas.microsoft.com/office/drawing/2014/main" id="{00000000-0008-0000-0400-00008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9" name="Picture 13" descr="Nederland">
          <a:hlinkClick xmlns:r="http://schemas.openxmlformats.org/officeDocument/2006/relationships" r:id="rId95"/>
          <a:extLst>
            <a:ext uri="{FF2B5EF4-FFF2-40B4-BE49-F238E27FC236}">
              <a16:creationId xmlns:a16="http://schemas.microsoft.com/office/drawing/2014/main" id="{00000000-0008-0000-0400-00008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0" name="Picture 14" descr="Italia">
          <a:hlinkClick xmlns:r="http://schemas.openxmlformats.org/officeDocument/2006/relationships" r:id="rId96"/>
          <a:extLst>
            <a:ext uri="{FF2B5EF4-FFF2-40B4-BE49-F238E27FC236}">
              <a16:creationId xmlns:a16="http://schemas.microsoft.com/office/drawing/2014/main" id="{00000000-0008-0000-0400-00008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1" name="Picture 16" descr="España">
          <a:hlinkClick xmlns:r="http://schemas.openxmlformats.org/officeDocument/2006/relationships" r:id="rId90"/>
          <a:extLst>
            <a:ext uri="{FF2B5EF4-FFF2-40B4-BE49-F238E27FC236}">
              <a16:creationId xmlns:a16="http://schemas.microsoft.com/office/drawing/2014/main" id="{00000000-0008-0000-0400-00008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2" name="Picture 18" descr="France">
          <a:hlinkClick xmlns:r="http://schemas.openxmlformats.org/officeDocument/2006/relationships" r:id="rId97"/>
          <a:extLst>
            <a:ext uri="{FF2B5EF4-FFF2-40B4-BE49-F238E27FC236}">
              <a16:creationId xmlns:a16="http://schemas.microsoft.com/office/drawing/2014/main" id="{00000000-0008-0000-0400-00009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3" name="Picture 19" descr="France">
          <a:hlinkClick xmlns:r="http://schemas.openxmlformats.org/officeDocument/2006/relationships" r:id="rId97"/>
          <a:extLst>
            <a:ext uri="{FF2B5EF4-FFF2-40B4-BE49-F238E27FC236}">
              <a16:creationId xmlns:a16="http://schemas.microsoft.com/office/drawing/2014/main" id="{00000000-0008-0000-0400-00009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4" name="Picture 21" descr="Argentina">
          <a:hlinkClick xmlns:r="http://schemas.openxmlformats.org/officeDocument/2006/relationships" r:id="rId98"/>
          <a:extLst>
            <a:ext uri="{FF2B5EF4-FFF2-40B4-BE49-F238E27FC236}">
              <a16:creationId xmlns:a16="http://schemas.microsoft.com/office/drawing/2014/main" id="{00000000-0008-0000-0400-00009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5" name="Picture 23" descr="España">
          <a:hlinkClick xmlns:r="http://schemas.openxmlformats.org/officeDocument/2006/relationships" r:id="rId90"/>
          <a:extLst>
            <a:ext uri="{FF2B5EF4-FFF2-40B4-BE49-F238E27FC236}">
              <a16:creationId xmlns:a16="http://schemas.microsoft.com/office/drawing/2014/main" id="{00000000-0008-0000-0400-00009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6" name="Picture 25" descr="Lubnan">
          <a:hlinkClick xmlns:r="http://schemas.openxmlformats.org/officeDocument/2006/relationships" r:id="rId99"/>
          <a:extLst>
            <a:ext uri="{FF2B5EF4-FFF2-40B4-BE49-F238E27FC236}">
              <a16:creationId xmlns:a16="http://schemas.microsoft.com/office/drawing/2014/main" id="{00000000-0008-0000-0400-00009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7" name="Picture 27" descr="Magyarország">
          <a:hlinkClick xmlns:r="http://schemas.openxmlformats.org/officeDocument/2006/relationships" r:id="rId100"/>
          <a:extLst>
            <a:ext uri="{FF2B5EF4-FFF2-40B4-BE49-F238E27FC236}">
              <a16:creationId xmlns:a16="http://schemas.microsoft.com/office/drawing/2014/main" id="{00000000-0008-0000-0400-00009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8" name="Picture 29" descr="Uruguay">
          <a:hlinkClick xmlns:r="http://schemas.openxmlformats.org/officeDocument/2006/relationships" r:id="rId101"/>
          <a:extLst>
            <a:ext uri="{FF2B5EF4-FFF2-40B4-BE49-F238E27FC236}">
              <a16:creationId xmlns:a16="http://schemas.microsoft.com/office/drawing/2014/main" id="{00000000-0008-0000-0400-00009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9" name="Picture 30" descr="Italia">
          <a:hlinkClick xmlns:r="http://schemas.openxmlformats.org/officeDocument/2006/relationships" r:id="rId96"/>
          <a:extLst>
            <a:ext uri="{FF2B5EF4-FFF2-40B4-BE49-F238E27FC236}">
              <a16:creationId xmlns:a16="http://schemas.microsoft.com/office/drawing/2014/main" id="{00000000-0008-0000-0400-00009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0" name="Picture 31" descr="Nederland">
          <a:hlinkClick xmlns:r="http://schemas.openxmlformats.org/officeDocument/2006/relationships" r:id="rId95"/>
          <a:extLst>
            <a:ext uri="{FF2B5EF4-FFF2-40B4-BE49-F238E27FC236}">
              <a16:creationId xmlns:a16="http://schemas.microsoft.com/office/drawing/2014/main" id="{00000000-0008-0000-0400-00009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1" name="Picture 32" descr="Italia">
          <a:hlinkClick xmlns:r="http://schemas.openxmlformats.org/officeDocument/2006/relationships" r:id="rId96"/>
          <a:extLst>
            <a:ext uri="{FF2B5EF4-FFF2-40B4-BE49-F238E27FC236}">
              <a16:creationId xmlns:a16="http://schemas.microsoft.com/office/drawing/2014/main" id="{00000000-0008-0000-0400-00009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2" name="Picture 34" descr="Deutschland">
          <a:hlinkClick xmlns:r="http://schemas.openxmlformats.org/officeDocument/2006/relationships" r:id="rId102"/>
          <a:extLst>
            <a:ext uri="{FF2B5EF4-FFF2-40B4-BE49-F238E27FC236}">
              <a16:creationId xmlns:a16="http://schemas.microsoft.com/office/drawing/2014/main" id="{00000000-0008-0000-0400-00009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3" name="Picture 36" descr="Israel">
          <a:hlinkClick xmlns:r="http://schemas.openxmlformats.org/officeDocument/2006/relationships" r:id="rId103"/>
          <a:extLst>
            <a:ext uri="{FF2B5EF4-FFF2-40B4-BE49-F238E27FC236}">
              <a16:creationId xmlns:a16="http://schemas.microsoft.com/office/drawing/2014/main" id="{00000000-0008-0000-0400-00009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4" name="Picture 37" descr="Slovensko">
          <a:hlinkClick xmlns:r="http://schemas.openxmlformats.org/officeDocument/2006/relationships" r:id="rId104"/>
          <a:extLst>
            <a:ext uri="{FF2B5EF4-FFF2-40B4-BE49-F238E27FC236}">
              <a16:creationId xmlns:a16="http://schemas.microsoft.com/office/drawing/2014/main" id="{00000000-0008-0000-0400-00009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5" name="Picture 2" descr="España">
          <a:hlinkClick xmlns:r="http://schemas.openxmlformats.org/officeDocument/2006/relationships" r:id="rId90"/>
          <a:extLst>
            <a:ext uri="{FF2B5EF4-FFF2-40B4-BE49-F238E27FC236}">
              <a16:creationId xmlns:a16="http://schemas.microsoft.com/office/drawing/2014/main" id="{00000000-0008-0000-0400-00009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6" name="Picture 3" descr="USA">
          <a:hlinkClick xmlns:r="http://schemas.openxmlformats.org/officeDocument/2006/relationships" r:id="rId91"/>
          <a:extLst>
            <a:ext uri="{FF2B5EF4-FFF2-40B4-BE49-F238E27FC236}">
              <a16:creationId xmlns:a16="http://schemas.microsoft.com/office/drawing/2014/main" id="{00000000-0008-0000-0400-00009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7" name="Picture 5" descr="España">
          <a:hlinkClick xmlns:r="http://schemas.openxmlformats.org/officeDocument/2006/relationships" r:id="rId90"/>
          <a:extLst>
            <a:ext uri="{FF2B5EF4-FFF2-40B4-BE49-F238E27FC236}">
              <a16:creationId xmlns:a16="http://schemas.microsoft.com/office/drawing/2014/main" id="{00000000-0008-0000-0400-00009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8" name="Picture 6" descr="España">
          <a:hlinkClick xmlns:r="http://schemas.openxmlformats.org/officeDocument/2006/relationships" r:id="rId90"/>
          <a:extLst>
            <a:ext uri="{FF2B5EF4-FFF2-40B4-BE49-F238E27FC236}">
              <a16:creationId xmlns:a16="http://schemas.microsoft.com/office/drawing/2014/main" id="{00000000-0008-0000-0400-0000A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9" name="Picture 8" descr="Česká republika">
          <a:hlinkClick xmlns:r="http://schemas.openxmlformats.org/officeDocument/2006/relationships" r:id="rId92"/>
          <a:extLst>
            <a:ext uri="{FF2B5EF4-FFF2-40B4-BE49-F238E27FC236}">
              <a16:creationId xmlns:a16="http://schemas.microsoft.com/office/drawing/2014/main" id="{00000000-0008-0000-0400-0000A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0" name="Picture 9" descr="Sverige">
          <a:hlinkClick xmlns:r="http://schemas.openxmlformats.org/officeDocument/2006/relationships" r:id="rId93"/>
          <a:extLst>
            <a:ext uri="{FF2B5EF4-FFF2-40B4-BE49-F238E27FC236}">
              <a16:creationId xmlns:a16="http://schemas.microsoft.com/office/drawing/2014/main" id="{00000000-0008-0000-0400-0000A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1" name="Picture 11" descr="Suomi">
          <a:hlinkClick xmlns:r="http://schemas.openxmlformats.org/officeDocument/2006/relationships" r:id="rId94"/>
          <a:extLst>
            <a:ext uri="{FF2B5EF4-FFF2-40B4-BE49-F238E27FC236}">
              <a16:creationId xmlns:a16="http://schemas.microsoft.com/office/drawing/2014/main" id="{00000000-0008-0000-0400-0000A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2" name="Picture 12" descr="España">
          <a:hlinkClick xmlns:r="http://schemas.openxmlformats.org/officeDocument/2006/relationships" r:id="rId90"/>
          <a:extLst>
            <a:ext uri="{FF2B5EF4-FFF2-40B4-BE49-F238E27FC236}">
              <a16:creationId xmlns:a16="http://schemas.microsoft.com/office/drawing/2014/main" id="{00000000-0008-0000-0400-0000A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3" name="Picture 13" descr="Nederland">
          <a:hlinkClick xmlns:r="http://schemas.openxmlformats.org/officeDocument/2006/relationships" r:id="rId95"/>
          <a:extLst>
            <a:ext uri="{FF2B5EF4-FFF2-40B4-BE49-F238E27FC236}">
              <a16:creationId xmlns:a16="http://schemas.microsoft.com/office/drawing/2014/main" id="{00000000-0008-0000-0400-0000A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4" name="Picture 14" descr="Italia">
          <a:hlinkClick xmlns:r="http://schemas.openxmlformats.org/officeDocument/2006/relationships" r:id="rId96"/>
          <a:extLst>
            <a:ext uri="{FF2B5EF4-FFF2-40B4-BE49-F238E27FC236}">
              <a16:creationId xmlns:a16="http://schemas.microsoft.com/office/drawing/2014/main" id="{00000000-0008-0000-0400-0000A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5" name="Picture 16" descr="España">
          <a:hlinkClick xmlns:r="http://schemas.openxmlformats.org/officeDocument/2006/relationships" r:id="rId90"/>
          <a:extLst>
            <a:ext uri="{FF2B5EF4-FFF2-40B4-BE49-F238E27FC236}">
              <a16:creationId xmlns:a16="http://schemas.microsoft.com/office/drawing/2014/main" id="{00000000-0008-0000-0400-0000A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6" name="Picture 18" descr="France">
          <a:hlinkClick xmlns:r="http://schemas.openxmlformats.org/officeDocument/2006/relationships" r:id="rId97"/>
          <a:extLst>
            <a:ext uri="{FF2B5EF4-FFF2-40B4-BE49-F238E27FC236}">
              <a16:creationId xmlns:a16="http://schemas.microsoft.com/office/drawing/2014/main" id="{00000000-0008-0000-0400-0000A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7" name="Picture 19" descr="France">
          <a:hlinkClick xmlns:r="http://schemas.openxmlformats.org/officeDocument/2006/relationships" r:id="rId97"/>
          <a:extLst>
            <a:ext uri="{FF2B5EF4-FFF2-40B4-BE49-F238E27FC236}">
              <a16:creationId xmlns:a16="http://schemas.microsoft.com/office/drawing/2014/main" id="{00000000-0008-0000-0400-0000A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8" name="Picture 21" descr="Argentina">
          <a:hlinkClick xmlns:r="http://schemas.openxmlformats.org/officeDocument/2006/relationships" r:id="rId98"/>
          <a:extLst>
            <a:ext uri="{FF2B5EF4-FFF2-40B4-BE49-F238E27FC236}">
              <a16:creationId xmlns:a16="http://schemas.microsoft.com/office/drawing/2014/main" id="{00000000-0008-0000-0400-0000A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9" name="Picture 23" descr="España">
          <a:hlinkClick xmlns:r="http://schemas.openxmlformats.org/officeDocument/2006/relationships" r:id="rId90"/>
          <a:extLst>
            <a:ext uri="{FF2B5EF4-FFF2-40B4-BE49-F238E27FC236}">
              <a16:creationId xmlns:a16="http://schemas.microsoft.com/office/drawing/2014/main" id="{00000000-0008-0000-0400-0000A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0" name="Picture 25" descr="Lubnan">
          <a:hlinkClick xmlns:r="http://schemas.openxmlformats.org/officeDocument/2006/relationships" r:id="rId99"/>
          <a:extLst>
            <a:ext uri="{FF2B5EF4-FFF2-40B4-BE49-F238E27FC236}">
              <a16:creationId xmlns:a16="http://schemas.microsoft.com/office/drawing/2014/main" id="{00000000-0008-0000-0400-0000A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1" name="Picture 27" descr="Magyarország">
          <a:hlinkClick xmlns:r="http://schemas.openxmlformats.org/officeDocument/2006/relationships" r:id="rId100"/>
          <a:extLst>
            <a:ext uri="{FF2B5EF4-FFF2-40B4-BE49-F238E27FC236}">
              <a16:creationId xmlns:a16="http://schemas.microsoft.com/office/drawing/2014/main" id="{00000000-0008-0000-0400-0000A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2" name="Picture 29" descr="Uruguay">
          <a:hlinkClick xmlns:r="http://schemas.openxmlformats.org/officeDocument/2006/relationships" r:id="rId101"/>
          <a:extLst>
            <a:ext uri="{FF2B5EF4-FFF2-40B4-BE49-F238E27FC236}">
              <a16:creationId xmlns:a16="http://schemas.microsoft.com/office/drawing/2014/main" id="{00000000-0008-0000-0400-0000A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3" name="Picture 30" descr="Italia">
          <a:hlinkClick xmlns:r="http://schemas.openxmlformats.org/officeDocument/2006/relationships" r:id="rId96"/>
          <a:extLst>
            <a:ext uri="{FF2B5EF4-FFF2-40B4-BE49-F238E27FC236}">
              <a16:creationId xmlns:a16="http://schemas.microsoft.com/office/drawing/2014/main" id="{00000000-0008-0000-0400-0000A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4" name="Picture 31" descr="Nederland">
          <a:hlinkClick xmlns:r="http://schemas.openxmlformats.org/officeDocument/2006/relationships" r:id="rId95"/>
          <a:extLst>
            <a:ext uri="{FF2B5EF4-FFF2-40B4-BE49-F238E27FC236}">
              <a16:creationId xmlns:a16="http://schemas.microsoft.com/office/drawing/2014/main" id="{00000000-0008-0000-0400-0000B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5" name="Picture 32" descr="Italia">
          <a:hlinkClick xmlns:r="http://schemas.openxmlformats.org/officeDocument/2006/relationships" r:id="rId96"/>
          <a:extLst>
            <a:ext uri="{FF2B5EF4-FFF2-40B4-BE49-F238E27FC236}">
              <a16:creationId xmlns:a16="http://schemas.microsoft.com/office/drawing/2014/main" id="{00000000-0008-0000-0400-0000B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6" name="Picture 34" descr="Deutschland">
          <a:hlinkClick xmlns:r="http://schemas.openxmlformats.org/officeDocument/2006/relationships" r:id="rId102"/>
          <a:extLst>
            <a:ext uri="{FF2B5EF4-FFF2-40B4-BE49-F238E27FC236}">
              <a16:creationId xmlns:a16="http://schemas.microsoft.com/office/drawing/2014/main" id="{00000000-0008-0000-0400-0000B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7" name="Picture 36" descr="Israel">
          <a:hlinkClick xmlns:r="http://schemas.openxmlformats.org/officeDocument/2006/relationships" r:id="rId103"/>
          <a:extLst>
            <a:ext uri="{FF2B5EF4-FFF2-40B4-BE49-F238E27FC236}">
              <a16:creationId xmlns:a16="http://schemas.microsoft.com/office/drawing/2014/main" id="{00000000-0008-0000-0400-0000B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8" name="Picture 37" descr="Slovensko">
          <a:hlinkClick xmlns:r="http://schemas.openxmlformats.org/officeDocument/2006/relationships" r:id="rId104"/>
          <a:extLst>
            <a:ext uri="{FF2B5EF4-FFF2-40B4-BE49-F238E27FC236}">
              <a16:creationId xmlns:a16="http://schemas.microsoft.com/office/drawing/2014/main" id="{00000000-0008-0000-0400-0000B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9" name="Picture 2" descr="España">
          <a:hlinkClick xmlns:r="http://schemas.openxmlformats.org/officeDocument/2006/relationships" r:id="rId90"/>
          <a:extLst>
            <a:ext uri="{FF2B5EF4-FFF2-40B4-BE49-F238E27FC236}">
              <a16:creationId xmlns:a16="http://schemas.microsoft.com/office/drawing/2014/main" id="{00000000-0008-0000-0400-0000B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0" name="Picture 3" descr="USA">
          <a:hlinkClick xmlns:r="http://schemas.openxmlformats.org/officeDocument/2006/relationships" r:id="rId91"/>
          <a:extLst>
            <a:ext uri="{FF2B5EF4-FFF2-40B4-BE49-F238E27FC236}">
              <a16:creationId xmlns:a16="http://schemas.microsoft.com/office/drawing/2014/main" id="{00000000-0008-0000-0400-0000B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1" name="Picture 5" descr="España">
          <a:hlinkClick xmlns:r="http://schemas.openxmlformats.org/officeDocument/2006/relationships" r:id="rId90"/>
          <a:extLst>
            <a:ext uri="{FF2B5EF4-FFF2-40B4-BE49-F238E27FC236}">
              <a16:creationId xmlns:a16="http://schemas.microsoft.com/office/drawing/2014/main" id="{00000000-0008-0000-0400-0000B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2" name="Picture 6" descr="España">
          <a:hlinkClick xmlns:r="http://schemas.openxmlformats.org/officeDocument/2006/relationships" r:id="rId90"/>
          <a:extLst>
            <a:ext uri="{FF2B5EF4-FFF2-40B4-BE49-F238E27FC236}">
              <a16:creationId xmlns:a16="http://schemas.microsoft.com/office/drawing/2014/main" id="{00000000-0008-0000-0400-0000B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3" name="Picture 8" descr="Česká republika">
          <a:hlinkClick xmlns:r="http://schemas.openxmlformats.org/officeDocument/2006/relationships" r:id="rId92"/>
          <a:extLst>
            <a:ext uri="{FF2B5EF4-FFF2-40B4-BE49-F238E27FC236}">
              <a16:creationId xmlns:a16="http://schemas.microsoft.com/office/drawing/2014/main" id="{00000000-0008-0000-0400-0000B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4" name="Picture 9" descr="Sverige">
          <a:hlinkClick xmlns:r="http://schemas.openxmlformats.org/officeDocument/2006/relationships" r:id="rId93"/>
          <a:extLst>
            <a:ext uri="{FF2B5EF4-FFF2-40B4-BE49-F238E27FC236}">
              <a16:creationId xmlns:a16="http://schemas.microsoft.com/office/drawing/2014/main" id="{00000000-0008-0000-0400-0000B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5" name="Picture 11" descr="Suomi">
          <a:hlinkClick xmlns:r="http://schemas.openxmlformats.org/officeDocument/2006/relationships" r:id="rId94"/>
          <a:extLst>
            <a:ext uri="{FF2B5EF4-FFF2-40B4-BE49-F238E27FC236}">
              <a16:creationId xmlns:a16="http://schemas.microsoft.com/office/drawing/2014/main" id="{00000000-0008-0000-0400-0000B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6" name="Picture 12" descr="España">
          <a:hlinkClick xmlns:r="http://schemas.openxmlformats.org/officeDocument/2006/relationships" r:id="rId90"/>
          <a:extLst>
            <a:ext uri="{FF2B5EF4-FFF2-40B4-BE49-F238E27FC236}">
              <a16:creationId xmlns:a16="http://schemas.microsoft.com/office/drawing/2014/main" id="{00000000-0008-0000-0400-0000B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7" name="Picture 13" descr="Nederland">
          <a:hlinkClick xmlns:r="http://schemas.openxmlformats.org/officeDocument/2006/relationships" r:id="rId95"/>
          <a:extLst>
            <a:ext uri="{FF2B5EF4-FFF2-40B4-BE49-F238E27FC236}">
              <a16:creationId xmlns:a16="http://schemas.microsoft.com/office/drawing/2014/main" id="{00000000-0008-0000-0400-0000B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8" name="Picture 14" descr="Italia">
          <a:hlinkClick xmlns:r="http://schemas.openxmlformats.org/officeDocument/2006/relationships" r:id="rId96"/>
          <a:extLst>
            <a:ext uri="{FF2B5EF4-FFF2-40B4-BE49-F238E27FC236}">
              <a16:creationId xmlns:a16="http://schemas.microsoft.com/office/drawing/2014/main" id="{00000000-0008-0000-0400-0000B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9" name="Picture 16" descr="España">
          <a:hlinkClick xmlns:r="http://schemas.openxmlformats.org/officeDocument/2006/relationships" r:id="rId90"/>
          <a:extLst>
            <a:ext uri="{FF2B5EF4-FFF2-40B4-BE49-F238E27FC236}">
              <a16:creationId xmlns:a16="http://schemas.microsoft.com/office/drawing/2014/main" id="{00000000-0008-0000-0400-0000B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0" name="Picture 18" descr="France">
          <a:hlinkClick xmlns:r="http://schemas.openxmlformats.org/officeDocument/2006/relationships" r:id="rId97"/>
          <a:extLst>
            <a:ext uri="{FF2B5EF4-FFF2-40B4-BE49-F238E27FC236}">
              <a16:creationId xmlns:a16="http://schemas.microsoft.com/office/drawing/2014/main" id="{00000000-0008-0000-0400-0000C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1" name="Picture 19" descr="France">
          <a:hlinkClick xmlns:r="http://schemas.openxmlformats.org/officeDocument/2006/relationships" r:id="rId97"/>
          <a:extLst>
            <a:ext uri="{FF2B5EF4-FFF2-40B4-BE49-F238E27FC236}">
              <a16:creationId xmlns:a16="http://schemas.microsoft.com/office/drawing/2014/main" id="{00000000-0008-0000-0400-0000C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2" name="Picture 21" descr="Argentina">
          <a:hlinkClick xmlns:r="http://schemas.openxmlformats.org/officeDocument/2006/relationships" r:id="rId98"/>
          <a:extLst>
            <a:ext uri="{FF2B5EF4-FFF2-40B4-BE49-F238E27FC236}">
              <a16:creationId xmlns:a16="http://schemas.microsoft.com/office/drawing/2014/main" id="{00000000-0008-0000-0400-0000C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3" name="Picture 23" descr="España">
          <a:hlinkClick xmlns:r="http://schemas.openxmlformats.org/officeDocument/2006/relationships" r:id="rId90"/>
          <a:extLst>
            <a:ext uri="{FF2B5EF4-FFF2-40B4-BE49-F238E27FC236}">
              <a16:creationId xmlns:a16="http://schemas.microsoft.com/office/drawing/2014/main" id="{00000000-0008-0000-0400-0000C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4" name="Picture 25" descr="Lubnan">
          <a:hlinkClick xmlns:r="http://schemas.openxmlformats.org/officeDocument/2006/relationships" r:id="rId99"/>
          <a:extLst>
            <a:ext uri="{FF2B5EF4-FFF2-40B4-BE49-F238E27FC236}">
              <a16:creationId xmlns:a16="http://schemas.microsoft.com/office/drawing/2014/main" id="{00000000-0008-0000-0400-0000C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5" name="Picture 27" descr="Magyarország">
          <a:hlinkClick xmlns:r="http://schemas.openxmlformats.org/officeDocument/2006/relationships" r:id="rId100"/>
          <a:extLst>
            <a:ext uri="{FF2B5EF4-FFF2-40B4-BE49-F238E27FC236}">
              <a16:creationId xmlns:a16="http://schemas.microsoft.com/office/drawing/2014/main" id="{00000000-0008-0000-0400-0000C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6" name="Picture 29" descr="Uruguay">
          <a:hlinkClick xmlns:r="http://schemas.openxmlformats.org/officeDocument/2006/relationships" r:id="rId101"/>
          <a:extLst>
            <a:ext uri="{FF2B5EF4-FFF2-40B4-BE49-F238E27FC236}">
              <a16:creationId xmlns:a16="http://schemas.microsoft.com/office/drawing/2014/main" id="{00000000-0008-0000-0400-0000C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7" name="Picture 30" descr="Italia">
          <a:hlinkClick xmlns:r="http://schemas.openxmlformats.org/officeDocument/2006/relationships" r:id="rId96"/>
          <a:extLst>
            <a:ext uri="{FF2B5EF4-FFF2-40B4-BE49-F238E27FC236}">
              <a16:creationId xmlns:a16="http://schemas.microsoft.com/office/drawing/2014/main" id="{00000000-0008-0000-0400-0000C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8" name="Picture 31" descr="Nederland">
          <a:hlinkClick xmlns:r="http://schemas.openxmlformats.org/officeDocument/2006/relationships" r:id="rId95"/>
          <a:extLst>
            <a:ext uri="{FF2B5EF4-FFF2-40B4-BE49-F238E27FC236}">
              <a16:creationId xmlns:a16="http://schemas.microsoft.com/office/drawing/2014/main" id="{00000000-0008-0000-0400-0000C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9" name="Picture 32" descr="Italia">
          <a:hlinkClick xmlns:r="http://schemas.openxmlformats.org/officeDocument/2006/relationships" r:id="rId96"/>
          <a:extLst>
            <a:ext uri="{FF2B5EF4-FFF2-40B4-BE49-F238E27FC236}">
              <a16:creationId xmlns:a16="http://schemas.microsoft.com/office/drawing/2014/main" id="{00000000-0008-0000-0400-0000C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0" name="Picture 34" descr="Deutschland">
          <a:hlinkClick xmlns:r="http://schemas.openxmlformats.org/officeDocument/2006/relationships" r:id="rId102"/>
          <a:extLst>
            <a:ext uri="{FF2B5EF4-FFF2-40B4-BE49-F238E27FC236}">
              <a16:creationId xmlns:a16="http://schemas.microsoft.com/office/drawing/2014/main" id="{00000000-0008-0000-0400-0000C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1" name="Picture 36" descr="Israel">
          <a:hlinkClick xmlns:r="http://schemas.openxmlformats.org/officeDocument/2006/relationships" r:id="rId103"/>
          <a:extLst>
            <a:ext uri="{FF2B5EF4-FFF2-40B4-BE49-F238E27FC236}">
              <a16:creationId xmlns:a16="http://schemas.microsoft.com/office/drawing/2014/main" id="{00000000-0008-0000-0400-0000C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2" name="Picture 37" descr="Slovensko">
          <a:hlinkClick xmlns:r="http://schemas.openxmlformats.org/officeDocument/2006/relationships" r:id="rId104"/>
          <a:extLst>
            <a:ext uri="{FF2B5EF4-FFF2-40B4-BE49-F238E27FC236}">
              <a16:creationId xmlns:a16="http://schemas.microsoft.com/office/drawing/2014/main" id="{00000000-0008-0000-0400-0000C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3" name="Picture 2" descr="España">
          <a:hlinkClick xmlns:r="http://schemas.openxmlformats.org/officeDocument/2006/relationships" r:id="rId90"/>
          <a:extLst>
            <a:ext uri="{FF2B5EF4-FFF2-40B4-BE49-F238E27FC236}">
              <a16:creationId xmlns:a16="http://schemas.microsoft.com/office/drawing/2014/main" id="{00000000-0008-0000-0400-0000C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4" name="Picture 3" descr="USA">
          <a:hlinkClick xmlns:r="http://schemas.openxmlformats.org/officeDocument/2006/relationships" r:id="rId91"/>
          <a:extLst>
            <a:ext uri="{FF2B5EF4-FFF2-40B4-BE49-F238E27FC236}">
              <a16:creationId xmlns:a16="http://schemas.microsoft.com/office/drawing/2014/main" id="{00000000-0008-0000-0400-0000C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5" name="Picture 5" descr="España">
          <a:hlinkClick xmlns:r="http://schemas.openxmlformats.org/officeDocument/2006/relationships" r:id="rId90"/>
          <a:extLst>
            <a:ext uri="{FF2B5EF4-FFF2-40B4-BE49-F238E27FC236}">
              <a16:creationId xmlns:a16="http://schemas.microsoft.com/office/drawing/2014/main" id="{00000000-0008-0000-0400-0000C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6" name="Picture 6" descr="España">
          <a:hlinkClick xmlns:r="http://schemas.openxmlformats.org/officeDocument/2006/relationships" r:id="rId90"/>
          <a:extLst>
            <a:ext uri="{FF2B5EF4-FFF2-40B4-BE49-F238E27FC236}">
              <a16:creationId xmlns:a16="http://schemas.microsoft.com/office/drawing/2014/main" id="{00000000-0008-0000-0400-0000D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7" name="Picture 8" descr="Česká republika">
          <a:hlinkClick xmlns:r="http://schemas.openxmlformats.org/officeDocument/2006/relationships" r:id="rId92"/>
          <a:extLst>
            <a:ext uri="{FF2B5EF4-FFF2-40B4-BE49-F238E27FC236}">
              <a16:creationId xmlns:a16="http://schemas.microsoft.com/office/drawing/2014/main" id="{00000000-0008-0000-0400-0000D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8" name="Picture 9" descr="Sverige">
          <a:hlinkClick xmlns:r="http://schemas.openxmlformats.org/officeDocument/2006/relationships" r:id="rId93"/>
          <a:extLst>
            <a:ext uri="{FF2B5EF4-FFF2-40B4-BE49-F238E27FC236}">
              <a16:creationId xmlns:a16="http://schemas.microsoft.com/office/drawing/2014/main" id="{00000000-0008-0000-0400-0000D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9" name="Picture 11" descr="Suomi">
          <a:hlinkClick xmlns:r="http://schemas.openxmlformats.org/officeDocument/2006/relationships" r:id="rId94"/>
          <a:extLst>
            <a:ext uri="{FF2B5EF4-FFF2-40B4-BE49-F238E27FC236}">
              <a16:creationId xmlns:a16="http://schemas.microsoft.com/office/drawing/2014/main" id="{00000000-0008-0000-0400-0000D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0" name="Picture 12" descr="España">
          <a:hlinkClick xmlns:r="http://schemas.openxmlformats.org/officeDocument/2006/relationships" r:id="rId90"/>
          <a:extLst>
            <a:ext uri="{FF2B5EF4-FFF2-40B4-BE49-F238E27FC236}">
              <a16:creationId xmlns:a16="http://schemas.microsoft.com/office/drawing/2014/main" id="{00000000-0008-0000-0400-0000D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1" name="Picture 13" descr="Nederland">
          <a:hlinkClick xmlns:r="http://schemas.openxmlformats.org/officeDocument/2006/relationships" r:id="rId95"/>
          <a:extLst>
            <a:ext uri="{FF2B5EF4-FFF2-40B4-BE49-F238E27FC236}">
              <a16:creationId xmlns:a16="http://schemas.microsoft.com/office/drawing/2014/main" id="{00000000-0008-0000-0400-0000D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2" name="Picture 14" descr="Italia">
          <a:hlinkClick xmlns:r="http://schemas.openxmlformats.org/officeDocument/2006/relationships" r:id="rId96"/>
          <a:extLst>
            <a:ext uri="{FF2B5EF4-FFF2-40B4-BE49-F238E27FC236}">
              <a16:creationId xmlns:a16="http://schemas.microsoft.com/office/drawing/2014/main" id="{00000000-0008-0000-0400-0000D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3" name="Picture 16" descr="España">
          <a:hlinkClick xmlns:r="http://schemas.openxmlformats.org/officeDocument/2006/relationships" r:id="rId90"/>
          <a:extLst>
            <a:ext uri="{FF2B5EF4-FFF2-40B4-BE49-F238E27FC236}">
              <a16:creationId xmlns:a16="http://schemas.microsoft.com/office/drawing/2014/main" id="{00000000-0008-0000-0400-0000D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4" name="Picture 18" descr="France">
          <a:hlinkClick xmlns:r="http://schemas.openxmlformats.org/officeDocument/2006/relationships" r:id="rId97"/>
          <a:extLst>
            <a:ext uri="{FF2B5EF4-FFF2-40B4-BE49-F238E27FC236}">
              <a16:creationId xmlns:a16="http://schemas.microsoft.com/office/drawing/2014/main" id="{00000000-0008-0000-0400-0000D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5" name="Picture 19" descr="France">
          <a:hlinkClick xmlns:r="http://schemas.openxmlformats.org/officeDocument/2006/relationships" r:id="rId97"/>
          <a:extLst>
            <a:ext uri="{FF2B5EF4-FFF2-40B4-BE49-F238E27FC236}">
              <a16:creationId xmlns:a16="http://schemas.microsoft.com/office/drawing/2014/main" id="{00000000-0008-0000-0400-0000D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6" name="Picture 21" descr="Argentina">
          <a:hlinkClick xmlns:r="http://schemas.openxmlformats.org/officeDocument/2006/relationships" r:id="rId98"/>
          <a:extLst>
            <a:ext uri="{FF2B5EF4-FFF2-40B4-BE49-F238E27FC236}">
              <a16:creationId xmlns:a16="http://schemas.microsoft.com/office/drawing/2014/main" id="{00000000-0008-0000-0400-0000D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7" name="Picture 23" descr="España">
          <a:hlinkClick xmlns:r="http://schemas.openxmlformats.org/officeDocument/2006/relationships" r:id="rId90"/>
          <a:extLst>
            <a:ext uri="{FF2B5EF4-FFF2-40B4-BE49-F238E27FC236}">
              <a16:creationId xmlns:a16="http://schemas.microsoft.com/office/drawing/2014/main" id="{00000000-0008-0000-0400-0000D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8" name="Picture 25" descr="Lubnan">
          <a:hlinkClick xmlns:r="http://schemas.openxmlformats.org/officeDocument/2006/relationships" r:id="rId99"/>
          <a:extLst>
            <a:ext uri="{FF2B5EF4-FFF2-40B4-BE49-F238E27FC236}">
              <a16:creationId xmlns:a16="http://schemas.microsoft.com/office/drawing/2014/main" id="{00000000-0008-0000-0400-0000D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9" name="Picture 27" descr="Magyarország">
          <a:hlinkClick xmlns:r="http://schemas.openxmlformats.org/officeDocument/2006/relationships" r:id="rId100"/>
          <a:extLst>
            <a:ext uri="{FF2B5EF4-FFF2-40B4-BE49-F238E27FC236}">
              <a16:creationId xmlns:a16="http://schemas.microsoft.com/office/drawing/2014/main" id="{00000000-0008-0000-0400-0000D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0" name="Picture 29" descr="Uruguay">
          <a:hlinkClick xmlns:r="http://schemas.openxmlformats.org/officeDocument/2006/relationships" r:id="rId101"/>
          <a:extLst>
            <a:ext uri="{FF2B5EF4-FFF2-40B4-BE49-F238E27FC236}">
              <a16:creationId xmlns:a16="http://schemas.microsoft.com/office/drawing/2014/main" id="{00000000-0008-0000-0400-0000D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1" name="Picture 30" descr="Italia">
          <a:hlinkClick xmlns:r="http://schemas.openxmlformats.org/officeDocument/2006/relationships" r:id="rId96"/>
          <a:extLst>
            <a:ext uri="{FF2B5EF4-FFF2-40B4-BE49-F238E27FC236}">
              <a16:creationId xmlns:a16="http://schemas.microsoft.com/office/drawing/2014/main" id="{00000000-0008-0000-0400-0000D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2" name="Picture 31" descr="Nederland">
          <a:hlinkClick xmlns:r="http://schemas.openxmlformats.org/officeDocument/2006/relationships" r:id="rId95"/>
          <a:extLst>
            <a:ext uri="{FF2B5EF4-FFF2-40B4-BE49-F238E27FC236}">
              <a16:creationId xmlns:a16="http://schemas.microsoft.com/office/drawing/2014/main" id="{00000000-0008-0000-0400-0000E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3" name="Picture 32" descr="Italia">
          <a:hlinkClick xmlns:r="http://schemas.openxmlformats.org/officeDocument/2006/relationships" r:id="rId96"/>
          <a:extLst>
            <a:ext uri="{FF2B5EF4-FFF2-40B4-BE49-F238E27FC236}">
              <a16:creationId xmlns:a16="http://schemas.microsoft.com/office/drawing/2014/main" id="{00000000-0008-0000-0400-0000E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4" name="Picture 34" descr="Deutschland">
          <a:hlinkClick xmlns:r="http://schemas.openxmlformats.org/officeDocument/2006/relationships" r:id="rId102"/>
          <a:extLst>
            <a:ext uri="{FF2B5EF4-FFF2-40B4-BE49-F238E27FC236}">
              <a16:creationId xmlns:a16="http://schemas.microsoft.com/office/drawing/2014/main" id="{00000000-0008-0000-0400-0000E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5" name="Picture 36" descr="Israel">
          <a:hlinkClick xmlns:r="http://schemas.openxmlformats.org/officeDocument/2006/relationships" r:id="rId103"/>
          <a:extLst>
            <a:ext uri="{FF2B5EF4-FFF2-40B4-BE49-F238E27FC236}">
              <a16:creationId xmlns:a16="http://schemas.microsoft.com/office/drawing/2014/main" id="{00000000-0008-0000-0400-0000E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6" name="Picture 37" descr="Slovensko">
          <a:hlinkClick xmlns:r="http://schemas.openxmlformats.org/officeDocument/2006/relationships" r:id="rId104"/>
          <a:extLst>
            <a:ext uri="{FF2B5EF4-FFF2-40B4-BE49-F238E27FC236}">
              <a16:creationId xmlns:a16="http://schemas.microsoft.com/office/drawing/2014/main" id="{00000000-0008-0000-0400-0000E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7" name="Picture 2" descr="España">
          <a:hlinkClick xmlns:r="http://schemas.openxmlformats.org/officeDocument/2006/relationships" r:id="rId90"/>
          <a:extLst>
            <a:ext uri="{FF2B5EF4-FFF2-40B4-BE49-F238E27FC236}">
              <a16:creationId xmlns:a16="http://schemas.microsoft.com/office/drawing/2014/main" id="{00000000-0008-0000-0400-0000E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8" name="Picture 3" descr="USA">
          <a:hlinkClick xmlns:r="http://schemas.openxmlformats.org/officeDocument/2006/relationships" r:id="rId91"/>
          <a:extLst>
            <a:ext uri="{FF2B5EF4-FFF2-40B4-BE49-F238E27FC236}">
              <a16:creationId xmlns:a16="http://schemas.microsoft.com/office/drawing/2014/main" id="{00000000-0008-0000-0400-0000E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9" name="Picture 5" descr="España">
          <a:hlinkClick xmlns:r="http://schemas.openxmlformats.org/officeDocument/2006/relationships" r:id="rId90"/>
          <a:extLst>
            <a:ext uri="{FF2B5EF4-FFF2-40B4-BE49-F238E27FC236}">
              <a16:creationId xmlns:a16="http://schemas.microsoft.com/office/drawing/2014/main" id="{00000000-0008-0000-0400-0000E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0" name="Picture 6" descr="España">
          <a:hlinkClick xmlns:r="http://schemas.openxmlformats.org/officeDocument/2006/relationships" r:id="rId90"/>
          <a:extLst>
            <a:ext uri="{FF2B5EF4-FFF2-40B4-BE49-F238E27FC236}">
              <a16:creationId xmlns:a16="http://schemas.microsoft.com/office/drawing/2014/main" id="{00000000-0008-0000-0400-0000E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1" name="Picture 8" descr="Česká republika">
          <a:hlinkClick xmlns:r="http://schemas.openxmlformats.org/officeDocument/2006/relationships" r:id="rId92"/>
          <a:extLst>
            <a:ext uri="{FF2B5EF4-FFF2-40B4-BE49-F238E27FC236}">
              <a16:creationId xmlns:a16="http://schemas.microsoft.com/office/drawing/2014/main" id="{00000000-0008-0000-0400-0000E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2" name="Picture 9" descr="Sverige">
          <a:hlinkClick xmlns:r="http://schemas.openxmlformats.org/officeDocument/2006/relationships" r:id="rId93"/>
          <a:extLst>
            <a:ext uri="{FF2B5EF4-FFF2-40B4-BE49-F238E27FC236}">
              <a16:creationId xmlns:a16="http://schemas.microsoft.com/office/drawing/2014/main" id="{00000000-0008-0000-0400-0000E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3" name="Picture 11" descr="Suomi">
          <a:hlinkClick xmlns:r="http://schemas.openxmlformats.org/officeDocument/2006/relationships" r:id="rId94"/>
          <a:extLst>
            <a:ext uri="{FF2B5EF4-FFF2-40B4-BE49-F238E27FC236}">
              <a16:creationId xmlns:a16="http://schemas.microsoft.com/office/drawing/2014/main" id="{00000000-0008-0000-0400-0000E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4" name="Picture 12" descr="España">
          <a:hlinkClick xmlns:r="http://schemas.openxmlformats.org/officeDocument/2006/relationships" r:id="rId90"/>
          <a:extLst>
            <a:ext uri="{FF2B5EF4-FFF2-40B4-BE49-F238E27FC236}">
              <a16:creationId xmlns:a16="http://schemas.microsoft.com/office/drawing/2014/main" id="{00000000-0008-0000-0400-0000E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5" name="Picture 13" descr="Nederland">
          <a:hlinkClick xmlns:r="http://schemas.openxmlformats.org/officeDocument/2006/relationships" r:id="rId95"/>
          <a:extLst>
            <a:ext uri="{FF2B5EF4-FFF2-40B4-BE49-F238E27FC236}">
              <a16:creationId xmlns:a16="http://schemas.microsoft.com/office/drawing/2014/main" id="{00000000-0008-0000-0400-0000E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6" name="Picture 14" descr="Italia">
          <a:hlinkClick xmlns:r="http://schemas.openxmlformats.org/officeDocument/2006/relationships" r:id="rId96"/>
          <a:extLst>
            <a:ext uri="{FF2B5EF4-FFF2-40B4-BE49-F238E27FC236}">
              <a16:creationId xmlns:a16="http://schemas.microsoft.com/office/drawing/2014/main" id="{00000000-0008-0000-0400-0000E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7" name="Picture 16" descr="España">
          <a:hlinkClick xmlns:r="http://schemas.openxmlformats.org/officeDocument/2006/relationships" r:id="rId90"/>
          <a:extLst>
            <a:ext uri="{FF2B5EF4-FFF2-40B4-BE49-F238E27FC236}">
              <a16:creationId xmlns:a16="http://schemas.microsoft.com/office/drawing/2014/main" id="{00000000-0008-0000-0400-0000E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8" name="Picture 18" descr="France">
          <a:hlinkClick xmlns:r="http://schemas.openxmlformats.org/officeDocument/2006/relationships" r:id="rId97"/>
          <a:extLst>
            <a:ext uri="{FF2B5EF4-FFF2-40B4-BE49-F238E27FC236}">
              <a16:creationId xmlns:a16="http://schemas.microsoft.com/office/drawing/2014/main" id="{00000000-0008-0000-0400-0000F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9" name="Picture 19" descr="France">
          <a:hlinkClick xmlns:r="http://schemas.openxmlformats.org/officeDocument/2006/relationships" r:id="rId97"/>
          <a:extLst>
            <a:ext uri="{FF2B5EF4-FFF2-40B4-BE49-F238E27FC236}">
              <a16:creationId xmlns:a16="http://schemas.microsoft.com/office/drawing/2014/main" id="{00000000-0008-0000-0400-0000F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0" name="Picture 21" descr="Argentina">
          <a:hlinkClick xmlns:r="http://schemas.openxmlformats.org/officeDocument/2006/relationships" r:id="rId98"/>
          <a:extLst>
            <a:ext uri="{FF2B5EF4-FFF2-40B4-BE49-F238E27FC236}">
              <a16:creationId xmlns:a16="http://schemas.microsoft.com/office/drawing/2014/main" id="{00000000-0008-0000-0400-0000F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1" name="Picture 23" descr="España">
          <a:hlinkClick xmlns:r="http://schemas.openxmlformats.org/officeDocument/2006/relationships" r:id="rId90"/>
          <a:extLst>
            <a:ext uri="{FF2B5EF4-FFF2-40B4-BE49-F238E27FC236}">
              <a16:creationId xmlns:a16="http://schemas.microsoft.com/office/drawing/2014/main" id="{00000000-0008-0000-0400-0000F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2" name="Picture 25" descr="Lubnan">
          <a:hlinkClick xmlns:r="http://schemas.openxmlformats.org/officeDocument/2006/relationships" r:id="rId99"/>
          <a:extLst>
            <a:ext uri="{FF2B5EF4-FFF2-40B4-BE49-F238E27FC236}">
              <a16:creationId xmlns:a16="http://schemas.microsoft.com/office/drawing/2014/main" id="{00000000-0008-0000-0400-0000F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3" name="Picture 27" descr="Magyarország">
          <a:hlinkClick xmlns:r="http://schemas.openxmlformats.org/officeDocument/2006/relationships" r:id="rId100"/>
          <a:extLst>
            <a:ext uri="{FF2B5EF4-FFF2-40B4-BE49-F238E27FC236}">
              <a16:creationId xmlns:a16="http://schemas.microsoft.com/office/drawing/2014/main" id="{00000000-0008-0000-0400-0000F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4" name="Picture 29" descr="Uruguay">
          <a:hlinkClick xmlns:r="http://schemas.openxmlformats.org/officeDocument/2006/relationships" r:id="rId101"/>
          <a:extLst>
            <a:ext uri="{FF2B5EF4-FFF2-40B4-BE49-F238E27FC236}">
              <a16:creationId xmlns:a16="http://schemas.microsoft.com/office/drawing/2014/main" id="{00000000-0008-0000-0400-0000F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5" name="Picture 30" descr="Italia">
          <a:hlinkClick xmlns:r="http://schemas.openxmlformats.org/officeDocument/2006/relationships" r:id="rId96"/>
          <a:extLst>
            <a:ext uri="{FF2B5EF4-FFF2-40B4-BE49-F238E27FC236}">
              <a16:creationId xmlns:a16="http://schemas.microsoft.com/office/drawing/2014/main" id="{00000000-0008-0000-0400-0000F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6" name="Picture 31" descr="Nederland">
          <a:hlinkClick xmlns:r="http://schemas.openxmlformats.org/officeDocument/2006/relationships" r:id="rId95"/>
          <a:extLst>
            <a:ext uri="{FF2B5EF4-FFF2-40B4-BE49-F238E27FC236}">
              <a16:creationId xmlns:a16="http://schemas.microsoft.com/office/drawing/2014/main" id="{00000000-0008-0000-0400-0000F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7" name="Picture 32" descr="Italia">
          <a:hlinkClick xmlns:r="http://schemas.openxmlformats.org/officeDocument/2006/relationships" r:id="rId96"/>
          <a:extLst>
            <a:ext uri="{FF2B5EF4-FFF2-40B4-BE49-F238E27FC236}">
              <a16:creationId xmlns:a16="http://schemas.microsoft.com/office/drawing/2014/main" id="{00000000-0008-0000-0400-0000F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8" name="Picture 34" descr="Deutschland">
          <a:hlinkClick xmlns:r="http://schemas.openxmlformats.org/officeDocument/2006/relationships" r:id="rId102"/>
          <a:extLst>
            <a:ext uri="{FF2B5EF4-FFF2-40B4-BE49-F238E27FC236}">
              <a16:creationId xmlns:a16="http://schemas.microsoft.com/office/drawing/2014/main" id="{00000000-0008-0000-0400-0000F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9" name="Picture 36" descr="Israel">
          <a:hlinkClick xmlns:r="http://schemas.openxmlformats.org/officeDocument/2006/relationships" r:id="rId103"/>
          <a:extLst>
            <a:ext uri="{FF2B5EF4-FFF2-40B4-BE49-F238E27FC236}">
              <a16:creationId xmlns:a16="http://schemas.microsoft.com/office/drawing/2014/main" id="{00000000-0008-0000-0400-0000F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0" name="Picture 37" descr="Slovensko">
          <a:hlinkClick xmlns:r="http://schemas.openxmlformats.org/officeDocument/2006/relationships" r:id="rId104"/>
          <a:extLst>
            <a:ext uri="{FF2B5EF4-FFF2-40B4-BE49-F238E27FC236}">
              <a16:creationId xmlns:a16="http://schemas.microsoft.com/office/drawing/2014/main" id="{00000000-0008-0000-0400-0000F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1" name="Picture 2" descr="España">
          <a:hlinkClick xmlns:r="http://schemas.openxmlformats.org/officeDocument/2006/relationships" r:id="rId90"/>
          <a:extLst>
            <a:ext uri="{FF2B5EF4-FFF2-40B4-BE49-F238E27FC236}">
              <a16:creationId xmlns:a16="http://schemas.microsoft.com/office/drawing/2014/main" id="{00000000-0008-0000-0400-0000F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2" name="Picture 3" descr="USA">
          <a:hlinkClick xmlns:r="http://schemas.openxmlformats.org/officeDocument/2006/relationships" r:id="rId91"/>
          <a:extLst>
            <a:ext uri="{FF2B5EF4-FFF2-40B4-BE49-F238E27FC236}">
              <a16:creationId xmlns:a16="http://schemas.microsoft.com/office/drawing/2014/main" id="{00000000-0008-0000-0400-0000F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3" name="Picture 5" descr="España">
          <a:hlinkClick xmlns:r="http://schemas.openxmlformats.org/officeDocument/2006/relationships" r:id="rId90"/>
          <a:extLst>
            <a:ext uri="{FF2B5EF4-FFF2-40B4-BE49-F238E27FC236}">
              <a16:creationId xmlns:a16="http://schemas.microsoft.com/office/drawing/2014/main" id="{00000000-0008-0000-0400-0000F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4" name="Picture 6" descr="España">
          <a:hlinkClick xmlns:r="http://schemas.openxmlformats.org/officeDocument/2006/relationships" r:id="rId90"/>
          <a:extLst>
            <a:ext uri="{FF2B5EF4-FFF2-40B4-BE49-F238E27FC236}">
              <a16:creationId xmlns:a16="http://schemas.microsoft.com/office/drawing/2014/main" id="{00000000-0008-0000-0400-00000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5" name="Picture 8" descr="Česká republika">
          <a:hlinkClick xmlns:r="http://schemas.openxmlformats.org/officeDocument/2006/relationships" r:id="rId92"/>
          <a:extLst>
            <a:ext uri="{FF2B5EF4-FFF2-40B4-BE49-F238E27FC236}">
              <a16:creationId xmlns:a16="http://schemas.microsoft.com/office/drawing/2014/main" id="{00000000-0008-0000-0400-00000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6" name="Picture 9" descr="Sverige">
          <a:hlinkClick xmlns:r="http://schemas.openxmlformats.org/officeDocument/2006/relationships" r:id="rId93"/>
          <a:extLst>
            <a:ext uri="{FF2B5EF4-FFF2-40B4-BE49-F238E27FC236}">
              <a16:creationId xmlns:a16="http://schemas.microsoft.com/office/drawing/2014/main" id="{00000000-0008-0000-0400-00000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7" name="Picture 11" descr="Suomi">
          <a:hlinkClick xmlns:r="http://schemas.openxmlformats.org/officeDocument/2006/relationships" r:id="rId94"/>
          <a:extLst>
            <a:ext uri="{FF2B5EF4-FFF2-40B4-BE49-F238E27FC236}">
              <a16:creationId xmlns:a16="http://schemas.microsoft.com/office/drawing/2014/main" id="{00000000-0008-0000-0400-00000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8" name="Picture 12" descr="España">
          <a:hlinkClick xmlns:r="http://schemas.openxmlformats.org/officeDocument/2006/relationships" r:id="rId90"/>
          <a:extLst>
            <a:ext uri="{FF2B5EF4-FFF2-40B4-BE49-F238E27FC236}">
              <a16:creationId xmlns:a16="http://schemas.microsoft.com/office/drawing/2014/main" id="{00000000-0008-0000-0400-00000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9" name="Picture 13" descr="Nederland">
          <a:hlinkClick xmlns:r="http://schemas.openxmlformats.org/officeDocument/2006/relationships" r:id="rId95"/>
          <a:extLst>
            <a:ext uri="{FF2B5EF4-FFF2-40B4-BE49-F238E27FC236}">
              <a16:creationId xmlns:a16="http://schemas.microsoft.com/office/drawing/2014/main" id="{00000000-0008-0000-0400-00000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0" name="Picture 14" descr="Italia">
          <a:hlinkClick xmlns:r="http://schemas.openxmlformats.org/officeDocument/2006/relationships" r:id="rId96"/>
          <a:extLst>
            <a:ext uri="{FF2B5EF4-FFF2-40B4-BE49-F238E27FC236}">
              <a16:creationId xmlns:a16="http://schemas.microsoft.com/office/drawing/2014/main" id="{00000000-0008-0000-0400-00000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1" name="Picture 16" descr="España">
          <a:hlinkClick xmlns:r="http://schemas.openxmlformats.org/officeDocument/2006/relationships" r:id="rId90"/>
          <a:extLst>
            <a:ext uri="{FF2B5EF4-FFF2-40B4-BE49-F238E27FC236}">
              <a16:creationId xmlns:a16="http://schemas.microsoft.com/office/drawing/2014/main" id="{00000000-0008-0000-0400-00000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2" name="Picture 18" descr="France">
          <a:hlinkClick xmlns:r="http://schemas.openxmlformats.org/officeDocument/2006/relationships" r:id="rId97"/>
          <a:extLst>
            <a:ext uri="{FF2B5EF4-FFF2-40B4-BE49-F238E27FC236}">
              <a16:creationId xmlns:a16="http://schemas.microsoft.com/office/drawing/2014/main" id="{00000000-0008-0000-0400-00000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3" name="Picture 19" descr="France">
          <a:hlinkClick xmlns:r="http://schemas.openxmlformats.org/officeDocument/2006/relationships" r:id="rId97"/>
          <a:extLst>
            <a:ext uri="{FF2B5EF4-FFF2-40B4-BE49-F238E27FC236}">
              <a16:creationId xmlns:a16="http://schemas.microsoft.com/office/drawing/2014/main" id="{00000000-0008-0000-0400-00000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4" name="Picture 21" descr="Argentina">
          <a:hlinkClick xmlns:r="http://schemas.openxmlformats.org/officeDocument/2006/relationships" r:id="rId98"/>
          <a:extLst>
            <a:ext uri="{FF2B5EF4-FFF2-40B4-BE49-F238E27FC236}">
              <a16:creationId xmlns:a16="http://schemas.microsoft.com/office/drawing/2014/main" id="{00000000-0008-0000-0400-00000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5" name="Picture 23" descr="España">
          <a:hlinkClick xmlns:r="http://schemas.openxmlformats.org/officeDocument/2006/relationships" r:id="rId90"/>
          <a:extLst>
            <a:ext uri="{FF2B5EF4-FFF2-40B4-BE49-F238E27FC236}">
              <a16:creationId xmlns:a16="http://schemas.microsoft.com/office/drawing/2014/main" id="{00000000-0008-0000-0400-00000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6" name="Picture 25" descr="Lubnan">
          <a:hlinkClick xmlns:r="http://schemas.openxmlformats.org/officeDocument/2006/relationships" r:id="rId99"/>
          <a:extLst>
            <a:ext uri="{FF2B5EF4-FFF2-40B4-BE49-F238E27FC236}">
              <a16:creationId xmlns:a16="http://schemas.microsoft.com/office/drawing/2014/main" id="{00000000-0008-0000-0400-00000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7" name="Picture 27" descr="Magyarország">
          <a:hlinkClick xmlns:r="http://schemas.openxmlformats.org/officeDocument/2006/relationships" r:id="rId100"/>
          <a:extLst>
            <a:ext uri="{FF2B5EF4-FFF2-40B4-BE49-F238E27FC236}">
              <a16:creationId xmlns:a16="http://schemas.microsoft.com/office/drawing/2014/main" id="{00000000-0008-0000-0400-00000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8" name="Picture 29" descr="Uruguay">
          <a:hlinkClick xmlns:r="http://schemas.openxmlformats.org/officeDocument/2006/relationships" r:id="rId101"/>
          <a:extLst>
            <a:ext uri="{FF2B5EF4-FFF2-40B4-BE49-F238E27FC236}">
              <a16:creationId xmlns:a16="http://schemas.microsoft.com/office/drawing/2014/main" id="{00000000-0008-0000-0400-00000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9" name="Picture 30" descr="Italia">
          <a:hlinkClick xmlns:r="http://schemas.openxmlformats.org/officeDocument/2006/relationships" r:id="rId96"/>
          <a:extLst>
            <a:ext uri="{FF2B5EF4-FFF2-40B4-BE49-F238E27FC236}">
              <a16:creationId xmlns:a16="http://schemas.microsoft.com/office/drawing/2014/main" id="{00000000-0008-0000-0400-00000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0" name="Picture 31" descr="Nederland">
          <a:hlinkClick xmlns:r="http://schemas.openxmlformats.org/officeDocument/2006/relationships" r:id="rId95"/>
          <a:extLst>
            <a:ext uri="{FF2B5EF4-FFF2-40B4-BE49-F238E27FC236}">
              <a16:creationId xmlns:a16="http://schemas.microsoft.com/office/drawing/2014/main" id="{00000000-0008-0000-0400-00001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1" name="Picture 32" descr="Italia">
          <a:hlinkClick xmlns:r="http://schemas.openxmlformats.org/officeDocument/2006/relationships" r:id="rId96"/>
          <a:extLst>
            <a:ext uri="{FF2B5EF4-FFF2-40B4-BE49-F238E27FC236}">
              <a16:creationId xmlns:a16="http://schemas.microsoft.com/office/drawing/2014/main" id="{00000000-0008-0000-0400-00001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2" name="Picture 34" descr="Deutschland">
          <a:hlinkClick xmlns:r="http://schemas.openxmlformats.org/officeDocument/2006/relationships" r:id="rId102"/>
          <a:extLst>
            <a:ext uri="{FF2B5EF4-FFF2-40B4-BE49-F238E27FC236}">
              <a16:creationId xmlns:a16="http://schemas.microsoft.com/office/drawing/2014/main" id="{00000000-0008-0000-0400-00001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3" name="Picture 36" descr="Israel">
          <a:hlinkClick xmlns:r="http://schemas.openxmlformats.org/officeDocument/2006/relationships" r:id="rId103"/>
          <a:extLst>
            <a:ext uri="{FF2B5EF4-FFF2-40B4-BE49-F238E27FC236}">
              <a16:creationId xmlns:a16="http://schemas.microsoft.com/office/drawing/2014/main" id="{00000000-0008-0000-0400-00001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4" name="Picture 37" descr="Slovensko">
          <a:hlinkClick xmlns:r="http://schemas.openxmlformats.org/officeDocument/2006/relationships" r:id="rId104"/>
          <a:extLst>
            <a:ext uri="{FF2B5EF4-FFF2-40B4-BE49-F238E27FC236}">
              <a16:creationId xmlns:a16="http://schemas.microsoft.com/office/drawing/2014/main" id="{00000000-0008-0000-0400-00001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5" name="Picture 2" descr="España">
          <a:hlinkClick xmlns:r="http://schemas.openxmlformats.org/officeDocument/2006/relationships" r:id="rId90"/>
          <a:extLst>
            <a:ext uri="{FF2B5EF4-FFF2-40B4-BE49-F238E27FC236}">
              <a16:creationId xmlns:a16="http://schemas.microsoft.com/office/drawing/2014/main" id="{00000000-0008-0000-0400-00001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6" name="Picture 3" descr="USA">
          <a:hlinkClick xmlns:r="http://schemas.openxmlformats.org/officeDocument/2006/relationships" r:id="rId91"/>
          <a:extLst>
            <a:ext uri="{FF2B5EF4-FFF2-40B4-BE49-F238E27FC236}">
              <a16:creationId xmlns:a16="http://schemas.microsoft.com/office/drawing/2014/main" id="{00000000-0008-0000-0400-00001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7" name="Picture 5" descr="España">
          <a:hlinkClick xmlns:r="http://schemas.openxmlformats.org/officeDocument/2006/relationships" r:id="rId90"/>
          <a:extLst>
            <a:ext uri="{FF2B5EF4-FFF2-40B4-BE49-F238E27FC236}">
              <a16:creationId xmlns:a16="http://schemas.microsoft.com/office/drawing/2014/main" id="{00000000-0008-0000-0400-00001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8" name="Picture 6" descr="España">
          <a:hlinkClick xmlns:r="http://schemas.openxmlformats.org/officeDocument/2006/relationships" r:id="rId90"/>
          <a:extLst>
            <a:ext uri="{FF2B5EF4-FFF2-40B4-BE49-F238E27FC236}">
              <a16:creationId xmlns:a16="http://schemas.microsoft.com/office/drawing/2014/main" id="{00000000-0008-0000-0400-00001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9" name="Picture 8" descr="Česká republika">
          <a:hlinkClick xmlns:r="http://schemas.openxmlformats.org/officeDocument/2006/relationships" r:id="rId92"/>
          <a:extLst>
            <a:ext uri="{FF2B5EF4-FFF2-40B4-BE49-F238E27FC236}">
              <a16:creationId xmlns:a16="http://schemas.microsoft.com/office/drawing/2014/main" id="{00000000-0008-0000-0400-00001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0" name="Picture 9" descr="Sverige">
          <a:hlinkClick xmlns:r="http://schemas.openxmlformats.org/officeDocument/2006/relationships" r:id="rId93"/>
          <a:extLst>
            <a:ext uri="{FF2B5EF4-FFF2-40B4-BE49-F238E27FC236}">
              <a16:creationId xmlns:a16="http://schemas.microsoft.com/office/drawing/2014/main" id="{00000000-0008-0000-0400-00001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1" name="Picture 11" descr="Suomi">
          <a:hlinkClick xmlns:r="http://schemas.openxmlformats.org/officeDocument/2006/relationships" r:id="rId94"/>
          <a:extLst>
            <a:ext uri="{FF2B5EF4-FFF2-40B4-BE49-F238E27FC236}">
              <a16:creationId xmlns:a16="http://schemas.microsoft.com/office/drawing/2014/main" id="{00000000-0008-0000-0400-00001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2" name="Picture 12" descr="España">
          <a:hlinkClick xmlns:r="http://schemas.openxmlformats.org/officeDocument/2006/relationships" r:id="rId90"/>
          <a:extLst>
            <a:ext uri="{FF2B5EF4-FFF2-40B4-BE49-F238E27FC236}">
              <a16:creationId xmlns:a16="http://schemas.microsoft.com/office/drawing/2014/main" id="{00000000-0008-0000-0400-00001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3" name="Picture 13" descr="Nederland">
          <a:hlinkClick xmlns:r="http://schemas.openxmlformats.org/officeDocument/2006/relationships" r:id="rId95"/>
          <a:extLst>
            <a:ext uri="{FF2B5EF4-FFF2-40B4-BE49-F238E27FC236}">
              <a16:creationId xmlns:a16="http://schemas.microsoft.com/office/drawing/2014/main" id="{00000000-0008-0000-0400-00001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4" name="Picture 14" descr="Italia">
          <a:hlinkClick xmlns:r="http://schemas.openxmlformats.org/officeDocument/2006/relationships" r:id="rId96"/>
          <a:extLst>
            <a:ext uri="{FF2B5EF4-FFF2-40B4-BE49-F238E27FC236}">
              <a16:creationId xmlns:a16="http://schemas.microsoft.com/office/drawing/2014/main" id="{00000000-0008-0000-0400-00001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5" name="Picture 16" descr="España">
          <a:hlinkClick xmlns:r="http://schemas.openxmlformats.org/officeDocument/2006/relationships" r:id="rId90"/>
          <a:extLst>
            <a:ext uri="{FF2B5EF4-FFF2-40B4-BE49-F238E27FC236}">
              <a16:creationId xmlns:a16="http://schemas.microsoft.com/office/drawing/2014/main" id="{00000000-0008-0000-0400-00001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6" name="Picture 18" descr="France">
          <a:hlinkClick xmlns:r="http://schemas.openxmlformats.org/officeDocument/2006/relationships" r:id="rId97"/>
          <a:extLst>
            <a:ext uri="{FF2B5EF4-FFF2-40B4-BE49-F238E27FC236}">
              <a16:creationId xmlns:a16="http://schemas.microsoft.com/office/drawing/2014/main" id="{00000000-0008-0000-0400-00002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7" name="Picture 19" descr="France">
          <a:hlinkClick xmlns:r="http://schemas.openxmlformats.org/officeDocument/2006/relationships" r:id="rId97"/>
          <a:extLst>
            <a:ext uri="{FF2B5EF4-FFF2-40B4-BE49-F238E27FC236}">
              <a16:creationId xmlns:a16="http://schemas.microsoft.com/office/drawing/2014/main" id="{00000000-0008-0000-0400-00002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8" name="Picture 21" descr="Argentina">
          <a:hlinkClick xmlns:r="http://schemas.openxmlformats.org/officeDocument/2006/relationships" r:id="rId98"/>
          <a:extLst>
            <a:ext uri="{FF2B5EF4-FFF2-40B4-BE49-F238E27FC236}">
              <a16:creationId xmlns:a16="http://schemas.microsoft.com/office/drawing/2014/main" id="{00000000-0008-0000-0400-00002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9" name="Picture 23" descr="España">
          <a:hlinkClick xmlns:r="http://schemas.openxmlformats.org/officeDocument/2006/relationships" r:id="rId90"/>
          <a:extLst>
            <a:ext uri="{FF2B5EF4-FFF2-40B4-BE49-F238E27FC236}">
              <a16:creationId xmlns:a16="http://schemas.microsoft.com/office/drawing/2014/main" id="{00000000-0008-0000-0400-00002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0" name="Picture 25" descr="Lubnan">
          <a:hlinkClick xmlns:r="http://schemas.openxmlformats.org/officeDocument/2006/relationships" r:id="rId99"/>
          <a:extLst>
            <a:ext uri="{FF2B5EF4-FFF2-40B4-BE49-F238E27FC236}">
              <a16:creationId xmlns:a16="http://schemas.microsoft.com/office/drawing/2014/main" id="{00000000-0008-0000-0400-00002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1" name="Picture 27" descr="Magyarország">
          <a:hlinkClick xmlns:r="http://schemas.openxmlformats.org/officeDocument/2006/relationships" r:id="rId100"/>
          <a:extLst>
            <a:ext uri="{FF2B5EF4-FFF2-40B4-BE49-F238E27FC236}">
              <a16:creationId xmlns:a16="http://schemas.microsoft.com/office/drawing/2014/main" id="{00000000-0008-0000-0400-00002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2" name="Picture 29" descr="Uruguay">
          <a:hlinkClick xmlns:r="http://schemas.openxmlformats.org/officeDocument/2006/relationships" r:id="rId101"/>
          <a:extLst>
            <a:ext uri="{FF2B5EF4-FFF2-40B4-BE49-F238E27FC236}">
              <a16:creationId xmlns:a16="http://schemas.microsoft.com/office/drawing/2014/main" id="{00000000-0008-0000-0400-00002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3" name="Picture 30" descr="Italia">
          <a:hlinkClick xmlns:r="http://schemas.openxmlformats.org/officeDocument/2006/relationships" r:id="rId96"/>
          <a:extLst>
            <a:ext uri="{FF2B5EF4-FFF2-40B4-BE49-F238E27FC236}">
              <a16:creationId xmlns:a16="http://schemas.microsoft.com/office/drawing/2014/main" id="{00000000-0008-0000-0400-00002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4" name="Picture 31" descr="Nederland">
          <a:hlinkClick xmlns:r="http://schemas.openxmlformats.org/officeDocument/2006/relationships" r:id="rId95"/>
          <a:extLst>
            <a:ext uri="{FF2B5EF4-FFF2-40B4-BE49-F238E27FC236}">
              <a16:creationId xmlns:a16="http://schemas.microsoft.com/office/drawing/2014/main" id="{00000000-0008-0000-0400-00002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5" name="Picture 32" descr="Italia">
          <a:hlinkClick xmlns:r="http://schemas.openxmlformats.org/officeDocument/2006/relationships" r:id="rId96"/>
          <a:extLst>
            <a:ext uri="{FF2B5EF4-FFF2-40B4-BE49-F238E27FC236}">
              <a16:creationId xmlns:a16="http://schemas.microsoft.com/office/drawing/2014/main" id="{00000000-0008-0000-0400-00002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6" name="Picture 34" descr="Deutschland">
          <a:hlinkClick xmlns:r="http://schemas.openxmlformats.org/officeDocument/2006/relationships" r:id="rId102"/>
          <a:extLst>
            <a:ext uri="{FF2B5EF4-FFF2-40B4-BE49-F238E27FC236}">
              <a16:creationId xmlns:a16="http://schemas.microsoft.com/office/drawing/2014/main" id="{00000000-0008-0000-0400-00002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7" name="Picture 36" descr="Israel">
          <a:hlinkClick xmlns:r="http://schemas.openxmlformats.org/officeDocument/2006/relationships" r:id="rId103"/>
          <a:extLst>
            <a:ext uri="{FF2B5EF4-FFF2-40B4-BE49-F238E27FC236}">
              <a16:creationId xmlns:a16="http://schemas.microsoft.com/office/drawing/2014/main" id="{00000000-0008-0000-0400-00002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8" name="Picture 37" descr="Slovensko">
          <a:hlinkClick xmlns:r="http://schemas.openxmlformats.org/officeDocument/2006/relationships" r:id="rId104"/>
          <a:extLst>
            <a:ext uri="{FF2B5EF4-FFF2-40B4-BE49-F238E27FC236}">
              <a16:creationId xmlns:a16="http://schemas.microsoft.com/office/drawing/2014/main" id="{00000000-0008-0000-0400-00002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9" name="Picture 2" descr="España">
          <a:hlinkClick xmlns:r="http://schemas.openxmlformats.org/officeDocument/2006/relationships" r:id="rId90"/>
          <a:extLst>
            <a:ext uri="{FF2B5EF4-FFF2-40B4-BE49-F238E27FC236}">
              <a16:creationId xmlns:a16="http://schemas.microsoft.com/office/drawing/2014/main" id="{00000000-0008-0000-0400-00002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0" name="Picture 3" descr="USA">
          <a:hlinkClick xmlns:r="http://schemas.openxmlformats.org/officeDocument/2006/relationships" r:id="rId91"/>
          <a:extLst>
            <a:ext uri="{FF2B5EF4-FFF2-40B4-BE49-F238E27FC236}">
              <a16:creationId xmlns:a16="http://schemas.microsoft.com/office/drawing/2014/main" id="{00000000-0008-0000-0400-00002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1" name="Picture 5" descr="España">
          <a:hlinkClick xmlns:r="http://schemas.openxmlformats.org/officeDocument/2006/relationships" r:id="rId90"/>
          <a:extLst>
            <a:ext uri="{FF2B5EF4-FFF2-40B4-BE49-F238E27FC236}">
              <a16:creationId xmlns:a16="http://schemas.microsoft.com/office/drawing/2014/main" id="{00000000-0008-0000-0400-00002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2" name="Picture 6" descr="España">
          <a:hlinkClick xmlns:r="http://schemas.openxmlformats.org/officeDocument/2006/relationships" r:id="rId90"/>
          <a:extLst>
            <a:ext uri="{FF2B5EF4-FFF2-40B4-BE49-F238E27FC236}">
              <a16:creationId xmlns:a16="http://schemas.microsoft.com/office/drawing/2014/main" id="{00000000-0008-0000-0400-00003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3" name="Picture 8" descr="Česká republika">
          <a:hlinkClick xmlns:r="http://schemas.openxmlformats.org/officeDocument/2006/relationships" r:id="rId92"/>
          <a:extLst>
            <a:ext uri="{FF2B5EF4-FFF2-40B4-BE49-F238E27FC236}">
              <a16:creationId xmlns:a16="http://schemas.microsoft.com/office/drawing/2014/main" id="{00000000-0008-0000-0400-00003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4" name="Picture 9" descr="Sverige">
          <a:hlinkClick xmlns:r="http://schemas.openxmlformats.org/officeDocument/2006/relationships" r:id="rId93"/>
          <a:extLst>
            <a:ext uri="{FF2B5EF4-FFF2-40B4-BE49-F238E27FC236}">
              <a16:creationId xmlns:a16="http://schemas.microsoft.com/office/drawing/2014/main" id="{00000000-0008-0000-0400-00003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5" name="Picture 11" descr="Suomi">
          <a:hlinkClick xmlns:r="http://schemas.openxmlformats.org/officeDocument/2006/relationships" r:id="rId94"/>
          <a:extLst>
            <a:ext uri="{FF2B5EF4-FFF2-40B4-BE49-F238E27FC236}">
              <a16:creationId xmlns:a16="http://schemas.microsoft.com/office/drawing/2014/main" id="{00000000-0008-0000-0400-00003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6" name="Picture 12" descr="España">
          <a:hlinkClick xmlns:r="http://schemas.openxmlformats.org/officeDocument/2006/relationships" r:id="rId90"/>
          <a:extLst>
            <a:ext uri="{FF2B5EF4-FFF2-40B4-BE49-F238E27FC236}">
              <a16:creationId xmlns:a16="http://schemas.microsoft.com/office/drawing/2014/main" id="{00000000-0008-0000-0400-00003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7" name="Picture 13" descr="Nederland">
          <a:hlinkClick xmlns:r="http://schemas.openxmlformats.org/officeDocument/2006/relationships" r:id="rId95"/>
          <a:extLst>
            <a:ext uri="{FF2B5EF4-FFF2-40B4-BE49-F238E27FC236}">
              <a16:creationId xmlns:a16="http://schemas.microsoft.com/office/drawing/2014/main" id="{00000000-0008-0000-0400-00003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8" name="Picture 14" descr="Italia">
          <a:hlinkClick xmlns:r="http://schemas.openxmlformats.org/officeDocument/2006/relationships" r:id="rId96"/>
          <a:extLst>
            <a:ext uri="{FF2B5EF4-FFF2-40B4-BE49-F238E27FC236}">
              <a16:creationId xmlns:a16="http://schemas.microsoft.com/office/drawing/2014/main" id="{00000000-0008-0000-0400-00003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9" name="Picture 16" descr="España">
          <a:hlinkClick xmlns:r="http://schemas.openxmlformats.org/officeDocument/2006/relationships" r:id="rId90"/>
          <a:extLst>
            <a:ext uri="{FF2B5EF4-FFF2-40B4-BE49-F238E27FC236}">
              <a16:creationId xmlns:a16="http://schemas.microsoft.com/office/drawing/2014/main" id="{00000000-0008-0000-0400-00003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0" name="Picture 18" descr="France">
          <a:hlinkClick xmlns:r="http://schemas.openxmlformats.org/officeDocument/2006/relationships" r:id="rId97"/>
          <a:extLst>
            <a:ext uri="{FF2B5EF4-FFF2-40B4-BE49-F238E27FC236}">
              <a16:creationId xmlns:a16="http://schemas.microsoft.com/office/drawing/2014/main" id="{00000000-0008-0000-0400-00003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1" name="Picture 19" descr="France">
          <a:hlinkClick xmlns:r="http://schemas.openxmlformats.org/officeDocument/2006/relationships" r:id="rId97"/>
          <a:extLst>
            <a:ext uri="{FF2B5EF4-FFF2-40B4-BE49-F238E27FC236}">
              <a16:creationId xmlns:a16="http://schemas.microsoft.com/office/drawing/2014/main" id="{00000000-0008-0000-0400-00003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2" name="Picture 21" descr="Argentina">
          <a:hlinkClick xmlns:r="http://schemas.openxmlformats.org/officeDocument/2006/relationships" r:id="rId98"/>
          <a:extLst>
            <a:ext uri="{FF2B5EF4-FFF2-40B4-BE49-F238E27FC236}">
              <a16:creationId xmlns:a16="http://schemas.microsoft.com/office/drawing/2014/main" id="{00000000-0008-0000-0400-00003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3" name="Picture 23" descr="España">
          <a:hlinkClick xmlns:r="http://schemas.openxmlformats.org/officeDocument/2006/relationships" r:id="rId90"/>
          <a:extLst>
            <a:ext uri="{FF2B5EF4-FFF2-40B4-BE49-F238E27FC236}">
              <a16:creationId xmlns:a16="http://schemas.microsoft.com/office/drawing/2014/main" id="{00000000-0008-0000-0400-00003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4" name="Picture 25" descr="Lubnan">
          <a:hlinkClick xmlns:r="http://schemas.openxmlformats.org/officeDocument/2006/relationships" r:id="rId99"/>
          <a:extLst>
            <a:ext uri="{FF2B5EF4-FFF2-40B4-BE49-F238E27FC236}">
              <a16:creationId xmlns:a16="http://schemas.microsoft.com/office/drawing/2014/main" id="{00000000-0008-0000-0400-00003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5" name="Picture 27" descr="Magyarország">
          <a:hlinkClick xmlns:r="http://schemas.openxmlformats.org/officeDocument/2006/relationships" r:id="rId100"/>
          <a:extLst>
            <a:ext uri="{FF2B5EF4-FFF2-40B4-BE49-F238E27FC236}">
              <a16:creationId xmlns:a16="http://schemas.microsoft.com/office/drawing/2014/main" id="{00000000-0008-0000-0400-00003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6" name="Picture 29" descr="Uruguay">
          <a:hlinkClick xmlns:r="http://schemas.openxmlformats.org/officeDocument/2006/relationships" r:id="rId101"/>
          <a:extLst>
            <a:ext uri="{FF2B5EF4-FFF2-40B4-BE49-F238E27FC236}">
              <a16:creationId xmlns:a16="http://schemas.microsoft.com/office/drawing/2014/main" id="{00000000-0008-0000-0400-00003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7" name="Picture 30" descr="Italia">
          <a:hlinkClick xmlns:r="http://schemas.openxmlformats.org/officeDocument/2006/relationships" r:id="rId96"/>
          <a:extLst>
            <a:ext uri="{FF2B5EF4-FFF2-40B4-BE49-F238E27FC236}">
              <a16:creationId xmlns:a16="http://schemas.microsoft.com/office/drawing/2014/main" id="{00000000-0008-0000-0400-00003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8" name="Picture 31" descr="Nederland">
          <a:hlinkClick xmlns:r="http://schemas.openxmlformats.org/officeDocument/2006/relationships" r:id="rId95"/>
          <a:extLst>
            <a:ext uri="{FF2B5EF4-FFF2-40B4-BE49-F238E27FC236}">
              <a16:creationId xmlns:a16="http://schemas.microsoft.com/office/drawing/2014/main" id="{00000000-0008-0000-0400-00004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9" name="Picture 32" descr="Italia">
          <a:hlinkClick xmlns:r="http://schemas.openxmlformats.org/officeDocument/2006/relationships" r:id="rId96"/>
          <a:extLst>
            <a:ext uri="{FF2B5EF4-FFF2-40B4-BE49-F238E27FC236}">
              <a16:creationId xmlns:a16="http://schemas.microsoft.com/office/drawing/2014/main" id="{00000000-0008-0000-0400-00004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0" name="Picture 34" descr="Deutschland">
          <a:hlinkClick xmlns:r="http://schemas.openxmlformats.org/officeDocument/2006/relationships" r:id="rId102"/>
          <a:extLst>
            <a:ext uri="{FF2B5EF4-FFF2-40B4-BE49-F238E27FC236}">
              <a16:creationId xmlns:a16="http://schemas.microsoft.com/office/drawing/2014/main" id="{00000000-0008-0000-0400-00004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1" name="Picture 36" descr="Israel">
          <a:hlinkClick xmlns:r="http://schemas.openxmlformats.org/officeDocument/2006/relationships" r:id="rId103"/>
          <a:extLst>
            <a:ext uri="{FF2B5EF4-FFF2-40B4-BE49-F238E27FC236}">
              <a16:creationId xmlns:a16="http://schemas.microsoft.com/office/drawing/2014/main" id="{00000000-0008-0000-0400-00004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2" name="Picture 37" descr="Slovensko">
          <a:hlinkClick xmlns:r="http://schemas.openxmlformats.org/officeDocument/2006/relationships" r:id="rId104"/>
          <a:extLst>
            <a:ext uri="{FF2B5EF4-FFF2-40B4-BE49-F238E27FC236}">
              <a16:creationId xmlns:a16="http://schemas.microsoft.com/office/drawing/2014/main" id="{00000000-0008-0000-0400-00004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3" name="Picture 2" descr="España">
          <a:hlinkClick xmlns:r="http://schemas.openxmlformats.org/officeDocument/2006/relationships" r:id="rId90"/>
          <a:extLst>
            <a:ext uri="{FF2B5EF4-FFF2-40B4-BE49-F238E27FC236}">
              <a16:creationId xmlns:a16="http://schemas.microsoft.com/office/drawing/2014/main" id="{00000000-0008-0000-0400-00004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4" name="Picture 3" descr="USA">
          <a:hlinkClick xmlns:r="http://schemas.openxmlformats.org/officeDocument/2006/relationships" r:id="rId91"/>
          <a:extLst>
            <a:ext uri="{FF2B5EF4-FFF2-40B4-BE49-F238E27FC236}">
              <a16:creationId xmlns:a16="http://schemas.microsoft.com/office/drawing/2014/main" id="{00000000-0008-0000-0400-00004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5" name="Picture 5" descr="España">
          <a:hlinkClick xmlns:r="http://schemas.openxmlformats.org/officeDocument/2006/relationships" r:id="rId90"/>
          <a:extLst>
            <a:ext uri="{FF2B5EF4-FFF2-40B4-BE49-F238E27FC236}">
              <a16:creationId xmlns:a16="http://schemas.microsoft.com/office/drawing/2014/main" id="{00000000-0008-0000-0400-00004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6" name="Picture 6" descr="España">
          <a:hlinkClick xmlns:r="http://schemas.openxmlformats.org/officeDocument/2006/relationships" r:id="rId90"/>
          <a:extLst>
            <a:ext uri="{FF2B5EF4-FFF2-40B4-BE49-F238E27FC236}">
              <a16:creationId xmlns:a16="http://schemas.microsoft.com/office/drawing/2014/main" id="{00000000-0008-0000-0400-00004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7" name="Picture 8" descr="Česká republika">
          <a:hlinkClick xmlns:r="http://schemas.openxmlformats.org/officeDocument/2006/relationships" r:id="rId92"/>
          <a:extLst>
            <a:ext uri="{FF2B5EF4-FFF2-40B4-BE49-F238E27FC236}">
              <a16:creationId xmlns:a16="http://schemas.microsoft.com/office/drawing/2014/main" id="{00000000-0008-0000-0400-00004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8" name="Picture 9" descr="Sverige">
          <a:hlinkClick xmlns:r="http://schemas.openxmlformats.org/officeDocument/2006/relationships" r:id="rId93"/>
          <a:extLst>
            <a:ext uri="{FF2B5EF4-FFF2-40B4-BE49-F238E27FC236}">
              <a16:creationId xmlns:a16="http://schemas.microsoft.com/office/drawing/2014/main" id="{00000000-0008-0000-0400-00004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9" name="Picture 11" descr="Suomi">
          <a:hlinkClick xmlns:r="http://schemas.openxmlformats.org/officeDocument/2006/relationships" r:id="rId94"/>
          <a:extLst>
            <a:ext uri="{FF2B5EF4-FFF2-40B4-BE49-F238E27FC236}">
              <a16:creationId xmlns:a16="http://schemas.microsoft.com/office/drawing/2014/main" id="{00000000-0008-0000-0400-00004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0" name="Picture 12" descr="España">
          <a:hlinkClick xmlns:r="http://schemas.openxmlformats.org/officeDocument/2006/relationships" r:id="rId90"/>
          <a:extLst>
            <a:ext uri="{FF2B5EF4-FFF2-40B4-BE49-F238E27FC236}">
              <a16:creationId xmlns:a16="http://schemas.microsoft.com/office/drawing/2014/main" id="{00000000-0008-0000-0400-00004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1" name="Picture 13" descr="Nederland">
          <a:hlinkClick xmlns:r="http://schemas.openxmlformats.org/officeDocument/2006/relationships" r:id="rId95"/>
          <a:extLst>
            <a:ext uri="{FF2B5EF4-FFF2-40B4-BE49-F238E27FC236}">
              <a16:creationId xmlns:a16="http://schemas.microsoft.com/office/drawing/2014/main" id="{00000000-0008-0000-0400-00004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2" name="Picture 14" descr="Italia">
          <a:hlinkClick xmlns:r="http://schemas.openxmlformats.org/officeDocument/2006/relationships" r:id="rId96"/>
          <a:extLst>
            <a:ext uri="{FF2B5EF4-FFF2-40B4-BE49-F238E27FC236}">
              <a16:creationId xmlns:a16="http://schemas.microsoft.com/office/drawing/2014/main" id="{00000000-0008-0000-0400-00004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3" name="Picture 16" descr="España">
          <a:hlinkClick xmlns:r="http://schemas.openxmlformats.org/officeDocument/2006/relationships" r:id="rId90"/>
          <a:extLst>
            <a:ext uri="{FF2B5EF4-FFF2-40B4-BE49-F238E27FC236}">
              <a16:creationId xmlns:a16="http://schemas.microsoft.com/office/drawing/2014/main" id="{00000000-0008-0000-0400-00004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4" name="Picture 18" descr="France">
          <a:hlinkClick xmlns:r="http://schemas.openxmlformats.org/officeDocument/2006/relationships" r:id="rId97"/>
          <a:extLst>
            <a:ext uri="{FF2B5EF4-FFF2-40B4-BE49-F238E27FC236}">
              <a16:creationId xmlns:a16="http://schemas.microsoft.com/office/drawing/2014/main" id="{00000000-0008-0000-0400-00005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5" name="Picture 19" descr="France">
          <a:hlinkClick xmlns:r="http://schemas.openxmlformats.org/officeDocument/2006/relationships" r:id="rId97"/>
          <a:extLst>
            <a:ext uri="{FF2B5EF4-FFF2-40B4-BE49-F238E27FC236}">
              <a16:creationId xmlns:a16="http://schemas.microsoft.com/office/drawing/2014/main" id="{00000000-0008-0000-0400-00005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6" name="Picture 21" descr="Argentina">
          <a:hlinkClick xmlns:r="http://schemas.openxmlformats.org/officeDocument/2006/relationships" r:id="rId98"/>
          <a:extLst>
            <a:ext uri="{FF2B5EF4-FFF2-40B4-BE49-F238E27FC236}">
              <a16:creationId xmlns:a16="http://schemas.microsoft.com/office/drawing/2014/main" id="{00000000-0008-0000-0400-00005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7" name="Picture 23" descr="España">
          <a:hlinkClick xmlns:r="http://schemas.openxmlformats.org/officeDocument/2006/relationships" r:id="rId90"/>
          <a:extLst>
            <a:ext uri="{FF2B5EF4-FFF2-40B4-BE49-F238E27FC236}">
              <a16:creationId xmlns:a16="http://schemas.microsoft.com/office/drawing/2014/main" id="{00000000-0008-0000-0400-00005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8" name="Picture 25" descr="Lubnan">
          <a:hlinkClick xmlns:r="http://schemas.openxmlformats.org/officeDocument/2006/relationships" r:id="rId99"/>
          <a:extLst>
            <a:ext uri="{FF2B5EF4-FFF2-40B4-BE49-F238E27FC236}">
              <a16:creationId xmlns:a16="http://schemas.microsoft.com/office/drawing/2014/main" id="{00000000-0008-0000-0400-00005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9" name="Picture 27" descr="Magyarország">
          <a:hlinkClick xmlns:r="http://schemas.openxmlformats.org/officeDocument/2006/relationships" r:id="rId100"/>
          <a:extLst>
            <a:ext uri="{FF2B5EF4-FFF2-40B4-BE49-F238E27FC236}">
              <a16:creationId xmlns:a16="http://schemas.microsoft.com/office/drawing/2014/main" id="{00000000-0008-0000-0400-00005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0" name="Picture 29" descr="Uruguay">
          <a:hlinkClick xmlns:r="http://schemas.openxmlformats.org/officeDocument/2006/relationships" r:id="rId101"/>
          <a:extLst>
            <a:ext uri="{FF2B5EF4-FFF2-40B4-BE49-F238E27FC236}">
              <a16:creationId xmlns:a16="http://schemas.microsoft.com/office/drawing/2014/main" id="{00000000-0008-0000-0400-00005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1" name="Picture 30" descr="Italia">
          <a:hlinkClick xmlns:r="http://schemas.openxmlformats.org/officeDocument/2006/relationships" r:id="rId96"/>
          <a:extLst>
            <a:ext uri="{FF2B5EF4-FFF2-40B4-BE49-F238E27FC236}">
              <a16:creationId xmlns:a16="http://schemas.microsoft.com/office/drawing/2014/main" id="{00000000-0008-0000-0400-00005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2" name="Picture 31" descr="Nederland">
          <a:hlinkClick xmlns:r="http://schemas.openxmlformats.org/officeDocument/2006/relationships" r:id="rId95"/>
          <a:extLst>
            <a:ext uri="{FF2B5EF4-FFF2-40B4-BE49-F238E27FC236}">
              <a16:creationId xmlns:a16="http://schemas.microsoft.com/office/drawing/2014/main" id="{00000000-0008-0000-0400-00005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3" name="Picture 32" descr="Italia">
          <a:hlinkClick xmlns:r="http://schemas.openxmlformats.org/officeDocument/2006/relationships" r:id="rId96"/>
          <a:extLst>
            <a:ext uri="{FF2B5EF4-FFF2-40B4-BE49-F238E27FC236}">
              <a16:creationId xmlns:a16="http://schemas.microsoft.com/office/drawing/2014/main" id="{00000000-0008-0000-0400-00005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4" name="Picture 34" descr="Deutschland">
          <a:hlinkClick xmlns:r="http://schemas.openxmlformats.org/officeDocument/2006/relationships" r:id="rId102"/>
          <a:extLst>
            <a:ext uri="{FF2B5EF4-FFF2-40B4-BE49-F238E27FC236}">
              <a16:creationId xmlns:a16="http://schemas.microsoft.com/office/drawing/2014/main" id="{00000000-0008-0000-0400-00005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5" name="Picture 36" descr="Israel">
          <a:hlinkClick xmlns:r="http://schemas.openxmlformats.org/officeDocument/2006/relationships" r:id="rId103"/>
          <a:extLst>
            <a:ext uri="{FF2B5EF4-FFF2-40B4-BE49-F238E27FC236}">
              <a16:creationId xmlns:a16="http://schemas.microsoft.com/office/drawing/2014/main" id="{00000000-0008-0000-0400-00005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6" name="Picture 37" descr="Slovensko">
          <a:hlinkClick xmlns:r="http://schemas.openxmlformats.org/officeDocument/2006/relationships" r:id="rId104"/>
          <a:extLst>
            <a:ext uri="{FF2B5EF4-FFF2-40B4-BE49-F238E27FC236}">
              <a16:creationId xmlns:a16="http://schemas.microsoft.com/office/drawing/2014/main" id="{00000000-0008-0000-0400-00005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7" name="Picture 2" descr="España">
          <a:hlinkClick xmlns:r="http://schemas.openxmlformats.org/officeDocument/2006/relationships" r:id="rId90"/>
          <a:extLst>
            <a:ext uri="{FF2B5EF4-FFF2-40B4-BE49-F238E27FC236}">
              <a16:creationId xmlns:a16="http://schemas.microsoft.com/office/drawing/2014/main" id="{00000000-0008-0000-0400-00005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8" name="Picture 3" descr="USA">
          <a:hlinkClick xmlns:r="http://schemas.openxmlformats.org/officeDocument/2006/relationships" r:id="rId91"/>
          <a:extLst>
            <a:ext uri="{FF2B5EF4-FFF2-40B4-BE49-F238E27FC236}">
              <a16:creationId xmlns:a16="http://schemas.microsoft.com/office/drawing/2014/main" id="{00000000-0008-0000-0400-00005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9" name="Picture 5" descr="España">
          <a:hlinkClick xmlns:r="http://schemas.openxmlformats.org/officeDocument/2006/relationships" r:id="rId90"/>
          <a:extLst>
            <a:ext uri="{FF2B5EF4-FFF2-40B4-BE49-F238E27FC236}">
              <a16:creationId xmlns:a16="http://schemas.microsoft.com/office/drawing/2014/main" id="{00000000-0008-0000-0400-00005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0" name="Picture 6" descr="España">
          <a:hlinkClick xmlns:r="http://schemas.openxmlformats.org/officeDocument/2006/relationships" r:id="rId90"/>
          <a:extLst>
            <a:ext uri="{FF2B5EF4-FFF2-40B4-BE49-F238E27FC236}">
              <a16:creationId xmlns:a16="http://schemas.microsoft.com/office/drawing/2014/main" id="{00000000-0008-0000-0400-00006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1" name="Picture 7" descr="Sverige">
          <a:hlinkClick xmlns:r="http://schemas.openxmlformats.org/officeDocument/2006/relationships" r:id="rId93"/>
          <a:extLst>
            <a:ext uri="{FF2B5EF4-FFF2-40B4-BE49-F238E27FC236}">
              <a16:creationId xmlns:a16="http://schemas.microsoft.com/office/drawing/2014/main" id="{00000000-0008-0000-0400-00006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2" name="Picture 9" descr="Suomi">
          <a:hlinkClick xmlns:r="http://schemas.openxmlformats.org/officeDocument/2006/relationships" r:id="rId94"/>
          <a:extLst>
            <a:ext uri="{FF2B5EF4-FFF2-40B4-BE49-F238E27FC236}">
              <a16:creationId xmlns:a16="http://schemas.microsoft.com/office/drawing/2014/main" id="{00000000-0008-0000-0400-00006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3" name="Picture 10" descr="España">
          <a:hlinkClick xmlns:r="http://schemas.openxmlformats.org/officeDocument/2006/relationships" r:id="rId90"/>
          <a:extLst>
            <a:ext uri="{FF2B5EF4-FFF2-40B4-BE49-F238E27FC236}">
              <a16:creationId xmlns:a16="http://schemas.microsoft.com/office/drawing/2014/main" id="{00000000-0008-0000-0400-00006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4" name="Picture 11" descr="Nederland">
          <a:hlinkClick xmlns:r="http://schemas.openxmlformats.org/officeDocument/2006/relationships" r:id="rId95"/>
          <a:extLst>
            <a:ext uri="{FF2B5EF4-FFF2-40B4-BE49-F238E27FC236}">
              <a16:creationId xmlns:a16="http://schemas.microsoft.com/office/drawing/2014/main" id="{00000000-0008-0000-0400-00006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5" name="Picture 13" descr="Deutschland">
          <a:hlinkClick xmlns:r="http://schemas.openxmlformats.org/officeDocument/2006/relationships" r:id="rId102"/>
          <a:extLst>
            <a:ext uri="{FF2B5EF4-FFF2-40B4-BE49-F238E27FC236}">
              <a16:creationId xmlns:a16="http://schemas.microsoft.com/office/drawing/2014/main" id="{00000000-0008-0000-0400-00006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6" name="Picture 14" descr="España">
          <a:hlinkClick xmlns:r="http://schemas.openxmlformats.org/officeDocument/2006/relationships" r:id="rId90"/>
          <a:extLst>
            <a:ext uri="{FF2B5EF4-FFF2-40B4-BE49-F238E27FC236}">
              <a16:creationId xmlns:a16="http://schemas.microsoft.com/office/drawing/2014/main" id="{00000000-0008-0000-0400-00006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7" name="Picture 16" descr="France">
          <a:hlinkClick xmlns:r="http://schemas.openxmlformats.org/officeDocument/2006/relationships" r:id="rId97"/>
          <a:extLst>
            <a:ext uri="{FF2B5EF4-FFF2-40B4-BE49-F238E27FC236}">
              <a16:creationId xmlns:a16="http://schemas.microsoft.com/office/drawing/2014/main" id="{00000000-0008-0000-0400-00006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8" name="Picture 18" descr="France">
          <a:hlinkClick xmlns:r="http://schemas.openxmlformats.org/officeDocument/2006/relationships" r:id="rId97"/>
          <a:extLst>
            <a:ext uri="{FF2B5EF4-FFF2-40B4-BE49-F238E27FC236}">
              <a16:creationId xmlns:a16="http://schemas.microsoft.com/office/drawing/2014/main" id="{00000000-0008-0000-0400-00006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9" name="Picture 19" descr="Argentina">
          <a:hlinkClick xmlns:r="http://schemas.openxmlformats.org/officeDocument/2006/relationships" r:id="rId98"/>
          <a:extLst>
            <a:ext uri="{FF2B5EF4-FFF2-40B4-BE49-F238E27FC236}">
              <a16:creationId xmlns:a16="http://schemas.microsoft.com/office/drawing/2014/main" id="{00000000-0008-0000-0400-00006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0" name="Picture 20" descr="España">
          <a:hlinkClick xmlns:r="http://schemas.openxmlformats.org/officeDocument/2006/relationships" r:id="rId90"/>
          <a:extLst>
            <a:ext uri="{FF2B5EF4-FFF2-40B4-BE49-F238E27FC236}">
              <a16:creationId xmlns:a16="http://schemas.microsoft.com/office/drawing/2014/main" id="{00000000-0008-0000-0400-00006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1" name="Picture 21" descr="Lubnan">
          <a:hlinkClick xmlns:r="http://schemas.openxmlformats.org/officeDocument/2006/relationships" r:id="rId99"/>
          <a:extLst>
            <a:ext uri="{FF2B5EF4-FFF2-40B4-BE49-F238E27FC236}">
              <a16:creationId xmlns:a16="http://schemas.microsoft.com/office/drawing/2014/main" id="{00000000-0008-0000-0400-00006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2" name="Picture 23" descr="Magyarország">
          <a:hlinkClick xmlns:r="http://schemas.openxmlformats.org/officeDocument/2006/relationships" r:id="rId100"/>
          <a:extLst>
            <a:ext uri="{FF2B5EF4-FFF2-40B4-BE49-F238E27FC236}">
              <a16:creationId xmlns:a16="http://schemas.microsoft.com/office/drawing/2014/main" id="{00000000-0008-0000-0400-00006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3" name="Picture 25" descr="Uruguay">
          <a:hlinkClick xmlns:r="http://schemas.openxmlformats.org/officeDocument/2006/relationships" r:id="rId101"/>
          <a:extLst>
            <a:ext uri="{FF2B5EF4-FFF2-40B4-BE49-F238E27FC236}">
              <a16:creationId xmlns:a16="http://schemas.microsoft.com/office/drawing/2014/main" id="{00000000-0008-0000-0400-00006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4" name="Picture 26" descr="Italia">
          <a:hlinkClick xmlns:r="http://schemas.openxmlformats.org/officeDocument/2006/relationships" r:id="rId96"/>
          <a:extLst>
            <a:ext uri="{FF2B5EF4-FFF2-40B4-BE49-F238E27FC236}">
              <a16:creationId xmlns:a16="http://schemas.microsoft.com/office/drawing/2014/main" id="{00000000-0008-0000-0400-00006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5" name="Picture 27" descr="España">
          <a:hlinkClick xmlns:r="http://schemas.openxmlformats.org/officeDocument/2006/relationships" r:id="rId90"/>
          <a:extLst>
            <a:ext uri="{FF2B5EF4-FFF2-40B4-BE49-F238E27FC236}">
              <a16:creationId xmlns:a16="http://schemas.microsoft.com/office/drawing/2014/main" id="{00000000-0008-0000-0400-00006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6" name="Picture 28" descr="Nederland">
          <a:hlinkClick xmlns:r="http://schemas.openxmlformats.org/officeDocument/2006/relationships" r:id="rId95"/>
          <a:extLst>
            <a:ext uri="{FF2B5EF4-FFF2-40B4-BE49-F238E27FC236}">
              <a16:creationId xmlns:a16="http://schemas.microsoft.com/office/drawing/2014/main" id="{00000000-0008-0000-0400-00007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7" name="Picture 29" descr="Italia">
          <a:hlinkClick xmlns:r="http://schemas.openxmlformats.org/officeDocument/2006/relationships" r:id="rId96"/>
          <a:extLst>
            <a:ext uri="{FF2B5EF4-FFF2-40B4-BE49-F238E27FC236}">
              <a16:creationId xmlns:a16="http://schemas.microsoft.com/office/drawing/2014/main" id="{00000000-0008-0000-0400-00007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8" name="Picture 30" descr="Deutschland">
          <a:hlinkClick xmlns:r="http://schemas.openxmlformats.org/officeDocument/2006/relationships" r:id="rId102"/>
          <a:extLst>
            <a:ext uri="{FF2B5EF4-FFF2-40B4-BE49-F238E27FC236}">
              <a16:creationId xmlns:a16="http://schemas.microsoft.com/office/drawing/2014/main" id="{00000000-0008-0000-0400-00007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9" name="Picture 32" descr="Israel">
          <a:hlinkClick xmlns:r="http://schemas.openxmlformats.org/officeDocument/2006/relationships" r:id="rId103"/>
          <a:extLst>
            <a:ext uri="{FF2B5EF4-FFF2-40B4-BE49-F238E27FC236}">
              <a16:creationId xmlns:a16="http://schemas.microsoft.com/office/drawing/2014/main" id="{00000000-0008-0000-0400-00007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40" name="Picture 33" descr="Slovensko">
          <a:hlinkClick xmlns:r="http://schemas.openxmlformats.org/officeDocument/2006/relationships" r:id="rId104"/>
          <a:extLst>
            <a:ext uri="{FF2B5EF4-FFF2-40B4-BE49-F238E27FC236}">
              <a16:creationId xmlns:a16="http://schemas.microsoft.com/office/drawing/2014/main" id="{00000000-0008-0000-0400-00007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141" name="Picture 36" descr="España">
          <a:hlinkClick xmlns:r="http://schemas.openxmlformats.org/officeDocument/2006/relationships" r:id="rId77"/>
          <a:extLst>
            <a:ext uri="{FF2B5EF4-FFF2-40B4-BE49-F238E27FC236}">
              <a16:creationId xmlns:a16="http://schemas.microsoft.com/office/drawing/2014/main" id="{00000000-0008-0000-0400-00007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2" name="Picture 18" descr="Nederland">
          <a:hlinkClick xmlns:r="http://schemas.openxmlformats.org/officeDocument/2006/relationships" r:id="rId10"/>
          <a:extLst>
            <a:ext uri="{FF2B5EF4-FFF2-40B4-BE49-F238E27FC236}">
              <a16:creationId xmlns:a16="http://schemas.microsoft.com/office/drawing/2014/main" id="{00000000-0008-0000-0400-00007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3" name="Picture 29" descr="Belgium">
          <a:hlinkClick xmlns:r="http://schemas.openxmlformats.org/officeDocument/2006/relationships" r:id="rId15"/>
          <a:extLst>
            <a:ext uri="{FF2B5EF4-FFF2-40B4-BE49-F238E27FC236}">
              <a16:creationId xmlns:a16="http://schemas.microsoft.com/office/drawing/2014/main" id="{00000000-0008-0000-0400-00007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4" name="Picture 16" descr="Colombia">
          <a:hlinkClick xmlns:r="http://schemas.openxmlformats.org/officeDocument/2006/relationships" r:id="rId21"/>
          <a:extLst>
            <a:ext uri="{FF2B5EF4-FFF2-40B4-BE49-F238E27FC236}">
              <a16:creationId xmlns:a16="http://schemas.microsoft.com/office/drawing/2014/main" id="{00000000-0008-0000-0400-00007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5" name="Picture 30" descr="España">
          <a:hlinkClick xmlns:r="http://schemas.openxmlformats.org/officeDocument/2006/relationships" r:id="rId17"/>
          <a:extLst>
            <a:ext uri="{FF2B5EF4-FFF2-40B4-BE49-F238E27FC236}">
              <a16:creationId xmlns:a16="http://schemas.microsoft.com/office/drawing/2014/main" id="{00000000-0008-0000-0400-00007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6" name="Picture 36" descr="España">
          <a:hlinkClick xmlns:r="http://schemas.openxmlformats.org/officeDocument/2006/relationships" r:id="rId17"/>
          <a:extLst>
            <a:ext uri="{FF2B5EF4-FFF2-40B4-BE49-F238E27FC236}">
              <a16:creationId xmlns:a16="http://schemas.microsoft.com/office/drawing/2014/main" id="{00000000-0008-0000-0400-00007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7" name="Picture 42" descr="Portugal">
          <a:hlinkClick xmlns:r="http://schemas.openxmlformats.org/officeDocument/2006/relationships" r:id="rId22"/>
          <a:extLst>
            <a:ext uri="{FF2B5EF4-FFF2-40B4-BE49-F238E27FC236}">
              <a16:creationId xmlns:a16="http://schemas.microsoft.com/office/drawing/2014/main" id="{00000000-0008-0000-0400-00007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8" name="Picture 11" descr="Deutschland">
          <a:hlinkClick xmlns:r="http://schemas.openxmlformats.org/officeDocument/2006/relationships" r:id="rId34"/>
          <a:extLst>
            <a:ext uri="{FF2B5EF4-FFF2-40B4-BE49-F238E27FC236}">
              <a16:creationId xmlns:a16="http://schemas.microsoft.com/office/drawing/2014/main" id="{00000000-0008-0000-0400-00007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9" name="Picture 22" descr="Deutschland">
          <a:hlinkClick xmlns:r="http://schemas.openxmlformats.org/officeDocument/2006/relationships" r:id="rId34"/>
          <a:extLst>
            <a:ext uri="{FF2B5EF4-FFF2-40B4-BE49-F238E27FC236}">
              <a16:creationId xmlns:a16="http://schemas.microsoft.com/office/drawing/2014/main" id="{00000000-0008-0000-0400-00007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0" name="Picture 28" descr="España">
          <a:hlinkClick xmlns:r="http://schemas.openxmlformats.org/officeDocument/2006/relationships" r:id="rId31"/>
          <a:extLst>
            <a:ext uri="{FF2B5EF4-FFF2-40B4-BE49-F238E27FC236}">
              <a16:creationId xmlns:a16="http://schemas.microsoft.com/office/drawing/2014/main" id="{00000000-0008-0000-0400-00007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1" name="Picture 34" descr="România">
          <a:hlinkClick xmlns:r="http://schemas.openxmlformats.org/officeDocument/2006/relationships" r:id="rId44"/>
          <a:extLst>
            <a:ext uri="{FF2B5EF4-FFF2-40B4-BE49-F238E27FC236}">
              <a16:creationId xmlns:a16="http://schemas.microsoft.com/office/drawing/2014/main" id="{00000000-0008-0000-0400-00007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2" name="Picture 11" descr="Deutschland">
          <a:hlinkClick xmlns:r="http://schemas.openxmlformats.org/officeDocument/2006/relationships" r:id="rId48"/>
          <a:extLst>
            <a:ext uri="{FF2B5EF4-FFF2-40B4-BE49-F238E27FC236}">
              <a16:creationId xmlns:a16="http://schemas.microsoft.com/office/drawing/2014/main" id="{00000000-0008-0000-0400-00008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3" name="Picture 23" descr="España">
          <a:hlinkClick xmlns:r="http://schemas.openxmlformats.org/officeDocument/2006/relationships" r:id="rId45"/>
          <a:extLst>
            <a:ext uri="{FF2B5EF4-FFF2-40B4-BE49-F238E27FC236}">
              <a16:creationId xmlns:a16="http://schemas.microsoft.com/office/drawing/2014/main" id="{00000000-0008-0000-0400-00008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4" name="Picture 29" descr="España">
          <a:hlinkClick xmlns:r="http://schemas.openxmlformats.org/officeDocument/2006/relationships" r:id="rId45"/>
          <a:extLst>
            <a:ext uri="{FF2B5EF4-FFF2-40B4-BE49-F238E27FC236}">
              <a16:creationId xmlns:a16="http://schemas.microsoft.com/office/drawing/2014/main" id="{00000000-0008-0000-0400-00008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5" name="Picture 35" descr="España">
          <a:hlinkClick xmlns:r="http://schemas.openxmlformats.org/officeDocument/2006/relationships" r:id="rId45"/>
          <a:extLst>
            <a:ext uri="{FF2B5EF4-FFF2-40B4-BE49-F238E27FC236}">
              <a16:creationId xmlns:a16="http://schemas.microsoft.com/office/drawing/2014/main" id="{00000000-0008-0000-0400-00008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6" name="Picture 11" descr="Deutschland">
          <a:hlinkClick xmlns:r="http://schemas.openxmlformats.org/officeDocument/2006/relationships" r:id="rId12"/>
          <a:extLst>
            <a:ext uri="{FF2B5EF4-FFF2-40B4-BE49-F238E27FC236}">
              <a16:creationId xmlns:a16="http://schemas.microsoft.com/office/drawing/2014/main" id="{00000000-0008-0000-0400-00008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7" name="Picture 23" descr="España">
          <a:hlinkClick xmlns:r="http://schemas.openxmlformats.org/officeDocument/2006/relationships" r:id="rId1"/>
          <a:extLst>
            <a:ext uri="{FF2B5EF4-FFF2-40B4-BE49-F238E27FC236}">
              <a16:creationId xmlns:a16="http://schemas.microsoft.com/office/drawing/2014/main" id="{00000000-0008-0000-0400-00008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8" name="Picture 27" descr="España">
          <a:hlinkClick xmlns:r="http://schemas.openxmlformats.org/officeDocument/2006/relationships" r:id="rId1"/>
          <a:extLst>
            <a:ext uri="{FF2B5EF4-FFF2-40B4-BE49-F238E27FC236}">
              <a16:creationId xmlns:a16="http://schemas.microsoft.com/office/drawing/2014/main" id="{00000000-0008-0000-0400-00008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9" name="Picture 34" descr="España">
          <a:hlinkClick xmlns:r="http://schemas.openxmlformats.org/officeDocument/2006/relationships" r:id="rId1"/>
          <a:extLst>
            <a:ext uri="{FF2B5EF4-FFF2-40B4-BE49-F238E27FC236}">
              <a16:creationId xmlns:a16="http://schemas.microsoft.com/office/drawing/2014/main" id="{00000000-0008-0000-0400-00008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0" name="Picture 11" descr="Deutschland">
          <a:hlinkClick xmlns:r="http://schemas.openxmlformats.org/officeDocument/2006/relationships" r:id="rId66"/>
          <a:extLst>
            <a:ext uri="{FF2B5EF4-FFF2-40B4-BE49-F238E27FC236}">
              <a16:creationId xmlns:a16="http://schemas.microsoft.com/office/drawing/2014/main" id="{00000000-0008-0000-0400-00008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1" name="Picture 24" descr="España">
          <a:hlinkClick xmlns:r="http://schemas.openxmlformats.org/officeDocument/2006/relationships" r:id="rId63"/>
          <a:extLst>
            <a:ext uri="{FF2B5EF4-FFF2-40B4-BE49-F238E27FC236}">
              <a16:creationId xmlns:a16="http://schemas.microsoft.com/office/drawing/2014/main" id="{00000000-0008-0000-0400-00008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2" name="Picture 29" descr="España">
          <a:hlinkClick xmlns:r="http://schemas.openxmlformats.org/officeDocument/2006/relationships" r:id="rId63"/>
          <a:extLst>
            <a:ext uri="{FF2B5EF4-FFF2-40B4-BE49-F238E27FC236}">
              <a16:creationId xmlns:a16="http://schemas.microsoft.com/office/drawing/2014/main" id="{00000000-0008-0000-0400-00008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3" name="Picture 36" descr="España">
          <a:hlinkClick xmlns:r="http://schemas.openxmlformats.org/officeDocument/2006/relationships" r:id="rId63"/>
          <a:extLst>
            <a:ext uri="{FF2B5EF4-FFF2-40B4-BE49-F238E27FC236}">
              <a16:creationId xmlns:a16="http://schemas.microsoft.com/office/drawing/2014/main" id="{00000000-0008-0000-0400-00008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4" name="Picture 11" descr="Deutschland">
          <a:hlinkClick xmlns:r="http://schemas.openxmlformats.org/officeDocument/2006/relationships" r:id="rId79"/>
          <a:extLst>
            <a:ext uri="{FF2B5EF4-FFF2-40B4-BE49-F238E27FC236}">
              <a16:creationId xmlns:a16="http://schemas.microsoft.com/office/drawing/2014/main" id="{00000000-0008-0000-0400-00008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5" name="Picture 23" descr="Slovenija">
          <a:hlinkClick xmlns:r="http://schemas.openxmlformats.org/officeDocument/2006/relationships" r:id="rId87"/>
          <a:extLst>
            <a:ext uri="{FF2B5EF4-FFF2-40B4-BE49-F238E27FC236}">
              <a16:creationId xmlns:a16="http://schemas.microsoft.com/office/drawing/2014/main" id="{00000000-0008-0000-0400-00008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6" name="Picture 27" descr="Polska">
          <a:hlinkClick xmlns:r="http://schemas.openxmlformats.org/officeDocument/2006/relationships" r:id="rId85"/>
          <a:extLst>
            <a:ext uri="{FF2B5EF4-FFF2-40B4-BE49-F238E27FC236}">
              <a16:creationId xmlns:a16="http://schemas.microsoft.com/office/drawing/2014/main" id="{00000000-0008-0000-0400-00008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7" name="Picture 32" descr="España">
          <a:hlinkClick xmlns:r="http://schemas.openxmlformats.org/officeDocument/2006/relationships" r:id="rId77"/>
          <a:extLst>
            <a:ext uri="{FF2B5EF4-FFF2-40B4-BE49-F238E27FC236}">
              <a16:creationId xmlns:a16="http://schemas.microsoft.com/office/drawing/2014/main" id="{00000000-0008-0000-0400-00008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8" name="Picture 14" descr="España">
          <a:hlinkClick xmlns:r="http://schemas.openxmlformats.org/officeDocument/2006/relationships" r:id="rId1"/>
          <a:extLst>
            <a:ext uri="{FF2B5EF4-FFF2-40B4-BE49-F238E27FC236}">
              <a16:creationId xmlns:a16="http://schemas.microsoft.com/office/drawing/2014/main" id="{00000000-0008-0000-0400-00009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9" name="Picture 16" descr="Nederland">
          <a:hlinkClick xmlns:r="http://schemas.openxmlformats.org/officeDocument/2006/relationships" r:id="rId10"/>
          <a:extLst>
            <a:ext uri="{FF2B5EF4-FFF2-40B4-BE49-F238E27FC236}">
              <a16:creationId xmlns:a16="http://schemas.microsoft.com/office/drawing/2014/main" id="{00000000-0008-0000-0400-00009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0" name="Picture 17" descr="Polska">
          <a:hlinkClick xmlns:r="http://schemas.openxmlformats.org/officeDocument/2006/relationships" r:id="rId5"/>
          <a:extLst>
            <a:ext uri="{FF2B5EF4-FFF2-40B4-BE49-F238E27FC236}">
              <a16:creationId xmlns:a16="http://schemas.microsoft.com/office/drawing/2014/main" id="{00000000-0008-0000-0400-00009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1" name="Picture 19" descr="Danmark">
          <a:hlinkClick xmlns:r="http://schemas.openxmlformats.org/officeDocument/2006/relationships" r:id="rId11"/>
          <a:extLst>
            <a:ext uri="{FF2B5EF4-FFF2-40B4-BE49-F238E27FC236}">
              <a16:creationId xmlns:a16="http://schemas.microsoft.com/office/drawing/2014/main" id="{00000000-0008-0000-0400-00009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2" name="Picture 20" descr="España">
          <a:hlinkClick xmlns:r="http://schemas.openxmlformats.org/officeDocument/2006/relationships" r:id="rId1"/>
          <a:extLst>
            <a:ext uri="{FF2B5EF4-FFF2-40B4-BE49-F238E27FC236}">
              <a16:creationId xmlns:a16="http://schemas.microsoft.com/office/drawing/2014/main" id="{00000000-0008-0000-0400-00009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3" name="Picture 21" descr="Deutschland">
          <a:hlinkClick xmlns:r="http://schemas.openxmlformats.org/officeDocument/2006/relationships" r:id="rId12"/>
          <a:extLst>
            <a:ext uri="{FF2B5EF4-FFF2-40B4-BE49-F238E27FC236}">
              <a16:creationId xmlns:a16="http://schemas.microsoft.com/office/drawing/2014/main" id="{00000000-0008-0000-0400-00009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4" name="Picture 22" descr="España">
          <a:hlinkClick xmlns:r="http://schemas.openxmlformats.org/officeDocument/2006/relationships" r:id="rId1"/>
          <a:extLst>
            <a:ext uri="{FF2B5EF4-FFF2-40B4-BE49-F238E27FC236}">
              <a16:creationId xmlns:a16="http://schemas.microsoft.com/office/drawing/2014/main" id="{00000000-0008-0000-0400-00009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5" name="Picture 23" descr="España">
          <a:hlinkClick xmlns:r="http://schemas.openxmlformats.org/officeDocument/2006/relationships" r:id="rId1"/>
          <a:extLst>
            <a:ext uri="{FF2B5EF4-FFF2-40B4-BE49-F238E27FC236}">
              <a16:creationId xmlns:a16="http://schemas.microsoft.com/office/drawing/2014/main" id="{00000000-0008-0000-0400-00009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6" name="Picture 24" descr="España">
          <a:hlinkClick xmlns:r="http://schemas.openxmlformats.org/officeDocument/2006/relationships" r:id="rId1"/>
          <a:extLst>
            <a:ext uri="{FF2B5EF4-FFF2-40B4-BE49-F238E27FC236}">
              <a16:creationId xmlns:a16="http://schemas.microsoft.com/office/drawing/2014/main" id="{00000000-0008-0000-0400-00009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7" name="Picture 25" descr="Israel">
          <a:hlinkClick xmlns:r="http://schemas.openxmlformats.org/officeDocument/2006/relationships" r:id="rId13"/>
          <a:extLst>
            <a:ext uri="{FF2B5EF4-FFF2-40B4-BE49-F238E27FC236}">
              <a16:creationId xmlns:a16="http://schemas.microsoft.com/office/drawing/2014/main" id="{00000000-0008-0000-0400-00009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8" name="Picture 26" descr="España">
          <a:hlinkClick xmlns:r="http://schemas.openxmlformats.org/officeDocument/2006/relationships" r:id="rId1"/>
          <a:extLst>
            <a:ext uri="{FF2B5EF4-FFF2-40B4-BE49-F238E27FC236}">
              <a16:creationId xmlns:a16="http://schemas.microsoft.com/office/drawing/2014/main" id="{00000000-0008-0000-0400-00009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9" name="Picture 27" descr="Việt Nam">
          <a:hlinkClick xmlns:r="http://schemas.openxmlformats.org/officeDocument/2006/relationships" r:id="rId14"/>
          <a:extLst>
            <a:ext uri="{FF2B5EF4-FFF2-40B4-BE49-F238E27FC236}">
              <a16:creationId xmlns:a16="http://schemas.microsoft.com/office/drawing/2014/main" id="{00000000-0008-0000-0400-00009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0" name="Picture 28" descr="Italia">
          <a:hlinkClick xmlns:r="http://schemas.openxmlformats.org/officeDocument/2006/relationships" r:id="rId4"/>
          <a:extLst>
            <a:ext uri="{FF2B5EF4-FFF2-40B4-BE49-F238E27FC236}">
              <a16:creationId xmlns:a16="http://schemas.microsoft.com/office/drawing/2014/main" id="{00000000-0008-0000-0400-00009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1" name="Picture 30" descr="España">
          <a:hlinkClick xmlns:r="http://schemas.openxmlformats.org/officeDocument/2006/relationships" r:id="rId1"/>
          <a:extLst>
            <a:ext uri="{FF2B5EF4-FFF2-40B4-BE49-F238E27FC236}">
              <a16:creationId xmlns:a16="http://schemas.microsoft.com/office/drawing/2014/main" id="{00000000-0008-0000-0400-00009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2" name="Picture 32" descr="Portugal">
          <a:hlinkClick xmlns:r="http://schemas.openxmlformats.org/officeDocument/2006/relationships" r:id="rId16"/>
          <a:extLst>
            <a:ext uri="{FF2B5EF4-FFF2-40B4-BE49-F238E27FC236}">
              <a16:creationId xmlns:a16="http://schemas.microsoft.com/office/drawing/2014/main" id="{00000000-0008-0000-0400-00009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3" name="Picture 12" descr="Suomi">
          <a:hlinkClick xmlns:r="http://schemas.openxmlformats.org/officeDocument/2006/relationships" r:id="rId19"/>
          <a:extLst>
            <a:ext uri="{FF2B5EF4-FFF2-40B4-BE49-F238E27FC236}">
              <a16:creationId xmlns:a16="http://schemas.microsoft.com/office/drawing/2014/main" id="{00000000-0008-0000-0400-00009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4" name="Picture 14" descr="Deutschland">
          <a:hlinkClick xmlns:r="http://schemas.openxmlformats.org/officeDocument/2006/relationships" r:id="rId20"/>
          <a:extLst>
            <a:ext uri="{FF2B5EF4-FFF2-40B4-BE49-F238E27FC236}">
              <a16:creationId xmlns:a16="http://schemas.microsoft.com/office/drawing/2014/main" id="{00000000-0008-0000-0400-0000A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5" name="Picture 15" descr="España">
          <a:hlinkClick xmlns:r="http://schemas.openxmlformats.org/officeDocument/2006/relationships" r:id="rId17"/>
          <a:extLst>
            <a:ext uri="{FF2B5EF4-FFF2-40B4-BE49-F238E27FC236}">
              <a16:creationId xmlns:a16="http://schemas.microsoft.com/office/drawing/2014/main" id="{00000000-0008-0000-0400-0000A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6" name="Picture 17" descr="Portugal">
          <a:hlinkClick xmlns:r="http://schemas.openxmlformats.org/officeDocument/2006/relationships" r:id="rId22"/>
          <a:extLst>
            <a:ext uri="{FF2B5EF4-FFF2-40B4-BE49-F238E27FC236}">
              <a16:creationId xmlns:a16="http://schemas.microsoft.com/office/drawing/2014/main" id="{00000000-0008-0000-0400-0000A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7" name="Picture 18" descr="Nederland">
          <a:hlinkClick xmlns:r="http://schemas.openxmlformats.org/officeDocument/2006/relationships" r:id="rId23"/>
          <a:extLst>
            <a:ext uri="{FF2B5EF4-FFF2-40B4-BE49-F238E27FC236}">
              <a16:creationId xmlns:a16="http://schemas.microsoft.com/office/drawing/2014/main" id="{00000000-0008-0000-0400-0000A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8" name="Picture 19" descr="Northern Ireland">
          <a:hlinkClick xmlns:r="http://schemas.openxmlformats.org/officeDocument/2006/relationships" r:id="rId24"/>
          <a:extLst>
            <a:ext uri="{FF2B5EF4-FFF2-40B4-BE49-F238E27FC236}">
              <a16:creationId xmlns:a16="http://schemas.microsoft.com/office/drawing/2014/main" id="{00000000-0008-0000-0400-0000A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9" name="Picture 20" descr="China">
          <a:hlinkClick xmlns:r="http://schemas.openxmlformats.org/officeDocument/2006/relationships" r:id="rId25"/>
          <a:extLst>
            <a:ext uri="{FF2B5EF4-FFF2-40B4-BE49-F238E27FC236}">
              <a16:creationId xmlns:a16="http://schemas.microsoft.com/office/drawing/2014/main" id="{00000000-0008-0000-0400-0000A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0" name="Picture 21" descr="Polska">
          <a:hlinkClick xmlns:r="http://schemas.openxmlformats.org/officeDocument/2006/relationships" r:id="rId26"/>
          <a:extLst>
            <a:ext uri="{FF2B5EF4-FFF2-40B4-BE49-F238E27FC236}">
              <a16:creationId xmlns:a16="http://schemas.microsoft.com/office/drawing/2014/main" id="{00000000-0008-0000-0400-0000A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1" name="Picture 23" descr="Nederland">
          <a:hlinkClick xmlns:r="http://schemas.openxmlformats.org/officeDocument/2006/relationships" r:id="rId23"/>
          <a:extLst>
            <a:ext uri="{FF2B5EF4-FFF2-40B4-BE49-F238E27FC236}">
              <a16:creationId xmlns:a16="http://schemas.microsoft.com/office/drawing/2014/main" id="{00000000-0008-0000-0400-0000A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2" name="Picture 25" descr="Danmark">
          <a:hlinkClick xmlns:r="http://schemas.openxmlformats.org/officeDocument/2006/relationships" r:id="rId27"/>
          <a:extLst>
            <a:ext uri="{FF2B5EF4-FFF2-40B4-BE49-F238E27FC236}">
              <a16:creationId xmlns:a16="http://schemas.microsoft.com/office/drawing/2014/main" id="{00000000-0008-0000-0400-0000A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3" name="Picture 26" descr="España">
          <a:hlinkClick xmlns:r="http://schemas.openxmlformats.org/officeDocument/2006/relationships" r:id="rId17"/>
          <a:extLst>
            <a:ext uri="{FF2B5EF4-FFF2-40B4-BE49-F238E27FC236}">
              <a16:creationId xmlns:a16="http://schemas.microsoft.com/office/drawing/2014/main" id="{00000000-0008-0000-0400-0000A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4" name="Picture 27" descr="Deutschland">
          <a:hlinkClick xmlns:r="http://schemas.openxmlformats.org/officeDocument/2006/relationships" r:id="rId20"/>
          <a:extLst>
            <a:ext uri="{FF2B5EF4-FFF2-40B4-BE49-F238E27FC236}">
              <a16:creationId xmlns:a16="http://schemas.microsoft.com/office/drawing/2014/main" id="{00000000-0008-0000-0400-0000A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5" name="Picture 28" descr="Polska">
          <a:hlinkClick xmlns:r="http://schemas.openxmlformats.org/officeDocument/2006/relationships" r:id="rId26"/>
          <a:extLst>
            <a:ext uri="{FF2B5EF4-FFF2-40B4-BE49-F238E27FC236}">
              <a16:creationId xmlns:a16="http://schemas.microsoft.com/office/drawing/2014/main" id="{00000000-0008-0000-0400-0000A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6" name="Picture 31" descr="España">
          <a:hlinkClick xmlns:r="http://schemas.openxmlformats.org/officeDocument/2006/relationships" r:id="rId17"/>
          <a:extLst>
            <a:ext uri="{FF2B5EF4-FFF2-40B4-BE49-F238E27FC236}">
              <a16:creationId xmlns:a16="http://schemas.microsoft.com/office/drawing/2014/main" id="{00000000-0008-0000-0400-0000A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7" name="Picture 33" descr="España">
          <a:hlinkClick xmlns:r="http://schemas.openxmlformats.org/officeDocument/2006/relationships" r:id="rId17"/>
          <a:extLst>
            <a:ext uri="{FF2B5EF4-FFF2-40B4-BE49-F238E27FC236}">
              <a16:creationId xmlns:a16="http://schemas.microsoft.com/office/drawing/2014/main" id="{00000000-0008-0000-0400-0000A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8" name="Picture 37" descr="Việt Nam">
          <a:hlinkClick xmlns:r="http://schemas.openxmlformats.org/officeDocument/2006/relationships" r:id="rId28"/>
          <a:extLst>
            <a:ext uri="{FF2B5EF4-FFF2-40B4-BE49-F238E27FC236}">
              <a16:creationId xmlns:a16="http://schemas.microsoft.com/office/drawing/2014/main" id="{00000000-0008-0000-0400-0000A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9" name="Picture 38" descr="Italia">
          <a:hlinkClick xmlns:r="http://schemas.openxmlformats.org/officeDocument/2006/relationships" r:id="rId29"/>
          <a:extLst>
            <a:ext uri="{FF2B5EF4-FFF2-40B4-BE49-F238E27FC236}">
              <a16:creationId xmlns:a16="http://schemas.microsoft.com/office/drawing/2014/main" id="{00000000-0008-0000-0400-0000A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0" name="Picture 39" descr="España">
          <a:hlinkClick xmlns:r="http://schemas.openxmlformats.org/officeDocument/2006/relationships" r:id="rId17"/>
          <a:extLst>
            <a:ext uri="{FF2B5EF4-FFF2-40B4-BE49-F238E27FC236}">
              <a16:creationId xmlns:a16="http://schemas.microsoft.com/office/drawing/2014/main" id="{00000000-0008-0000-0400-0000B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1" name="Picture 7" descr="España">
          <a:hlinkClick xmlns:r="http://schemas.openxmlformats.org/officeDocument/2006/relationships" r:id="rId31"/>
          <a:extLst>
            <a:ext uri="{FF2B5EF4-FFF2-40B4-BE49-F238E27FC236}">
              <a16:creationId xmlns:a16="http://schemas.microsoft.com/office/drawing/2014/main" id="{00000000-0008-0000-0400-0000B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2" name="Picture 9" descr="España">
          <a:hlinkClick xmlns:r="http://schemas.openxmlformats.org/officeDocument/2006/relationships" r:id="rId31"/>
          <a:extLst>
            <a:ext uri="{FF2B5EF4-FFF2-40B4-BE49-F238E27FC236}">
              <a16:creationId xmlns:a16="http://schemas.microsoft.com/office/drawing/2014/main" id="{00000000-0008-0000-0400-0000B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3" name="Picture 10" descr="Suomi">
          <a:hlinkClick xmlns:r="http://schemas.openxmlformats.org/officeDocument/2006/relationships" r:id="rId33"/>
          <a:extLst>
            <a:ext uri="{FF2B5EF4-FFF2-40B4-BE49-F238E27FC236}">
              <a16:creationId xmlns:a16="http://schemas.microsoft.com/office/drawing/2014/main" id="{00000000-0008-0000-0400-0000B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4" name="Picture 12" descr="Deutschland">
          <a:hlinkClick xmlns:r="http://schemas.openxmlformats.org/officeDocument/2006/relationships" r:id="rId34"/>
          <a:extLst>
            <a:ext uri="{FF2B5EF4-FFF2-40B4-BE49-F238E27FC236}">
              <a16:creationId xmlns:a16="http://schemas.microsoft.com/office/drawing/2014/main" id="{00000000-0008-0000-0400-0000B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5" name="Picture 13" descr="España">
          <a:hlinkClick xmlns:r="http://schemas.openxmlformats.org/officeDocument/2006/relationships" r:id="rId31"/>
          <a:extLst>
            <a:ext uri="{FF2B5EF4-FFF2-40B4-BE49-F238E27FC236}">
              <a16:creationId xmlns:a16="http://schemas.microsoft.com/office/drawing/2014/main" id="{00000000-0008-0000-0400-0000B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6" name="Picture 14" descr="Colombia">
          <a:hlinkClick xmlns:r="http://schemas.openxmlformats.org/officeDocument/2006/relationships" r:id="rId35"/>
          <a:extLst>
            <a:ext uri="{FF2B5EF4-FFF2-40B4-BE49-F238E27FC236}">
              <a16:creationId xmlns:a16="http://schemas.microsoft.com/office/drawing/2014/main" id="{00000000-0008-0000-0400-0000B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7" name="Picture 15" descr="Portugal">
          <a:hlinkClick xmlns:r="http://schemas.openxmlformats.org/officeDocument/2006/relationships" r:id="rId36"/>
          <a:extLst>
            <a:ext uri="{FF2B5EF4-FFF2-40B4-BE49-F238E27FC236}">
              <a16:creationId xmlns:a16="http://schemas.microsoft.com/office/drawing/2014/main" id="{00000000-0008-0000-0400-0000B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8" name="Picture 16" descr="Nederland">
          <a:hlinkClick xmlns:r="http://schemas.openxmlformats.org/officeDocument/2006/relationships" r:id="rId37"/>
          <a:extLst>
            <a:ext uri="{FF2B5EF4-FFF2-40B4-BE49-F238E27FC236}">
              <a16:creationId xmlns:a16="http://schemas.microsoft.com/office/drawing/2014/main" id="{00000000-0008-0000-0400-0000B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9" name="Picture 17" descr="Northern Ireland">
          <a:hlinkClick xmlns:r="http://schemas.openxmlformats.org/officeDocument/2006/relationships" r:id="rId38"/>
          <a:extLst>
            <a:ext uri="{FF2B5EF4-FFF2-40B4-BE49-F238E27FC236}">
              <a16:creationId xmlns:a16="http://schemas.microsoft.com/office/drawing/2014/main" id="{00000000-0008-0000-0400-0000B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0" name="Picture 18" descr="China">
          <a:hlinkClick xmlns:r="http://schemas.openxmlformats.org/officeDocument/2006/relationships" r:id="rId39"/>
          <a:extLst>
            <a:ext uri="{FF2B5EF4-FFF2-40B4-BE49-F238E27FC236}">
              <a16:creationId xmlns:a16="http://schemas.microsoft.com/office/drawing/2014/main" id="{00000000-0008-0000-0400-0000B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1" name="Picture 19" descr="Polska">
          <a:hlinkClick xmlns:r="http://schemas.openxmlformats.org/officeDocument/2006/relationships" r:id="rId40"/>
          <a:extLst>
            <a:ext uri="{FF2B5EF4-FFF2-40B4-BE49-F238E27FC236}">
              <a16:creationId xmlns:a16="http://schemas.microsoft.com/office/drawing/2014/main" id="{00000000-0008-0000-0400-0000B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2" name="Picture 20" descr="Danmark">
          <a:hlinkClick xmlns:r="http://schemas.openxmlformats.org/officeDocument/2006/relationships" r:id="rId41"/>
          <a:extLst>
            <a:ext uri="{FF2B5EF4-FFF2-40B4-BE49-F238E27FC236}">
              <a16:creationId xmlns:a16="http://schemas.microsoft.com/office/drawing/2014/main" id="{00000000-0008-0000-0400-0000B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3" name="Picture 21" descr="España">
          <a:hlinkClick xmlns:r="http://schemas.openxmlformats.org/officeDocument/2006/relationships" r:id="rId31"/>
          <a:extLst>
            <a:ext uri="{FF2B5EF4-FFF2-40B4-BE49-F238E27FC236}">
              <a16:creationId xmlns:a16="http://schemas.microsoft.com/office/drawing/2014/main" id="{00000000-0008-0000-0400-0000B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4" name="Picture 24" descr="Polska">
          <a:hlinkClick xmlns:r="http://schemas.openxmlformats.org/officeDocument/2006/relationships" r:id="rId40"/>
          <a:extLst>
            <a:ext uri="{FF2B5EF4-FFF2-40B4-BE49-F238E27FC236}">
              <a16:creationId xmlns:a16="http://schemas.microsoft.com/office/drawing/2014/main" id="{00000000-0008-0000-0400-0000B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5" name="Picture 27" descr="España">
          <a:hlinkClick xmlns:r="http://schemas.openxmlformats.org/officeDocument/2006/relationships" r:id="rId31"/>
          <a:extLst>
            <a:ext uri="{FF2B5EF4-FFF2-40B4-BE49-F238E27FC236}">
              <a16:creationId xmlns:a16="http://schemas.microsoft.com/office/drawing/2014/main" id="{00000000-0008-0000-0400-0000B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6" name="Picture 29" descr="España">
          <a:hlinkClick xmlns:r="http://schemas.openxmlformats.org/officeDocument/2006/relationships" r:id="rId31"/>
          <a:extLst>
            <a:ext uri="{FF2B5EF4-FFF2-40B4-BE49-F238E27FC236}">
              <a16:creationId xmlns:a16="http://schemas.microsoft.com/office/drawing/2014/main" id="{00000000-0008-0000-0400-0000C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7" name="Picture 30" descr="Việt Nam">
          <a:hlinkClick xmlns:r="http://schemas.openxmlformats.org/officeDocument/2006/relationships" r:id="rId42"/>
          <a:extLst>
            <a:ext uri="{FF2B5EF4-FFF2-40B4-BE49-F238E27FC236}">
              <a16:creationId xmlns:a16="http://schemas.microsoft.com/office/drawing/2014/main" id="{00000000-0008-0000-0400-0000C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8" name="Picture 31" descr="Italia">
          <a:hlinkClick xmlns:r="http://schemas.openxmlformats.org/officeDocument/2006/relationships" r:id="rId43"/>
          <a:extLst>
            <a:ext uri="{FF2B5EF4-FFF2-40B4-BE49-F238E27FC236}">
              <a16:creationId xmlns:a16="http://schemas.microsoft.com/office/drawing/2014/main" id="{00000000-0008-0000-0400-0000C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9" name="Picture 35" descr="España">
          <a:hlinkClick xmlns:r="http://schemas.openxmlformats.org/officeDocument/2006/relationships" r:id="rId31"/>
          <a:extLst>
            <a:ext uri="{FF2B5EF4-FFF2-40B4-BE49-F238E27FC236}">
              <a16:creationId xmlns:a16="http://schemas.microsoft.com/office/drawing/2014/main" id="{00000000-0008-0000-0400-0000C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0" name="Picture 7" descr="España">
          <a:hlinkClick xmlns:r="http://schemas.openxmlformats.org/officeDocument/2006/relationships" r:id="rId45"/>
          <a:extLst>
            <a:ext uri="{FF2B5EF4-FFF2-40B4-BE49-F238E27FC236}">
              <a16:creationId xmlns:a16="http://schemas.microsoft.com/office/drawing/2014/main" id="{00000000-0008-0000-0400-0000C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1" name="Picture 9" descr="España">
          <a:hlinkClick xmlns:r="http://schemas.openxmlformats.org/officeDocument/2006/relationships" r:id="rId45"/>
          <a:extLst>
            <a:ext uri="{FF2B5EF4-FFF2-40B4-BE49-F238E27FC236}">
              <a16:creationId xmlns:a16="http://schemas.microsoft.com/office/drawing/2014/main" id="{00000000-0008-0000-0400-0000C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2" name="Picture 10" descr="Suomi">
          <a:hlinkClick xmlns:r="http://schemas.openxmlformats.org/officeDocument/2006/relationships" r:id="rId47"/>
          <a:extLst>
            <a:ext uri="{FF2B5EF4-FFF2-40B4-BE49-F238E27FC236}">
              <a16:creationId xmlns:a16="http://schemas.microsoft.com/office/drawing/2014/main" id="{00000000-0008-0000-0400-0000C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3" name="Picture 12" descr="Deutschland">
          <a:hlinkClick xmlns:r="http://schemas.openxmlformats.org/officeDocument/2006/relationships" r:id="rId48"/>
          <a:extLst>
            <a:ext uri="{FF2B5EF4-FFF2-40B4-BE49-F238E27FC236}">
              <a16:creationId xmlns:a16="http://schemas.microsoft.com/office/drawing/2014/main" id="{00000000-0008-0000-0400-0000C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4" name="Picture 13" descr="España">
          <a:hlinkClick xmlns:r="http://schemas.openxmlformats.org/officeDocument/2006/relationships" r:id="rId45"/>
          <a:extLst>
            <a:ext uri="{FF2B5EF4-FFF2-40B4-BE49-F238E27FC236}">
              <a16:creationId xmlns:a16="http://schemas.microsoft.com/office/drawing/2014/main" id="{00000000-0008-0000-0400-0000C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5" name="Picture 14" descr="Colombia">
          <a:hlinkClick xmlns:r="http://schemas.openxmlformats.org/officeDocument/2006/relationships" r:id="rId49"/>
          <a:extLst>
            <a:ext uri="{FF2B5EF4-FFF2-40B4-BE49-F238E27FC236}">
              <a16:creationId xmlns:a16="http://schemas.microsoft.com/office/drawing/2014/main" id="{00000000-0008-0000-0400-0000C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6" name="Picture 15" descr="Portugal">
          <a:hlinkClick xmlns:r="http://schemas.openxmlformats.org/officeDocument/2006/relationships" r:id="rId50"/>
          <a:extLst>
            <a:ext uri="{FF2B5EF4-FFF2-40B4-BE49-F238E27FC236}">
              <a16:creationId xmlns:a16="http://schemas.microsoft.com/office/drawing/2014/main" id="{00000000-0008-0000-0400-0000C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7" name="Picture 16" descr="Nederland">
          <a:hlinkClick xmlns:r="http://schemas.openxmlformats.org/officeDocument/2006/relationships" r:id="rId51"/>
          <a:extLst>
            <a:ext uri="{FF2B5EF4-FFF2-40B4-BE49-F238E27FC236}">
              <a16:creationId xmlns:a16="http://schemas.microsoft.com/office/drawing/2014/main" id="{00000000-0008-0000-0400-0000C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8" name="Picture 17" descr="Northern Ireland">
          <a:hlinkClick xmlns:r="http://schemas.openxmlformats.org/officeDocument/2006/relationships" r:id="rId52"/>
          <a:extLst>
            <a:ext uri="{FF2B5EF4-FFF2-40B4-BE49-F238E27FC236}">
              <a16:creationId xmlns:a16="http://schemas.microsoft.com/office/drawing/2014/main" id="{00000000-0008-0000-0400-0000C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9" name="Picture 18" descr="China">
          <a:hlinkClick xmlns:r="http://schemas.openxmlformats.org/officeDocument/2006/relationships" r:id="rId53"/>
          <a:extLst>
            <a:ext uri="{FF2B5EF4-FFF2-40B4-BE49-F238E27FC236}">
              <a16:creationId xmlns:a16="http://schemas.microsoft.com/office/drawing/2014/main" id="{00000000-0008-0000-0400-0000C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0" name="Picture 19" descr="Polska">
          <a:hlinkClick xmlns:r="http://schemas.openxmlformats.org/officeDocument/2006/relationships" r:id="rId54"/>
          <a:extLst>
            <a:ext uri="{FF2B5EF4-FFF2-40B4-BE49-F238E27FC236}">
              <a16:creationId xmlns:a16="http://schemas.microsoft.com/office/drawing/2014/main" id="{00000000-0008-0000-0400-0000C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1" name="Picture 20" descr="Deutschland">
          <a:hlinkClick xmlns:r="http://schemas.openxmlformats.org/officeDocument/2006/relationships" r:id="rId48"/>
          <a:extLst>
            <a:ext uri="{FF2B5EF4-FFF2-40B4-BE49-F238E27FC236}">
              <a16:creationId xmlns:a16="http://schemas.microsoft.com/office/drawing/2014/main" id="{00000000-0008-0000-0400-0000C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2" name="Picture 22" descr="Danmark">
          <a:hlinkClick xmlns:r="http://schemas.openxmlformats.org/officeDocument/2006/relationships" r:id="rId55"/>
          <a:extLst>
            <a:ext uri="{FF2B5EF4-FFF2-40B4-BE49-F238E27FC236}">
              <a16:creationId xmlns:a16="http://schemas.microsoft.com/office/drawing/2014/main" id="{00000000-0008-0000-0400-0000D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3" name="Picture 24" descr="Deutschland">
          <a:hlinkClick xmlns:r="http://schemas.openxmlformats.org/officeDocument/2006/relationships" r:id="rId48"/>
          <a:extLst>
            <a:ext uri="{FF2B5EF4-FFF2-40B4-BE49-F238E27FC236}">
              <a16:creationId xmlns:a16="http://schemas.microsoft.com/office/drawing/2014/main" id="{00000000-0008-0000-0400-0000D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4" name="Picture 28" descr="España">
          <a:hlinkClick xmlns:r="http://schemas.openxmlformats.org/officeDocument/2006/relationships" r:id="rId45"/>
          <a:extLst>
            <a:ext uri="{FF2B5EF4-FFF2-40B4-BE49-F238E27FC236}">
              <a16:creationId xmlns:a16="http://schemas.microsoft.com/office/drawing/2014/main" id="{00000000-0008-0000-0400-0000D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5" name="Picture 30" descr="España">
          <a:hlinkClick xmlns:r="http://schemas.openxmlformats.org/officeDocument/2006/relationships" r:id="rId45"/>
          <a:extLst>
            <a:ext uri="{FF2B5EF4-FFF2-40B4-BE49-F238E27FC236}">
              <a16:creationId xmlns:a16="http://schemas.microsoft.com/office/drawing/2014/main" id="{00000000-0008-0000-0400-0000D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6" name="Picture 31" descr="España">
          <a:hlinkClick xmlns:r="http://schemas.openxmlformats.org/officeDocument/2006/relationships" r:id="rId45"/>
          <a:extLst>
            <a:ext uri="{FF2B5EF4-FFF2-40B4-BE49-F238E27FC236}">
              <a16:creationId xmlns:a16="http://schemas.microsoft.com/office/drawing/2014/main" id="{00000000-0008-0000-0400-0000D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7" name="Picture 32" descr="Việt Nam">
          <a:hlinkClick xmlns:r="http://schemas.openxmlformats.org/officeDocument/2006/relationships" r:id="rId56"/>
          <a:extLst>
            <a:ext uri="{FF2B5EF4-FFF2-40B4-BE49-F238E27FC236}">
              <a16:creationId xmlns:a16="http://schemas.microsoft.com/office/drawing/2014/main" id="{00000000-0008-0000-0400-0000D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8" name="Picture 36" descr="España">
          <a:hlinkClick xmlns:r="http://schemas.openxmlformats.org/officeDocument/2006/relationships" r:id="rId45"/>
          <a:extLst>
            <a:ext uri="{FF2B5EF4-FFF2-40B4-BE49-F238E27FC236}">
              <a16:creationId xmlns:a16="http://schemas.microsoft.com/office/drawing/2014/main" id="{00000000-0008-0000-0400-0000D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9" name="Picture 7" descr="España">
          <a:hlinkClick xmlns:r="http://schemas.openxmlformats.org/officeDocument/2006/relationships" r:id="rId1"/>
          <a:extLst>
            <a:ext uri="{FF2B5EF4-FFF2-40B4-BE49-F238E27FC236}">
              <a16:creationId xmlns:a16="http://schemas.microsoft.com/office/drawing/2014/main" id="{00000000-0008-0000-0400-0000D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0" name="Picture 9" descr="España">
          <a:hlinkClick xmlns:r="http://schemas.openxmlformats.org/officeDocument/2006/relationships" r:id="rId1"/>
          <a:extLst>
            <a:ext uri="{FF2B5EF4-FFF2-40B4-BE49-F238E27FC236}">
              <a16:creationId xmlns:a16="http://schemas.microsoft.com/office/drawing/2014/main" id="{00000000-0008-0000-0400-0000D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1" name="Picture 10" descr="Suomi">
          <a:hlinkClick xmlns:r="http://schemas.openxmlformats.org/officeDocument/2006/relationships" r:id="rId59"/>
          <a:extLst>
            <a:ext uri="{FF2B5EF4-FFF2-40B4-BE49-F238E27FC236}">
              <a16:creationId xmlns:a16="http://schemas.microsoft.com/office/drawing/2014/main" id="{00000000-0008-0000-0400-0000D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2" name="Picture 12" descr="Deutschland">
          <a:hlinkClick xmlns:r="http://schemas.openxmlformats.org/officeDocument/2006/relationships" r:id="rId12"/>
          <a:extLst>
            <a:ext uri="{FF2B5EF4-FFF2-40B4-BE49-F238E27FC236}">
              <a16:creationId xmlns:a16="http://schemas.microsoft.com/office/drawing/2014/main" id="{00000000-0008-0000-0400-0000D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3" name="Picture 13" descr="España">
          <a:hlinkClick xmlns:r="http://schemas.openxmlformats.org/officeDocument/2006/relationships" r:id="rId1"/>
          <a:extLst>
            <a:ext uri="{FF2B5EF4-FFF2-40B4-BE49-F238E27FC236}">
              <a16:creationId xmlns:a16="http://schemas.microsoft.com/office/drawing/2014/main" id="{00000000-0008-0000-0400-0000D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4" name="Picture 14" descr="Colombia">
          <a:hlinkClick xmlns:r="http://schemas.openxmlformats.org/officeDocument/2006/relationships" r:id="rId8"/>
          <a:extLst>
            <a:ext uri="{FF2B5EF4-FFF2-40B4-BE49-F238E27FC236}">
              <a16:creationId xmlns:a16="http://schemas.microsoft.com/office/drawing/2014/main" id="{00000000-0008-0000-0400-0000D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5" name="Picture 15" descr="Portugal">
          <a:hlinkClick xmlns:r="http://schemas.openxmlformats.org/officeDocument/2006/relationships" r:id="rId16"/>
          <a:extLst>
            <a:ext uri="{FF2B5EF4-FFF2-40B4-BE49-F238E27FC236}">
              <a16:creationId xmlns:a16="http://schemas.microsoft.com/office/drawing/2014/main" id="{00000000-0008-0000-0400-0000D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6" name="Picture 16" descr="Nederland">
          <a:hlinkClick xmlns:r="http://schemas.openxmlformats.org/officeDocument/2006/relationships" r:id="rId10"/>
          <a:extLst>
            <a:ext uri="{FF2B5EF4-FFF2-40B4-BE49-F238E27FC236}">
              <a16:creationId xmlns:a16="http://schemas.microsoft.com/office/drawing/2014/main" id="{00000000-0008-0000-0400-0000D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7" name="Picture 17" descr="Northern Ireland">
          <a:hlinkClick xmlns:r="http://schemas.openxmlformats.org/officeDocument/2006/relationships" r:id="rId60"/>
          <a:extLst>
            <a:ext uri="{FF2B5EF4-FFF2-40B4-BE49-F238E27FC236}">
              <a16:creationId xmlns:a16="http://schemas.microsoft.com/office/drawing/2014/main" id="{00000000-0008-0000-0400-0000D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8" name="Picture 18" descr="China">
          <a:hlinkClick xmlns:r="http://schemas.openxmlformats.org/officeDocument/2006/relationships" r:id="rId61"/>
          <a:extLst>
            <a:ext uri="{FF2B5EF4-FFF2-40B4-BE49-F238E27FC236}">
              <a16:creationId xmlns:a16="http://schemas.microsoft.com/office/drawing/2014/main" id="{00000000-0008-0000-0400-0000E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9" name="Picture 19" descr="Polska">
          <a:hlinkClick xmlns:r="http://schemas.openxmlformats.org/officeDocument/2006/relationships" r:id="rId5"/>
          <a:extLst>
            <a:ext uri="{FF2B5EF4-FFF2-40B4-BE49-F238E27FC236}">
              <a16:creationId xmlns:a16="http://schemas.microsoft.com/office/drawing/2014/main" id="{00000000-0008-0000-0400-0000E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0" name="Picture 20" descr="Deutschland">
          <a:hlinkClick xmlns:r="http://schemas.openxmlformats.org/officeDocument/2006/relationships" r:id="rId12"/>
          <a:extLst>
            <a:ext uri="{FF2B5EF4-FFF2-40B4-BE49-F238E27FC236}">
              <a16:creationId xmlns:a16="http://schemas.microsoft.com/office/drawing/2014/main" id="{00000000-0008-0000-0400-0000E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1" name="Picture 22" descr="Danmark">
          <a:hlinkClick xmlns:r="http://schemas.openxmlformats.org/officeDocument/2006/relationships" r:id="rId11"/>
          <a:extLst>
            <a:ext uri="{FF2B5EF4-FFF2-40B4-BE49-F238E27FC236}">
              <a16:creationId xmlns:a16="http://schemas.microsoft.com/office/drawing/2014/main" id="{00000000-0008-0000-0400-0000E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2" name="Picture 26" descr="España">
          <a:hlinkClick xmlns:r="http://schemas.openxmlformats.org/officeDocument/2006/relationships" r:id="rId1"/>
          <a:extLst>
            <a:ext uri="{FF2B5EF4-FFF2-40B4-BE49-F238E27FC236}">
              <a16:creationId xmlns:a16="http://schemas.microsoft.com/office/drawing/2014/main" id="{00000000-0008-0000-0400-0000E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3" name="Picture 28" descr="España">
          <a:hlinkClick xmlns:r="http://schemas.openxmlformats.org/officeDocument/2006/relationships" r:id="rId1"/>
          <a:extLst>
            <a:ext uri="{FF2B5EF4-FFF2-40B4-BE49-F238E27FC236}">
              <a16:creationId xmlns:a16="http://schemas.microsoft.com/office/drawing/2014/main" id="{00000000-0008-0000-0400-0000E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4" name="Picture 30" descr="España">
          <a:hlinkClick xmlns:r="http://schemas.openxmlformats.org/officeDocument/2006/relationships" r:id="rId1"/>
          <a:extLst>
            <a:ext uri="{FF2B5EF4-FFF2-40B4-BE49-F238E27FC236}">
              <a16:creationId xmlns:a16="http://schemas.microsoft.com/office/drawing/2014/main" id="{00000000-0008-0000-0400-0000E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5" name="Picture 35" descr="España">
          <a:hlinkClick xmlns:r="http://schemas.openxmlformats.org/officeDocument/2006/relationships" r:id="rId1"/>
          <a:extLst>
            <a:ext uri="{FF2B5EF4-FFF2-40B4-BE49-F238E27FC236}">
              <a16:creationId xmlns:a16="http://schemas.microsoft.com/office/drawing/2014/main" id="{00000000-0008-0000-0400-0000E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6" name="Picture 7" descr="España">
          <a:hlinkClick xmlns:r="http://schemas.openxmlformats.org/officeDocument/2006/relationships" r:id="rId63"/>
          <a:extLst>
            <a:ext uri="{FF2B5EF4-FFF2-40B4-BE49-F238E27FC236}">
              <a16:creationId xmlns:a16="http://schemas.microsoft.com/office/drawing/2014/main" id="{00000000-0008-0000-0400-0000E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7" name="Picture 9" descr="España">
          <a:hlinkClick xmlns:r="http://schemas.openxmlformats.org/officeDocument/2006/relationships" r:id="rId63"/>
          <a:extLst>
            <a:ext uri="{FF2B5EF4-FFF2-40B4-BE49-F238E27FC236}">
              <a16:creationId xmlns:a16="http://schemas.microsoft.com/office/drawing/2014/main" id="{00000000-0008-0000-0400-0000E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8" name="Picture 10" descr="Suomi">
          <a:hlinkClick xmlns:r="http://schemas.openxmlformats.org/officeDocument/2006/relationships" r:id="rId65"/>
          <a:extLst>
            <a:ext uri="{FF2B5EF4-FFF2-40B4-BE49-F238E27FC236}">
              <a16:creationId xmlns:a16="http://schemas.microsoft.com/office/drawing/2014/main" id="{00000000-0008-0000-0400-0000E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9" name="Picture 12" descr="Deutschland">
          <a:hlinkClick xmlns:r="http://schemas.openxmlformats.org/officeDocument/2006/relationships" r:id="rId66"/>
          <a:extLst>
            <a:ext uri="{FF2B5EF4-FFF2-40B4-BE49-F238E27FC236}">
              <a16:creationId xmlns:a16="http://schemas.microsoft.com/office/drawing/2014/main" id="{00000000-0008-0000-0400-0000E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0" name="Picture 13" descr="España">
          <a:hlinkClick xmlns:r="http://schemas.openxmlformats.org/officeDocument/2006/relationships" r:id="rId63"/>
          <a:extLst>
            <a:ext uri="{FF2B5EF4-FFF2-40B4-BE49-F238E27FC236}">
              <a16:creationId xmlns:a16="http://schemas.microsoft.com/office/drawing/2014/main" id="{00000000-0008-0000-0400-0000E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1" name="Picture 14" descr="Colombia">
          <a:hlinkClick xmlns:r="http://schemas.openxmlformats.org/officeDocument/2006/relationships" r:id="rId67"/>
          <a:extLst>
            <a:ext uri="{FF2B5EF4-FFF2-40B4-BE49-F238E27FC236}">
              <a16:creationId xmlns:a16="http://schemas.microsoft.com/office/drawing/2014/main" id="{00000000-0008-0000-0400-0000E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2" name="Picture 15" descr="Portugal">
          <a:hlinkClick xmlns:r="http://schemas.openxmlformats.org/officeDocument/2006/relationships" r:id="rId68"/>
          <a:extLst>
            <a:ext uri="{FF2B5EF4-FFF2-40B4-BE49-F238E27FC236}">
              <a16:creationId xmlns:a16="http://schemas.microsoft.com/office/drawing/2014/main" id="{00000000-0008-0000-0400-0000E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3" name="Picture 16" descr="Nederland">
          <a:hlinkClick xmlns:r="http://schemas.openxmlformats.org/officeDocument/2006/relationships" r:id="rId69"/>
          <a:extLst>
            <a:ext uri="{FF2B5EF4-FFF2-40B4-BE49-F238E27FC236}">
              <a16:creationId xmlns:a16="http://schemas.microsoft.com/office/drawing/2014/main" id="{00000000-0008-0000-0400-0000E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4" name="Picture 17" descr="Northern Ireland">
          <a:hlinkClick xmlns:r="http://schemas.openxmlformats.org/officeDocument/2006/relationships" r:id="rId70"/>
          <a:extLst>
            <a:ext uri="{FF2B5EF4-FFF2-40B4-BE49-F238E27FC236}">
              <a16:creationId xmlns:a16="http://schemas.microsoft.com/office/drawing/2014/main" id="{00000000-0008-0000-0400-0000F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5" name="Picture 19" descr="China">
          <a:hlinkClick xmlns:r="http://schemas.openxmlformats.org/officeDocument/2006/relationships" r:id="rId71"/>
          <a:extLst>
            <a:ext uri="{FF2B5EF4-FFF2-40B4-BE49-F238E27FC236}">
              <a16:creationId xmlns:a16="http://schemas.microsoft.com/office/drawing/2014/main" id="{00000000-0008-0000-0400-0000F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6" name="Picture 20" descr="Polska">
          <a:hlinkClick xmlns:r="http://schemas.openxmlformats.org/officeDocument/2006/relationships" r:id="rId72"/>
          <a:extLst>
            <a:ext uri="{FF2B5EF4-FFF2-40B4-BE49-F238E27FC236}">
              <a16:creationId xmlns:a16="http://schemas.microsoft.com/office/drawing/2014/main" id="{00000000-0008-0000-0400-0000F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7" name="Picture 21" descr="Deutschland">
          <a:hlinkClick xmlns:r="http://schemas.openxmlformats.org/officeDocument/2006/relationships" r:id="rId66"/>
          <a:extLst>
            <a:ext uri="{FF2B5EF4-FFF2-40B4-BE49-F238E27FC236}">
              <a16:creationId xmlns:a16="http://schemas.microsoft.com/office/drawing/2014/main" id="{00000000-0008-0000-0400-0000F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8" name="Picture 23" descr="Danmark">
          <a:hlinkClick xmlns:r="http://schemas.openxmlformats.org/officeDocument/2006/relationships" r:id="rId73"/>
          <a:extLst>
            <a:ext uri="{FF2B5EF4-FFF2-40B4-BE49-F238E27FC236}">
              <a16:creationId xmlns:a16="http://schemas.microsoft.com/office/drawing/2014/main" id="{00000000-0008-0000-0400-0000F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9" name="Picture 25" descr="France">
          <a:hlinkClick xmlns:r="http://schemas.openxmlformats.org/officeDocument/2006/relationships" r:id="rId74"/>
          <a:extLst>
            <a:ext uri="{FF2B5EF4-FFF2-40B4-BE49-F238E27FC236}">
              <a16:creationId xmlns:a16="http://schemas.microsoft.com/office/drawing/2014/main" id="{00000000-0008-0000-0400-0000F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0" name="Picture 28" descr="España">
          <a:hlinkClick xmlns:r="http://schemas.openxmlformats.org/officeDocument/2006/relationships" r:id="rId63"/>
          <a:extLst>
            <a:ext uri="{FF2B5EF4-FFF2-40B4-BE49-F238E27FC236}">
              <a16:creationId xmlns:a16="http://schemas.microsoft.com/office/drawing/2014/main" id="{00000000-0008-0000-0400-0000F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1" name="Picture 30" descr="España">
          <a:hlinkClick xmlns:r="http://schemas.openxmlformats.org/officeDocument/2006/relationships" r:id="rId63"/>
          <a:extLst>
            <a:ext uri="{FF2B5EF4-FFF2-40B4-BE49-F238E27FC236}">
              <a16:creationId xmlns:a16="http://schemas.microsoft.com/office/drawing/2014/main" id="{00000000-0008-0000-0400-0000F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2" name="Picture 31" descr="Nederland">
          <a:hlinkClick xmlns:r="http://schemas.openxmlformats.org/officeDocument/2006/relationships" r:id="rId69"/>
          <a:extLst>
            <a:ext uri="{FF2B5EF4-FFF2-40B4-BE49-F238E27FC236}">
              <a16:creationId xmlns:a16="http://schemas.microsoft.com/office/drawing/2014/main" id="{00000000-0008-0000-0400-0000F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3" name="Picture 33" descr="España">
          <a:hlinkClick xmlns:r="http://schemas.openxmlformats.org/officeDocument/2006/relationships" r:id="rId63"/>
          <a:extLst>
            <a:ext uri="{FF2B5EF4-FFF2-40B4-BE49-F238E27FC236}">
              <a16:creationId xmlns:a16="http://schemas.microsoft.com/office/drawing/2014/main" id="{00000000-0008-0000-0400-0000F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4" name="Picture 37" descr="România">
          <a:hlinkClick xmlns:r="http://schemas.openxmlformats.org/officeDocument/2006/relationships" r:id="rId76"/>
          <a:extLst>
            <a:ext uri="{FF2B5EF4-FFF2-40B4-BE49-F238E27FC236}">
              <a16:creationId xmlns:a16="http://schemas.microsoft.com/office/drawing/2014/main" id="{00000000-0008-0000-0400-0000F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5" name="Picture 7" descr="España">
          <a:hlinkClick xmlns:r="http://schemas.openxmlformats.org/officeDocument/2006/relationships" r:id="rId77"/>
          <a:extLst>
            <a:ext uri="{FF2B5EF4-FFF2-40B4-BE49-F238E27FC236}">
              <a16:creationId xmlns:a16="http://schemas.microsoft.com/office/drawing/2014/main" id="{00000000-0008-0000-0400-0000F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6" name="Picture 9" descr="España">
          <a:hlinkClick xmlns:r="http://schemas.openxmlformats.org/officeDocument/2006/relationships" r:id="rId77"/>
          <a:extLst>
            <a:ext uri="{FF2B5EF4-FFF2-40B4-BE49-F238E27FC236}">
              <a16:creationId xmlns:a16="http://schemas.microsoft.com/office/drawing/2014/main" id="{00000000-0008-0000-0400-0000F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7" name="Picture 10" descr="Suomi">
          <a:hlinkClick xmlns:r="http://schemas.openxmlformats.org/officeDocument/2006/relationships" r:id="rId78"/>
          <a:extLst>
            <a:ext uri="{FF2B5EF4-FFF2-40B4-BE49-F238E27FC236}">
              <a16:creationId xmlns:a16="http://schemas.microsoft.com/office/drawing/2014/main" id="{00000000-0008-0000-0400-0000F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8" name="Picture 12" descr="Deutschland">
          <a:hlinkClick xmlns:r="http://schemas.openxmlformats.org/officeDocument/2006/relationships" r:id="rId79"/>
          <a:extLst>
            <a:ext uri="{FF2B5EF4-FFF2-40B4-BE49-F238E27FC236}">
              <a16:creationId xmlns:a16="http://schemas.microsoft.com/office/drawing/2014/main" id="{00000000-0008-0000-0400-0000F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9" name="Picture 13" descr="España">
          <a:hlinkClick xmlns:r="http://schemas.openxmlformats.org/officeDocument/2006/relationships" r:id="rId77"/>
          <a:extLst>
            <a:ext uri="{FF2B5EF4-FFF2-40B4-BE49-F238E27FC236}">
              <a16:creationId xmlns:a16="http://schemas.microsoft.com/office/drawing/2014/main" id="{00000000-0008-0000-0400-0000F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0" name="Picture 15" descr="Colombia">
          <a:hlinkClick xmlns:r="http://schemas.openxmlformats.org/officeDocument/2006/relationships" r:id="rId80"/>
          <a:extLst>
            <a:ext uri="{FF2B5EF4-FFF2-40B4-BE49-F238E27FC236}">
              <a16:creationId xmlns:a16="http://schemas.microsoft.com/office/drawing/2014/main" id="{00000000-0008-0000-0400-00000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1" name="Picture 16" descr="Portugal">
          <a:hlinkClick xmlns:r="http://schemas.openxmlformats.org/officeDocument/2006/relationships" r:id="rId81"/>
          <a:extLst>
            <a:ext uri="{FF2B5EF4-FFF2-40B4-BE49-F238E27FC236}">
              <a16:creationId xmlns:a16="http://schemas.microsoft.com/office/drawing/2014/main" id="{00000000-0008-0000-0400-00000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2" name="Picture 17" descr="Nederland">
          <a:hlinkClick xmlns:r="http://schemas.openxmlformats.org/officeDocument/2006/relationships" r:id="rId82"/>
          <a:extLst>
            <a:ext uri="{FF2B5EF4-FFF2-40B4-BE49-F238E27FC236}">
              <a16:creationId xmlns:a16="http://schemas.microsoft.com/office/drawing/2014/main" id="{00000000-0008-0000-0400-00000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3" name="Picture 18" descr="Northern Ireland">
          <a:hlinkClick xmlns:r="http://schemas.openxmlformats.org/officeDocument/2006/relationships" r:id="rId83"/>
          <a:extLst>
            <a:ext uri="{FF2B5EF4-FFF2-40B4-BE49-F238E27FC236}">
              <a16:creationId xmlns:a16="http://schemas.microsoft.com/office/drawing/2014/main" id="{00000000-0008-0000-0400-00000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4" name="Picture 19" descr="China">
          <a:hlinkClick xmlns:r="http://schemas.openxmlformats.org/officeDocument/2006/relationships" r:id="rId84"/>
          <a:extLst>
            <a:ext uri="{FF2B5EF4-FFF2-40B4-BE49-F238E27FC236}">
              <a16:creationId xmlns:a16="http://schemas.microsoft.com/office/drawing/2014/main" id="{00000000-0008-0000-0400-00000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5" name="Picture 20" descr="Polska">
          <a:hlinkClick xmlns:r="http://schemas.openxmlformats.org/officeDocument/2006/relationships" r:id="rId85"/>
          <a:extLst>
            <a:ext uri="{FF2B5EF4-FFF2-40B4-BE49-F238E27FC236}">
              <a16:creationId xmlns:a16="http://schemas.microsoft.com/office/drawing/2014/main" id="{00000000-0008-0000-0400-00000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6" name="Picture 21" descr="Deutschland">
          <a:hlinkClick xmlns:r="http://schemas.openxmlformats.org/officeDocument/2006/relationships" r:id="rId79"/>
          <a:extLst>
            <a:ext uri="{FF2B5EF4-FFF2-40B4-BE49-F238E27FC236}">
              <a16:creationId xmlns:a16="http://schemas.microsoft.com/office/drawing/2014/main" id="{00000000-0008-0000-0400-00000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7" name="Picture 22" descr="Danmark">
          <a:hlinkClick xmlns:r="http://schemas.openxmlformats.org/officeDocument/2006/relationships" r:id="rId86"/>
          <a:extLst>
            <a:ext uri="{FF2B5EF4-FFF2-40B4-BE49-F238E27FC236}">
              <a16:creationId xmlns:a16="http://schemas.microsoft.com/office/drawing/2014/main" id="{00000000-0008-0000-0400-00000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8" name="Picture 24" descr="España">
          <a:hlinkClick xmlns:r="http://schemas.openxmlformats.org/officeDocument/2006/relationships" r:id="rId77"/>
          <a:extLst>
            <a:ext uri="{FF2B5EF4-FFF2-40B4-BE49-F238E27FC236}">
              <a16:creationId xmlns:a16="http://schemas.microsoft.com/office/drawing/2014/main" id="{00000000-0008-0000-0400-00000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9" name="Picture 26" descr="România">
          <a:hlinkClick xmlns:r="http://schemas.openxmlformats.org/officeDocument/2006/relationships" r:id="rId89"/>
          <a:extLst>
            <a:ext uri="{FF2B5EF4-FFF2-40B4-BE49-F238E27FC236}">
              <a16:creationId xmlns:a16="http://schemas.microsoft.com/office/drawing/2014/main" id="{00000000-0008-0000-0400-00000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0" name="Picture 28" descr="España">
          <a:hlinkClick xmlns:r="http://schemas.openxmlformats.org/officeDocument/2006/relationships" r:id="rId77"/>
          <a:extLst>
            <a:ext uri="{FF2B5EF4-FFF2-40B4-BE49-F238E27FC236}">
              <a16:creationId xmlns:a16="http://schemas.microsoft.com/office/drawing/2014/main" id="{00000000-0008-0000-0400-00000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1" name="Picture 29" descr="España">
          <a:hlinkClick xmlns:r="http://schemas.openxmlformats.org/officeDocument/2006/relationships" r:id="rId77"/>
          <a:extLst>
            <a:ext uri="{FF2B5EF4-FFF2-40B4-BE49-F238E27FC236}">
              <a16:creationId xmlns:a16="http://schemas.microsoft.com/office/drawing/2014/main" id="{00000000-0008-0000-0400-00000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2" name="Picture 30" descr="España">
          <a:hlinkClick xmlns:r="http://schemas.openxmlformats.org/officeDocument/2006/relationships" r:id="rId77"/>
          <a:extLst>
            <a:ext uri="{FF2B5EF4-FFF2-40B4-BE49-F238E27FC236}">
              <a16:creationId xmlns:a16="http://schemas.microsoft.com/office/drawing/2014/main" id="{00000000-0008-0000-0400-00000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3" name="Picture 33" descr="Polska">
          <a:hlinkClick xmlns:r="http://schemas.openxmlformats.org/officeDocument/2006/relationships" r:id="rId85"/>
          <a:extLst>
            <a:ext uri="{FF2B5EF4-FFF2-40B4-BE49-F238E27FC236}">
              <a16:creationId xmlns:a16="http://schemas.microsoft.com/office/drawing/2014/main" id="{00000000-0008-0000-0400-00000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4" name="Picture 37" descr="Portugal">
          <a:hlinkClick xmlns:r="http://schemas.openxmlformats.org/officeDocument/2006/relationships" r:id="rId81"/>
          <a:extLst>
            <a:ext uri="{FF2B5EF4-FFF2-40B4-BE49-F238E27FC236}">
              <a16:creationId xmlns:a16="http://schemas.microsoft.com/office/drawing/2014/main" id="{00000000-0008-0000-0400-00000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5" name="Picture 2" descr="España">
          <a:hlinkClick xmlns:r="http://schemas.openxmlformats.org/officeDocument/2006/relationships" r:id="rId90"/>
          <a:extLst>
            <a:ext uri="{FF2B5EF4-FFF2-40B4-BE49-F238E27FC236}">
              <a16:creationId xmlns:a16="http://schemas.microsoft.com/office/drawing/2014/main" id="{00000000-0008-0000-0400-00000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6" name="Picture 3" descr="USA">
          <a:hlinkClick xmlns:r="http://schemas.openxmlformats.org/officeDocument/2006/relationships" r:id="rId91"/>
          <a:extLst>
            <a:ext uri="{FF2B5EF4-FFF2-40B4-BE49-F238E27FC236}">
              <a16:creationId xmlns:a16="http://schemas.microsoft.com/office/drawing/2014/main" id="{00000000-0008-0000-0400-00001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7" name="Picture 5" descr="España">
          <a:hlinkClick xmlns:r="http://schemas.openxmlformats.org/officeDocument/2006/relationships" r:id="rId90"/>
          <a:extLst>
            <a:ext uri="{FF2B5EF4-FFF2-40B4-BE49-F238E27FC236}">
              <a16:creationId xmlns:a16="http://schemas.microsoft.com/office/drawing/2014/main" id="{00000000-0008-0000-0400-00001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8" name="Picture 6" descr="España">
          <a:hlinkClick xmlns:r="http://schemas.openxmlformats.org/officeDocument/2006/relationships" r:id="rId90"/>
          <a:extLst>
            <a:ext uri="{FF2B5EF4-FFF2-40B4-BE49-F238E27FC236}">
              <a16:creationId xmlns:a16="http://schemas.microsoft.com/office/drawing/2014/main" id="{00000000-0008-0000-0400-00001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9" name="Picture 8" descr="Česká republika">
          <a:hlinkClick xmlns:r="http://schemas.openxmlformats.org/officeDocument/2006/relationships" r:id="rId92"/>
          <a:extLst>
            <a:ext uri="{FF2B5EF4-FFF2-40B4-BE49-F238E27FC236}">
              <a16:creationId xmlns:a16="http://schemas.microsoft.com/office/drawing/2014/main" id="{00000000-0008-0000-0400-00001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0" name="Picture 9" descr="Sverige">
          <a:hlinkClick xmlns:r="http://schemas.openxmlformats.org/officeDocument/2006/relationships" r:id="rId93"/>
          <a:extLst>
            <a:ext uri="{FF2B5EF4-FFF2-40B4-BE49-F238E27FC236}">
              <a16:creationId xmlns:a16="http://schemas.microsoft.com/office/drawing/2014/main" id="{00000000-0008-0000-0400-00001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1" name="Picture 11" descr="Suomi">
          <a:hlinkClick xmlns:r="http://schemas.openxmlformats.org/officeDocument/2006/relationships" r:id="rId94"/>
          <a:extLst>
            <a:ext uri="{FF2B5EF4-FFF2-40B4-BE49-F238E27FC236}">
              <a16:creationId xmlns:a16="http://schemas.microsoft.com/office/drawing/2014/main" id="{00000000-0008-0000-0400-00001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2" name="Picture 12" descr="España">
          <a:hlinkClick xmlns:r="http://schemas.openxmlformats.org/officeDocument/2006/relationships" r:id="rId90"/>
          <a:extLst>
            <a:ext uri="{FF2B5EF4-FFF2-40B4-BE49-F238E27FC236}">
              <a16:creationId xmlns:a16="http://schemas.microsoft.com/office/drawing/2014/main" id="{00000000-0008-0000-0400-00001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3" name="Picture 13" descr="Nederland">
          <a:hlinkClick xmlns:r="http://schemas.openxmlformats.org/officeDocument/2006/relationships" r:id="rId95"/>
          <a:extLst>
            <a:ext uri="{FF2B5EF4-FFF2-40B4-BE49-F238E27FC236}">
              <a16:creationId xmlns:a16="http://schemas.microsoft.com/office/drawing/2014/main" id="{00000000-0008-0000-0400-00001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4" name="Picture 14" descr="Italia">
          <a:hlinkClick xmlns:r="http://schemas.openxmlformats.org/officeDocument/2006/relationships" r:id="rId96"/>
          <a:extLst>
            <a:ext uri="{FF2B5EF4-FFF2-40B4-BE49-F238E27FC236}">
              <a16:creationId xmlns:a16="http://schemas.microsoft.com/office/drawing/2014/main" id="{00000000-0008-0000-0400-00001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5" name="Picture 16" descr="España">
          <a:hlinkClick xmlns:r="http://schemas.openxmlformats.org/officeDocument/2006/relationships" r:id="rId90"/>
          <a:extLst>
            <a:ext uri="{FF2B5EF4-FFF2-40B4-BE49-F238E27FC236}">
              <a16:creationId xmlns:a16="http://schemas.microsoft.com/office/drawing/2014/main" id="{00000000-0008-0000-0400-00001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6" name="Picture 18" descr="France">
          <a:hlinkClick xmlns:r="http://schemas.openxmlformats.org/officeDocument/2006/relationships" r:id="rId97"/>
          <a:extLst>
            <a:ext uri="{FF2B5EF4-FFF2-40B4-BE49-F238E27FC236}">
              <a16:creationId xmlns:a16="http://schemas.microsoft.com/office/drawing/2014/main" id="{00000000-0008-0000-0400-00001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7" name="Picture 19" descr="France">
          <a:hlinkClick xmlns:r="http://schemas.openxmlformats.org/officeDocument/2006/relationships" r:id="rId97"/>
          <a:extLst>
            <a:ext uri="{FF2B5EF4-FFF2-40B4-BE49-F238E27FC236}">
              <a16:creationId xmlns:a16="http://schemas.microsoft.com/office/drawing/2014/main" id="{00000000-0008-0000-0400-00001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8" name="Picture 21" descr="Argentina">
          <a:hlinkClick xmlns:r="http://schemas.openxmlformats.org/officeDocument/2006/relationships" r:id="rId98"/>
          <a:extLst>
            <a:ext uri="{FF2B5EF4-FFF2-40B4-BE49-F238E27FC236}">
              <a16:creationId xmlns:a16="http://schemas.microsoft.com/office/drawing/2014/main" id="{00000000-0008-0000-0400-00001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9" name="Picture 23" descr="España">
          <a:hlinkClick xmlns:r="http://schemas.openxmlformats.org/officeDocument/2006/relationships" r:id="rId90"/>
          <a:extLst>
            <a:ext uri="{FF2B5EF4-FFF2-40B4-BE49-F238E27FC236}">
              <a16:creationId xmlns:a16="http://schemas.microsoft.com/office/drawing/2014/main" id="{00000000-0008-0000-0400-00001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0" name="Picture 25" descr="Lubnan">
          <a:hlinkClick xmlns:r="http://schemas.openxmlformats.org/officeDocument/2006/relationships" r:id="rId99"/>
          <a:extLst>
            <a:ext uri="{FF2B5EF4-FFF2-40B4-BE49-F238E27FC236}">
              <a16:creationId xmlns:a16="http://schemas.microsoft.com/office/drawing/2014/main" id="{00000000-0008-0000-0400-00001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1" name="Picture 27" descr="Magyarország">
          <a:hlinkClick xmlns:r="http://schemas.openxmlformats.org/officeDocument/2006/relationships" r:id="rId100"/>
          <a:extLst>
            <a:ext uri="{FF2B5EF4-FFF2-40B4-BE49-F238E27FC236}">
              <a16:creationId xmlns:a16="http://schemas.microsoft.com/office/drawing/2014/main" id="{00000000-0008-0000-0400-00001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2" name="Picture 29" descr="Uruguay">
          <a:hlinkClick xmlns:r="http://schemas.openxmlformats.org/officeDocument/2006/relationships" r:id="rId101"/>
          <a:extLst>
            <a:ext uri="{FF2B5EF4-FFF2-40B4-BE49-F238E27FC236}">
              <a16:creationId xmlns:a16="http://schemas.microsoft.com/office/drawing/2014/main" id="{00000000-0008-0000-0400-00002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3" name="Picture 30" descr="Italia">
          <a:hlinkClick xmlns:r="http://schemas.openxmlformats.org/officeDocument/2006/relationships" r:id="rId96"/>
          <a:extLst>
            <a:ext uri="{FF2B5EF4-FFF2-40B4-BE49-F238E27FC236}">
              <a16:creationId xmlns:a16="http://schemas.microsoft.com/office/drawing/2014/main" id="{00000000-0008-0000-0400-00002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4" name="Picture 31" descr="Nederland">
          <a:hlinkClick xmlns:r="http://schemas.openxmlformats.org/officeDocument/2006/relationships" r:id="rId95"/>
          <a:extLst>
            <a:ext uri="{FF2B5EF4-FFF2-40B4-BE49-F238E27FC236}">
              <a16:creationId xmlns:a16="http://schemas.microsoft.com/office/drawing/2014/main" id="{00000000-0008-0000-0400-00002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5" name="Picture 32" descr="Italia">
          <a:hlinkClick xmlns:r="http://schemas.openxmlformats.org/officeDocument/2006/relationships" r:id="rId96"/>
          <a:extLst>
            <a:ext uri="{FF2B5EF4-FFF2-40B4-BE49-F238E27FC236}">
              <a16:creationId xmlns:a16="http://schemas.microsoft.com/office/drawing/2014/main" id="{00000000-0008-0000-0400-00002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6" name="Picture 34" descr="Deutschland">
          <a:hlinkClick xmlns:r="http://schemas.openxmlformats.org/officeDocument/2006/relationships" r:id="rId102"/>
          <a:extLst>
            <a:ext uri="{FF2B5EF4-FFF2-40B4-BE49-F238E27FC236}">
              <a16:creationId xmlns:a16="http://schemas.microsoft.com/office/drawing/2014/main" id="{00000000-0008-0000-0400-00002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7" name="Picture 36" descr="Israel">
          <a:hlinkClick xmlns:r="http://schemas.openxmlformats.org/officeDocument/2006/relationships" r:id="rId103"/>
          <a:extLst>
            <a:ext uri="{FF2B5EF4-FFF2-40B4-BE49-F238E27FC236}">
              <a16:creationId xmlns:a16="http://schemas.microsoft.com/office/drawing/2014/main" id="{00000000-0008-0000-0400-00002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8" name="Picture 37" descr="Slovensko">
          <a:hlinkClick xmlns:r="http://schemas.openxmlformats.org/officeDocument/2006/relationships" r:id="rId104"/>
          <a:extLst>
            <a:ext uri="{FF2B5EF4-FFF2-40B4-BE49-F238E27FC236}">
              <a16:creationId xmlns:a16="http://schemas.microsoft.com/office/drawing/2014/main" id="{00000000-0008-0000-0400-00002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9" name="Picture 2" descr="España">
          <a:hlinkClick xmlns:r="http://schemas.openxmlformats.org/officeDocument/2006/relationships" r:id="rId90"/>
          <a:extLst>
            <a:ext uri="{FF2B5EF4-FFF2-40B4-BE49-F238E27FC236}">
              <a16:creationId xmlns:a16="http://schemas.microsoft.com/office/drawing/2014/main" id="{00000000-0008-0000-0400-00002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0" name="Picture 3" descr="USA">
          <a:hlinkClick xmlns:r="http://schemas.openxmlformats.org/officeDocument/2006/relationships" r:id="rId91"/>
          <a:extLst>
            <a:ext uri="{FF2B5EF4-FFF2-40B4-BE49-F238E27FC236}">
              <a16:creationId xmlns:a16="http://schemas.microsoft.com/office/drawing/2014/main" id="{00000000-0008-0000-0400-00002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1" name="Picture 5" descr="España">
          <a:hlinkClick xmlns:r="http://schemas.openxmlformats.org/officeDocument/2006/relationships" r:id="rId90"/>
          <a:extLst>
            <a:ext uri="{FF2B5EF4-FFF2-40B4-BE49-F238E27FC236}">
              <a16:creationId xmlns:a16="http://schemas.microsoft.com/office/drawing/2014/main" id="{00000000-0008-0000-0400-00002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2" name="Picture 6" descr="España">
          <a:hlinkClick xmlns:r="http://schemas.openxmlformats.org/officeDocument/2006/relationships" r:id="rId90"/>
          <a:extLst>
            <a:ext uri="{FF2B5EF4-FFF2-40B4-BE49-F238E27FC236}">
              <a16:creationId xmlns:a16="http://schemas.microsoft.com/office/drawing/2014/main" id="{00000000-0008-0000-0400-00002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3" name="Picture 8" descr="Česká republika">
          <a:hlinkClick xmlns:r="http://schemas.openxmlformats.org/officeDocument/2006/relationships" r:id="rId92"/>
          <a:extLst>
            <a:ext uri="{FF2B5EF4-FFF2-40B4-BE49-F238E27FC236}">
              <a16:creationId xmlns:a16="http://schemas.microsoft.com/office/drawing/2014/main" id="{00000000-0008-0000-0400-00002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4" name="Picture 9" descr="Sverige">
          <a:hlinkClick xmlns:r="http://schemas.openxmlformats.org/officeDocument/2006/relationships" r:id="rId93"/>
          <a:extLst>
            <a:ext uri="{FF2B5EF4-FFF2-40B4-BE49-F238E27FC236}">
              <a16:creationId xmlns:a16="http://schemas.microsoft.com/office/drawing/2014/main" id="{00000000-0008-0000-0400-00002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5" name="Picture 11" descr="Suomi">
          <a:hlinkClick xmlns:r="http://schemas.openxmlformats.org/officeDocument/2006/relationships" r:id="rId94"/>
          <a:extLst>
            <a:ext uri="{FF2B5EF4-FFF2-40B4-BE49-F238E27FC236}">
              <a16:creationId xmlns:a16="http://schemas.microsoft.com/office/drawing/2014/main" id="{00000000-0008-0000-0400-00002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6" name="Picture 12" descr="España">
          <a:hlinkClick xmlns:r="http://schemas.openxmlformats.org/officeDocument/2006/relationships" r:id="rId90"/>
          <a:extLst>
            <a:ext uri="{FF2B5EF4-FFF2-40B4-BE49-F238E27FC236}">
              <a16:creationId xmlns:a16="http://schemas.microsoft.com/office/drawing/2014/main" id="{00000000-0008-0000-0400-00002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7" name="Picture 13" descr="Nederland">
          <a:hlinkClick xmlns:r="http://schemas.openxmlformats.org/officeDocument/2006/relationships" r:id="rId95"/>
          <a:extLst>
            <a:ext uri="{FF2B5EF4-FFF2-40B4-BE49-F238E27FC236}">
              <a16:creationId xmlns:a16="http://schemas.microsoft.com/office/drawing/2014/main" id="{00000000-0008-0000-0400-00002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8" name="Picture 14" descr="Italia">
          <a:hlinkClick xmlns:r="http://schemas.openxmlformats.org/officeDocument/2006/relationships" r:id="rId96"/>
          <a:extLst>
            <a:ext uri="{FF2B5EF4-FFF2-40B4-BE49-F238E27FC236}">
              <a16:creationId xmlns:a16="http://schemas.microsoft.com/office/drawing/2014/main" id="{00000000-0008-0000-0400-00003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9" name="Picture 16" descr="España">
          <a:hlinkClick xmlns:r="http://schemas.openxmlformats.org/officeDocument/2006/relationships" r:id="rId90"/>
          <a:extLst>
            <a:ext uri="{FF2B5EF4-FFF2-40B4-BE49-F238E27FC236}">
              <a16:creationId xmlns:a16="http://schemas.microsoft.com/office/drawing/2014/main" id="{00000000-0008-0000-0400-00003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0" name="Picture 18" descr="France">
          <a:hlinkClick xmlns:r="http://schemas.openxmlformats.org/officeDocument/2006/relationships" r:id="rId97"/>
          <a:extLst>
            <a:ext uri="{FF2B5EF4-FFF2-40B4-BE49-F238E27FC236}">
              <a16:creationId xmlns:a16="http://schemas.microsoft.com/office/drawing/2014/main" id="{00000000-0008-0000-0400-00003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1" name="Picture 19" descr="France">
          <a:hlinkClick xmlns:r="http://schemas.openxmlformats.org/officeDocument/2006/relationships" r:id="rId97"/>
          <a:extLst>
            <a:ext uri="{FF2B5EF4-FFF2-40B4-BE49-F238E27FC236}">
              <a16:creationId xmlns:a16="http://schemas.microsoft.com/office/drawing/2014/main" id="{00000000-0008-0000-0400-00003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2" name="Picture 21" descr="Argentina">
          <a:hlinkClick xmlns:r="http://schemas.openxmlformats.org/officeDocument/2006/relationships" r:id="rId98"/>
          <a:extLst>
            <a:ext uri="{FF2B5EF4-FFF2-40B4-BE49-F238E27FC236}">
              <a16:creationId xmlns:a16="http://schemas.microsoft.com/office/drawing/2014/main" id="{00000000-0008-0000-0400-00003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3" name="Picture 23" descr="España">
          <a:hlinkClick xmlns:r="http://schemas.openxmlformats.org/officeDocument/2006/relationships" r:id="rId90"/>
          <a:extLst>
            <a:ext uri="{FF2B5EF4-FFF2-40B4-BE49-F238E27FC236}">
              <a16:creationId xmlns:a16="http://schemas.microsoft.com/office/drawing/2014/main" id="{00000000-0008-0000-0400-00003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4" name="Picture 25" descr="Lubnan">
          <a:hlinkClick xmlns:r="http://schemas.openxmlformats.org/officeDocument/2006/relationships" r:id="rId99"/>
          <a:extLst>
            <a:ext uri="{FF2B5EF4-FFF2-40B4-BE49-F238E27FC236}">
              <a16:creationId xmlns:a16="http://schemas.microsoft.com/office/drawing/2014/main" id="{00000000-0008-0000-0400-00003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5" name="Picture 27" descr="Magyarország">
          <a:hlinkClick xmlns:r="http://schemas.openxmlformats.org/officeDocument/2006/relationships" r:id="rId100"/>
          <a:extLst>
            <a:ext uri="{FF2B5EF4-FFF2-40B4-BE49-F238E27FC236}">
              <a16:creationId xmlns:a16="http://schemas.microsoft.com/office/drawing/2014/main" id="{00000000-0008-0000-0400-00003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6" name="Picture 29" descr="Uruguay">
          <a:hlinkClick xmlns:r="http://schemas.openxmlformats.org/officeDocument/2006/relationships" r:id="rId101"/>
          <a:extLst>
            <a:ext uri="{FF2B5EF4-FFF2-40B4-BE49-F238E27FC236}">
              <a16:creationId xmlns:a16="http://schemas.microsoft.com/office/drawing/2014/main" id="{00000000-0008-0000-0400-00003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7" name="Picture 30" descr="Italia">
          <a:hlinkClick xmlns:r="http://schemas.openxmlformats.org/officeDocument/2006/relationships" r:id="rId96"/>
          <a:extLst>
            <a:ext uri="{FF2B5EF4-FFF2-40B4-BE49-F238E27FC236}">
              <a16:creationId xmlns:a16="http://schemas.microsoft.com/office/drawing/2014/main" id="{00000000-0008-0000-0400-00003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8" name="Picture 31" descr="Nederland">
          <a:hlinkClick xmlns:r="http://schemas.openxmlformats.org/officeDocument/2006/relationships" r:id="rId95"/>
          <a:extLst>
            <a:ext uri="{FF2B5EF4-FFF2-40B4-BE49-F238E27FC236}">
              <a16:creationId xmlns:a16="http://schemas.microsoft.com/office/drawing/2014/main" id="{00000000-0008-0000-0400-00003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9" name="Picture 32" descr="Italia">
          <a:hlinkClick xmlns:r="http://schemas.openxmlformats.org/officeDocument/2006/relationships" r:id="rId96"/>
          <a:extLst>
            <a:ext uri="{FF2B5EF4-FFF2-40B4-BE49-F238E27FC236}">
              <a16:creationId xmlns:a16="http://schemas.microsoft.com/office/drawing/2014/main" id="{00000000-0008-0000-0400-00003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0" name="Picture 34" descr="Deutschland">
          <a:hlinkClick xmlns:r="http://schemas.openxmlformats.org/officeDocument/2006/relationships" r:id="rId102"/>
          <a:extLst>
            <a:ext uri="{FF2B5EF4-FFF2-40B4-BE49-F238E27FC236}">
              <a16:creationId xmlns:a16="http://schemas.microsoft.com/office/drawing/2014/main" id="{00000000-0008-0000-0400-00003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1" name="Picture 36" descr="Israel">
          <a:hlinkClick xmlns:r="http://schemas.openxmlformats.org/officeDocument/2006/relationships" r:id="rId103"/>
          <a:extLst>
            <a:ext uri="{FF2B5EF4-FFF2-40B4-BE49-F238E27FC236}">
              <a16:creationId xmlns:a16="http://schemas.microsoft.com/office/drawing/2014/main" id="{00000000-0008-0000-0400-00003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2" name="Picture 37" descr="Slovensko">
          <a:hlinkClick xmlns:r="http://schemas.openxmlformats.org/officeDocument/2006/relationships" r:id="rId104"/>
          <a:extLst>
            <a:ext uri="{FF2B5EF4-FFF2-40B4-BE49-F238E27FC236}">
              <a16:creationId xmlns:a16="http://schemas.microsoft.com/office/drawing/2014/main" id="{00000000-0008-0000-0400-00003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3" name="Picture 2" descr="España">
          <a:hlinkClick xmlns:r="http://schemas.openxmlformats.org/officeDocument/2006/relationships" r:id="rId90"/>
          <a:extLst>
            <a:ext uri="{FF2B5EF4-FFF2-40B4-BE49-F238E27FC236}">
              <a16:creationId xmlns:a16="http://schemas.microsoft.com/office/drawing/2014/main" id="{00000000-0008-0000-0400-00003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4" name="Picture 3" descr="USA">
          <a:hlinkClick xmlns:r="http://schemas.openxmlformats.org/officeDocument/2006/relationships" r:id="rId91"/>
          <a:extLst>
            <a:ext uri="{FF2B5EF4-FFF2-40B4-BE49-F238E27FC236}">
              <a16:creationId xmlns:a16="http://schemas.microsoft.com/office/drawing/2014/main" id="{00000000-0008-0000-0400-00004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5" name="Picture 5" descr="España">
          <a:hlinkClick xmlns:r="http://schemas.openxmlformats.org/officeDocument/2006/relationships" r:id="rId90"/>
          <a:extLst>
            <a:ext uri="{FF2B5EF4-FFF2-40B4-BE49-F238E27FC236}">
              <a16:creationId xmlns:a16="http://schemas.microsoft.com/office/drawing/2014/main" id="{00000000-0008-0000-0400-00004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6" name="Picture 6" descr="España">
          <a:hlinkClick xmlns:r="http://schemas.openxmlformats.org/officeDocument/2006/relationships" r:id="rId90"/>
          <a:extLst>
            <a:ext uri="{FF2B5EF4-FFF2-40B4-BE49-F238E27FC236}">
              <a16:creationId xmlns:a16="http://schemas.microsoft.com/office/drawing/2014/main" id="{00000000-0008-0000-0400-00004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7" name="Picture 8" descr="Česká republika">
          <a:hlinkClick xmlns:r="http://schemas.openxmlformats.org/officeDocument/2006/relationships" r:id="rId92"/>
          <a:extLst>
            <a:ext uri="{FF2B5EF4-FFF2-40B4-BE49-F238E27FC236}">
              <a16:creationId xmlns:a16="http://schemas.microsoft.com/office/drawing/2014/main" id="{00000000-0008-0000-0400-00004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8" name="Picture 9" descr="Sverige">
          <a:hlinkClick xmlns:r="http://schemas.openxmlformats.org/officeDocument/2006/relationships" r:id="rId93"/>
          <a:extLst>
            <a:ext uri="{FF2B5EF4-FFF2-40B4-BE49-F238E27FC236}">
              <a16:creationId xmlns:a16="http://schemas.microsoft.com/office/drawing/2014/main" id="{00000000-0008-0000-0400-00004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9" name="Picture 11" descr="Suomi">
          <a:hlinkClick xmlns:r="http://schemas.openxmlformats.org/officeDocument/2006/relationships" r:id="rId94"/>
          <a:extLst>
            <a:ext uri="{FF2B5EF4-FFF2-40B4-BE49-F238E27FC236}">
              <a16:creationId xmlns:a16="http://schemas.microsoft.com/office/drawing/2014/main" id="{00000000-0008-0000-0400-00004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0" name="Picture 12" descr="España">
          <a:hlinkClick xmlns:r="http://schemas.openxmlformats.org/officeDocument/2006/relationships" r:id="rId90"/>
          <a:extLst>
            <a:ext uri="{FF2B5EF4-FFF2-40B4-BE49-F238E27FC236}">
              <a16:creationId xmlns:a16="http://schemas.microsoft.com/office/drawing/2014/main" id="{00000000-0008-0000-0400-00004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1" name="Picture 13" descr="Nederland">
          <a:hlinkClick xmlns:r="http://schemas.openxmlformats.org/officeDocument/2006/relationships" r:id="rId95"/>
          <a:extLst>
            <a:ext uri="{FF2B5EF4-FFF2-40B4-BE49-F238E27FC236}">
              <a16:creationId xmlns:a16="http://schemas.microsoft.com/office/drawing/2014/main" id="{00000000-0008-0000-0400-00004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2" name="Picture 14" descr="Italia">
          <a:hlinkClick xmlns:r="http://schemas.openxmlformats.org/officeDocument/2006/relationships" r:id="rId96"/>
          <a:extLst>
            <a:ext uri="{FF2B5EF4-FFF2-40B4-BE49-F238E27FC236}">
              <a16:creationId xmlns:a16="http://schemas.microsoft.com/office/drawing/2014/main" id="{00000000-0008-0000-0400-00004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3" name="Picture 16" descr="España">
          <a:hlinkClick xmlns:r="http://schemas.openxmlformats.org/officeDocument/2006/relationships" r:id="rId90"/>
          <a:extLst>
            <a:ext uri="{FF2B5EF4-FFF2-40B4-BE49-F238E27FC236}">
              <a16:creationId xmlns:a16="http://schemas.microsoft.com/office/drawing/2014/main" id="{00000000-0008-0000-0400-00004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4" name="Picture 18" descr="France">
          <a:hlinkClick xmlns:r="http://schemas.openxmlformats.org/officeDocument/2006/relationships" r:id="rId97"/>
          <a:extLst>
            <a:ext uri="{FF2B5EF4-FFF2-40B4-BE49-F238E27FC236}">
              <a16:creationId xmlns:a16="http://schemas.microsoft.com/office/drawing/2014/main" id="{00000000-0008-0000-0400-00004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5" name="Picture 19" descr="France">
          <a:hlinkClick xmlns:r="http://schemas.openxmlformats.org/officeDocument/2006/relationships" r:id="rId97"/>
          <a:extLst>
            <a:ext uri="{FF2B5EF4-FFF2-40B4-BE49-F238E27FC236}">
              <a16:creationId xmlns:a16="http://schemas.microsoft.com/office/drawing/2014/main" id="{00000000-0008-0000-0400-00004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6" name="Picture 21" descr="Argentina">
          <a:hlinkClick xmlns:r="http://schemas.openxmlformats.org/officeDocument/2006/relationships" r:id="rId98"/>
          <a:extLst>
            <a:ext uri="{FF2B5EF4-FFF2-40B4-BE49-F238E27FC236}">
              <a16:creationId xmlns:a16="http://schemas.microsoft.com/office/drawing/2014/main" id="{00000000-0008-0000-0400-00004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7" name="Picture 23" descr="España">
          <a:hlinkClick xmlns:r="http://schemas.openxmlformats.org/officeDocument/2006/relationships" r:id="rId90"/>
          <a:extLst>
            <a:ext uri="{FF2B5EF4-FFF2-40B4-BE49-F238E27FC236}">
              <a16:creationId xmlns:a16="http://schemas.microsoft.com/office/drawing/2014/main" id="{00000000-0008-0000-0400-00004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8" name="Picture 25" descr="Lubnan">
          <a:hlinkClick xmlns:r="http://schemas.openxmlformats.org/officeDocument/2006/relationships" r:id="rId99"/>
          <a:extLst>
            <a:ext uri="{FF2B5EF4-FFF2-40B4-BE49-F238E27FC236}">
              <a16:creationId xmlns:a16="http://schemas.microsoft.com/office/drawing/2014/main" id="{00000000-0008-0000-0400-00004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9" name="Picture 27" descr="Magyarország">
          <a:hlinkClick xmlns:r="http://schemas.openxmlformats.org/officeDocument/2006/relationships" r:id="rId100"/>
          <a:extLst>
            <a:ext uri="{FF2B5EF4-FFF2-40B4-BE49-F238E27FC236}">
              <a16:creationId xmlns:a16="http://schemas.microsoft.com/office/drawing/2014/main" id="{00000000-0008-0000-0400-00004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0" name="Picture 29" descr="Uruguay">
          <a:hlinkClick xmlns:r="http://schemas.openxmlformats.org/officeDocument/2006/relationships" r:id="rId101"/>
          <a:extLst>
            <a:ext uri="{FF2B5EF4-FFF2-40B4-BE49-F238E27FC236}">
              <a16:creationId xmlns:a16="http://schemas.microsoft.com/office/drawing/2014/main" id="{00000000-0008-0000-0400-00005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1" name="Picture 30" descr="Italia">
          <a:hlinkClick xmlns:r="http://schemas.openxmlformats.org/officeDocument/2006/relationships" r:id="rId96"/>
          <a:extLst>
            <a:ext uri="{FF2B5EF4-FFF2-40B4-BE49-F238E27FC236}">
              <a16:creationId xmlns:a16="http://schemas.microsoft.com/office/drawing/2014/main" id="{00000000-0008-0000-0400-00005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2" name="Picture 31" descr="Nederland">
          <a:hlinkClick xmlns:r="http://schemas.openxmlformats.org/officeDocument/2006/relationships" r:id="rId95"/>
          <a:extLst>
            <a:ext uri="{FF2B5EF4-FFF2-40B4-BE49-F238E27FC236}">
              <a16:creationId xmlns:a16="http://schemas.microsoft.com/office/drawing/2014/main" id="{00000000-0008-0000-0400-00005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3" name="Picture 32" descr="Italia">
          <a:hlinkClick xmlns:r="http://schemas.openxmlformats.org/officeDocument/2006/relationships" r:id="rId96"/>
          <a:extLst>
            <a:ext uri="{FF2B5EF4-FFF2-40B4-BE49-F238E27FC236}">
              <a16:creationId xmlns:a16="http://schemas.microsoft.com/office/drawing/2014/main" id="{00000000-0008-0000-0400-00005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4" name="Picture 34" descr="Deutschland">
          <a:hlinkClick xmlns:r="http://schemas.openxmlformats.org/officeDocument/2006/relationships" r:id="rId102"/>
          <a:extLst>
            <a:ext uri="{FF2B5EF4-FFF2-40B4-BE49-F238E27FC236}">
              <a16:creationId xmlns:a16="http://schemas.microsoft.com/office/drawing/2014/main" id="{00000000-0008-0000-0400-00005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5" name="Picture 36" descr="Israel">
          <a:hlinkClick xmlns:r="http://schemas.openxmlformats.org/officeDocument/2006/relationships" r:id="rId103"/>
          <a:extLst>
            <a:ext uri="{FF2B5EF4-FFF2-40B4-BE49-F238E27FC236}">
              <a16:creationId xmlns:a16="http://schemas.microsoft.com/office/drawing/2014/main" id="{00000000-0008-0000-0400-00005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6" name="Picture 37" descr="Slovensko">
          <a:hlinkClick xmlns:r="http://schemas.openxmlformats.org/officeDocument/2006/relationships" r:id="rId104"/>
          <a:extLst>
            <a:ext uri="{FF2B5EF4-FFF2-40B4-BE49-F238E27FC236}">
              <a16:creationId xmlns:a16="http://schemas.microsoft.com/office/drawing/2014/main" id="{00000000-0008-0000-0400-00005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7" name="Picture 2" descr="España">
          <a:hlinkClick xmlns:r="http://schemas.openxmlformats.org/officeDocument/2006/relationships" r:id="rId90"/>
          <a:extLst>
            <a:ext uri="{FF2B5EF4-FFF2-40B4-BE49-F238E27FC236}">
              <a16:creationId xmlns:a16="http://schemas.microsoft.com/office/drawing/2014/main" id="{00000000-0008-0000-0400-00005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8" name="Picture 3" descr="USA">
          <a:hlinkClick xmlns:r="http://schemas.openxmlformats.org/officeDocument/2006/relationships" r:id="rId91"/>
          <a:extLst>
            <a:ext uri="{FF2B5EF4-FFF2-40B4-BE49-F238E27FC236}">
              <a16:creationId xmlns:a16="http://schemas.microsoft.com/office/drawing/2014/main" id="{00000000-0008-0000-0400-00005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9" name="Picture 5" descr="España">
          <a:hlinkClick xmlns:r="http://schemas.openxmlformats.org/officeDocument/2006/relationships" r:id="rId90"/>
          <a:extLst>
            <a:ext uri="{FF2B5EF4-FFF2-40B4-BE49-F238E27FC236}">
              <a16:creationId xmlns:a16="http://schemas.microsoft.com/office/drawing/2014/main" id="{00000000-0008-0000-0400-00005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0" name="Picture 6" descr="España">
          <a:hlinkClick xmlns:r="http://schemas.openxmlformats.org/officeDocument/2006/relationships" r:id="rId90"/>
          <a:extLst>
            <a:ext uri="{FF2B5EF4-FFF2-40B4-BE49-F238E27FC236}">
              <a16:creationId xmlns:a16="http://schemas.microsoft.com/office/drawing/2014/main" id="{00000000-0008-0000-0400-00005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1" name="Picture 8" descr="Česká republika">
          <a:hlinkClick xmlns:r="http://schemas.openxmlformats.org/officeDocument/2006/relationships" r:id="rId92"/>
          <a:extLst>
            <a:ext uri="{FF2B5EF4-FFF2-40B4-BE49-F238E27FC236}">
              <a16:creationId xmlns:a16="http://schemas.microsoft.com/office/drawing/2014/main" id="{00000000-0008-0000-0400-00005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2" name="Picture 9" descr="Sverige">
          <a:hlinkClick xmlns:r="http://schemas.openxmlformats.org/officeDocument/2006/relationships" r:id="rId93"/>
          <a:extLst>
            <a:ext uri="{FF2B5EF4-FFF2-40B4-BE49-F238E27FC236}">
              <a16:creationId xmlns:a16="http://schemas.microsoft.com/office/drawing/2014/main" id="{00000000-0008-0000-0400-00005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3" name="Picture 11" descr="Suomi">
          <a:hlinkClick xmlns:r="http://schemas.openxmlformats.org/officeDocument/2006/relationships" r:id="rId94"/>
          <a:extLst>
            <a:ext uri="{FF2B5EF4-FFF2-40B4-BE49-F238E27FC236}">
              <a16:creationId xmlns:a16="http://schemas.microsoft.com/office/drawing/2014/main" id="{00000000-0008-0000-0400-00005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4" name="Picture 12" descr="España">
          <a:hlinkClick xmlns:r="http://schemas.openxmlformats.org/officeDocument/2006/relationships" r:id="rId90"/>
          <a:extLst>
            <a:ext uri="{FF2B5EF4-FFF2-40B4-BE49-F238E27FC236}">
              <a16:creationId xmlns:a16="http://schemas.microsoft.com/office/drawing/2014/main" id="{00000000-0008-0000-0400-00005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5" name="Picture 13" descr="Nederland">
          <a:hlinkClick xmlns:r="http://schemas.openxmlformats.org/officeDocument/2006/relationships" r:id="rId95"/>
          <a:extLst>
            <a:ext uri="{FF2B5EF4-FFF2-40B4-BE49-F238E27FC236}">
              <a16:creationId xmlns:a16="http://schemas.microsoft.com/office/drawing/2014/main" id="{00000000-0008-0000-0400-00005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6" name="Picture 14" descr="Italia">
          <a:hlinkClick xmlns:r="http://schemas.openxmlformats.org/officeDocument/2006/relationships" r:id="rId96"/>
          <a:extLst>
            <a:ext uri="{FF2B5EF4-FFF2-40B4-BE49-F238E27FC236}">
              <a16:creationId xmlns:a16="http://schemas.microsoft.com/office/drawing/2014/main" id="{00000000-0008-0000-0400-00006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7" name="Picture 16" descr="España">
          <a:hlinkClick xmlns:r="http://schemas.openxmlformats.org/officeDocument/2006/relationships" r:id="rId90"/>
          <a:extLst>
            <a:ext uri="{FF2B5EF4-FFF2-40B4-BE49-F238E27FC236}">
              <a16:creationId xmlns:a16="http://schemas.microsoft.com/office/drawing/2014/main" id="{00000000-0008-0000-0400-00006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8" name="Picture 18" descr="France">
          <a:hlinkClick xmlns:r="http://schemas.openxmlformats.org/officeDocument/2006/relationships" r:id="rId97"/>
          <a:extLst>
            <a:ext uri="{FF2B5EF4-FFF2-40B4-BE49-F238E27FC236}">
              <a16:creationId xmlns:a16="http://schemas.microsoft.com/office/drawing/2014/main" id="{00000000-0008-0000-0400-00006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9" name="Picture 19" descr="France">
          <a:hlinkClick xmlns:r="http://schemas.openxmlformats.org/officeDocument/2006/relationships" r:id="rId97"/>
          <a:extLst>
            <a:ext uri="{FF2B5EF4-FFF2-40B4-BE49-F238E27FC236}">
              <a16:creationId xmlns:a16="http://schemas.microsoft.com/office/drawing/2014/main" id="{00000000-0008-0000-0400-00006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0" name="Picture 21" descr="Argentina">
          <a:hlinkClick xmlns:r="http://schemas.openxmlformats.org/officeDocument/2006/relationships" r:id="rId98"/>
          <a:extLst>
            <a:ext uri="{FF2B5EF4-FFF2-40B4-BE49-F238E27FC236}">
              <a16:creationId xmlns:a16="http://schemas.microsoft.com/office/drawing/2014/main" id="{00000000-0008-0000-0400-00006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1" name="Picture 23" descr="España">
          <a:hlinkClick xmlns:r="http://schemas.openxmlformats.org/officeDocument/2006/relationships" r:id="rId90"/>
          <a:extLst>
            <a:ext uri="{FF2B5EF4-FFF2-40B4-BE49-F238E27FC236}">
              <a16:creationId xmlns:a16="http://schemas.microsoft.com/office/drawing/2014/main" id="{00000000-0008-0000-0400-00006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2" name="Picture 25" descr="Lubnan">
          <a:hlinkClick xmlns:r="http://schemas.openxmlformats.org/officeDocument/2006/relationships" r:id="rId99"/>
          <a:extLst>
            <a:ext uri="{FF2B5EF4-FFF2-40B4-BE49-F238E27FC236}">
              <a16:creationId xmlns:a16="http://schemas.microsoft.com/office/drawing/2014/main" id="{00000000-0008-0000-0400-00006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3" name="Picture 27" descr="Magyarország">
          <a:hlinkClick xmlns:r="http://schemas.openxmlformats.org/officeDocument/2006/relationships" r:id="rId100"/>
          <a:extLst>
            <a:ext uri="{FF2B5EF4-FFF2-40B4-BE49-F238E27FC236}">
              <a16:creationId xmlns:a16="http://schemas.microsoft.com/office/drawing/2014/main" id="{00000000-0008-0000-0400-00006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4" name="Picture 29" descr="Uruguay">
          <a:hlinkClick xmlns:r="http://schemas.openxmlformats.org/officeDocument/2006/relationships" r:id="rId101"/>
          <a:extLst>
            <a:ext uri="{FF2B5EF4-FFF2-40B4-BE49-F238E27FC236}">
              <a16:creationId xmlns:a16="http://schemas.microsoft.com/office/drawing/2014/main" id="{00000000-0008-0000-0400-00006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5" name="Picture 30" descr="Italia">
          <a:hlinkClick xmlns:r="http://schemas.openxmlformats.org/officeDocument/2006/relationships" r:id="rId96"/>
          <a:extLst>
            <a:ext uri="{FF2B5EF4-FFF2-40B4-BE49-F238E27FC236}">
              <a16:creationId xmlns:a16="http://schemas.microsoft.com/office/drawing/2014/main" id="{00000000-0008-0000-0400-00006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6" name="Picture 31" descr="Nederland">
          <a:hlinkClick xmlns:r="http://schemas.openxmlformats.org/officeDocument/2006/relationships" r:id="rId95"/>
          <a:extLst>
            <a:ext uri="{FF2B5EF4-FFF2-40B4-BE49-F238E27FC236}">
              <a16:creationId xmlns:a16="http://schemas.microsoft.com/office/drawing/2014/main" id="{00000000-0008-0000-0400-00006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7" name="Picture 32" descr="Italia">
          <a:hlinkClick xmlns:r="http://schemas.openxmlformats.org/officeDocument/2006/relationships" r:id="rId96"/>
          <a:extLst>
            <a:ext uri="{FF2B5EF4-FFF2-40B4-BE49-F238E27FC236}">
              <a16:creationId xmlns:a16="http://schemas.microsoft.com/office/drawing/2014/main" id="{00000000-0008-0000-0400-00006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8" name="Picture 34" descr="Deutschland">
          <a:hlinkClick xmlns:r="http://schemas.openxmlformats.org/officeDocument/2006/relationships" r:id="rId102"/>
          <a:extLst>
            <a:ext uri="{FF2B5EF4-FFF2-40B4-BE49-F238E27FC236}">
              <a16:creationId xmlns:a16="http://schemas.microsoft.com/office/drawing/2014/main" id="{00000000-0008-0000-0400-00006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9" name="Picture 36" descr="Israel">
          <a:hlinkClick xmlns:r="http://schemas.openxmlformats.org/officeDocument/2006/relationships" r:id="rId103"/>
          <a:extLst>
            <a:ext uri="{FF2B5EF4-FFF2-40B4-BE49-F238E27FC236}">
              <a16:creationId xmlns:a16="http://schemas.microsoft.com/office/drawing/2014/main" id="{00000000-0008-0000-0400-00006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0" name="Picture 37" descr="Slovensko">
          <a:hlinkClick xmlns:r="http://schemas.openxmlformats.org/officeDocument/2006/relationships" r:id="rId104"/>
          <a:extLst>
            <a:ext uri="{FF2B5EF4-FFF2-40B4-BE49-F238E27FC236}">
              <a16:creationId xmlns:a16="http://schemas.microsoft.com/office/drawing/2014/main" id="{00000000-0008-0000-0400-00006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1" name="Picture 2" descr="España">
          <a:hlinkClick xmlns:r="http://schemas.openxmlformats.org/officeDocument/2006/relationships" r:id="rId90"/>
          <a:extLst>
            <a:ext uri="{FF2B5EF4-FFF2-40B4-BE49-F238E27FC236}">
              <a16:creationId xmlns:a16="http://schemas.microsoft.com/office/drawing/2014/main" id="{00000000-0008-0000-0400-00006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2" name="Picture 3" descr="USA">
          <a:hlinkClick xmlns:r="http://schemas.openxmlformats.org/officeDocument/2006/relationships" r:id="rId91"/>
          <a:extLst>
            <a:ext uri="{FF2B5EF4-FFF2-40B4-BE49-F238E27FC236}">
              <a16:creationId xmlns:a16="http://schemas.microsoft.com/office/drawing/2014/main" id="{00000000-0008-0000-0400-00007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3" name="Picture 5" descr="España">
          <a:hlinkClick xmlns:r="http://schemas.openxmlformats.org/officeDocument/2006/relationships" r:id="rId90"/>
          <a:extLst>
            <a:ext uri="{FF2B5EF4-FFF2-40B4-BE49-F238E27FC236}">
              <a16:creationId xmlns:a16="http://schemas.microsoft.com/office/drawing/2014/main" id="{00000000-0008-0000-0400-00007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4" name="Picture 6" descr="España">
          <a:hlinkClick xmlns:r="http://schemas.openxmlformats.org/officeDocument/2006/relationships" r:id="rId90"/>
          <a:extLst>
            <a:ext uri="{FF2B5EF4-FFF2-40B4-BE49-F238E27FC236}">
              <a16:creationId xmlns:a16="http://schemas.microsoft.com/office/drawing/2014/main" id="{00000000-0008-0000-0400-00007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5" name="Picture 8" descr="Česká republika">
          <a:hlinkClick xmlns:r="http://schemas.openxmlformats.org/officeDocument/2006/relationships" r:id="rId92"/>
          <a:extLst>
            <a:ext uri="{FF2B5EF4-FFF2-40B4-BE49-F238E27FC236}">
              <a16:creationId xmlns:a16="http://schemas.microsoft.com/office/drawing/2014/main" id="{00000000-0008-0000-0400-00007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6" name="Picture 9" descr="Sverige">
          <a:hlinkClick xmlns:r="http://schemas.openxmlformats.org/officeDocument/2006/relationships" r:id="rId93"/>
          <a:extLst>
            <a:ext uri="{FF2B5EF4-FFF2-40B4-BE49-F238E27FC236}">
              <a16:creationId xmlns:a16="http://schemas.microsoft.com/office/drawing/2014/main" id="{00000000-0008-0000-0400-00007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7" name="Picture 11" descr="Suomi">
          <a:hlinkClick xmlns:r="http://schemas.openxmlformats.org/officeDocument/2006/relationships" r:id="rId94"/>
          <a:extLst>
            <a:ext uri="{FF2B5EF4-FFF2-40B4-BE49-F238E27FC236}">
              <a16:creationId xmlns:a16="http://schemas.microsoft.com/office/drawing/2014/main" id="{00000000-0008-0000-0400-00007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8" name="Picture 12" descr="España">
          <a:hlinkClick xmlns:r="http://schemas.openxmlformats.org/officeDocument/2006/relationships" r:id="rId90"/>
          <a:extLst>
            <a:ext uri="{FF2B5EF4-FFF2-40B4-BE49-F238E27FC236}">
              <a16:creationId xmlns:a16="http://schemas.microsoft.com/office/drawing/2014/main" id="{00000000-0008-0000-0400-00007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9" name="Picture 13" descr="Nederland">
          <a:hlinkClick xmlns:r="http://schemas.openxmlformats.org/officeDocument/2006/relationships" r:id="rId95"/>
          <a:extLst>
            <a:ext uri="{FF2B5EF4-FFF2-40B4-BE49-F238E27FC236}">
              <a16:creationId xmlns:a16="http://schemas.microsoft.com/office/drawing/2014/main" id="{00000000-0008-0000-0400-00007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0" name="Picture 14" descr="Italia">
          <a:hlinkClick xmlns:r="http://schemas.openxmlformats.org/officeDocument/2006/relationships" r:id="rId96"/>
          <a:extLst>
            <a:ext uri="{FF2B5EF4-FFF2-40B4-BE49-F238E27FC236}">
              <a16:creationId xmlns:a16="http://schemas.microsoft.com/office/drawing/2014/main" id="{00000000-0008-0000-0400-00007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1" name="Picture 16" descr="España">
          <a:hlinkClick xmlns:r="http://schemas.openxmlformats.org/officeDocument/2006/relationships" r:id="rId90"/>
          <a:extLst>
            <a:ext uri="{FF2B5EF4-FFF2-40B4-BE49-F238E27FC236}">
              <a16:creationId xmlns:a16="http://schemas.microsoft.com/office/drawing/2014/main" id="{00000000-0008-0000-0400-00007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2" name="Picture 18" descr="France">
          <a:hlinkClick xmlns:r="http://schemas.openxmlformats.org/officeDocument/2006/relationships" r:id="rId97"/>
          <a:extLst>
            <a:ext uri="{FF2B5EF4-FFF2-40B4-BE49-F238E27FC236}">
              <a16:creationId xmlns:a16="http://schemas.microsoft.com/office/drawing/2014/main" id="{00000000-0008-0000-0400-00007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3" name="Picture 19" descr="France">
          <a:hlinkClick xmlns:r="http://schemas.openxmlformats.org/officeDocument/2006/relationships" r:id="rId97"/>
          <a:extLst>
            <a:ext uri="{FF2B5EF4-FFF2-40B4-BE49-F238E27FC236}">
              <a16:creationId xmlns:a16="http://schemas.microsoft.com/office/drawing/2014/main" id="{00000000-0008-0000-0400-00007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4" name="Picture 21" descr="Argentina">
          <a:hlinkClick xmlns:r="http://schemas.openxmlformats.org/officeDocument/2006/relationships" r:id="rId98"/>
          <a:extLst>
            <a:ext uri="{FF2B5EF4-FFF2-40B4-BE49-F238E27FC236}">
              <a16:creationId xmlns:a16="http://schemas.microsoft.com/office/drawing/2014/main" id="{00000000-0008-0000-0400-00007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5" name="Picture 23" descr="España">
          <a:hlinkClick xmlns:r="http://schemas.openxmlformats.org/officeDocument/2006/relationships" r:id="rId90"/>
          <a:extLst>
            <a:ext uri="{FF2B5EF4-FFF2-40B4-BE49-F238E27FC236}">
              <a16:creationId xmlns:a16="http://schemas.microsoft.com/office/drawing/2014/main" id="{00000000-0008-0000-0400-00007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6" name="Picture 25" descr="Lubnan">
          <a:hlinkClick xmlns:r="http://schemas.openxmlformats.org/officeDocument/2006/relationships" r:id="rId99"/>
          <a:extLst>
            <a:ext uri="{FF2B5EF4-FFF2-40B4-BE49-F238E27FC236}">
              <a16:creationId xmlns:a16="http://schemas.microsoft.com/office/drawing/2014/main" id="{00000000-0008-0000-0400-00007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7" name="Picture 27" descr="Magyarország">
          <a:hlinkClick xmlns:r="http://schemas.openxmlformats.org/officeDocument/2006/relationships" r:id="rId100"/>
          <a:extLst>
            <a:ext uri="{FF2B5EF4-FFF2-40B4-BE49-F238E27FC236}">
              <a16:creationId xmlns:a16="http://schemas.microsoft.com/office/drawing/2014/main" id="{00000000-0008-0000-0400-00007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8" name="Picture 29" descr="Uruguay">
          <a:hlinkClick xmlns:r="http://schemas.openxmlformats.org/officeDocument/2006/relationships" r:id="rId101"/>
          <a:extLst>
            <a:ext uri="{FF2B5EF4-FFF2-40B4-BE49-F238E27FC236}">
              <a16:creationId xmlns:a16="http://schemas.microsoft.com/office/drawing/2014/main" id="{00000000-0008-0000-0400-00008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9" name="Picture 30" descr="Italia">
          <a:hlinkClick xmlns:r="http://schemas.openxmlformats.org/officeDocument/2006/relationships" r:id="rId96"/>
          <a:extLst>
            <a:ext uri="{FF2B5EF4-FFF2-40B4-BE49-F238E27FC236}">
              <a16:creationId xmlns:a16="http://schemas.microsoft.com/office/drawing/2014/main" id="{00000000-0008-0000-0400-00008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0" name="Picture 31" descr="Nederland">
          <a:hlinkClick xmlns:r="http://schemas.openxmlformats.org/officeDocument/2006/relationships" r:id="rId95"/>
          <a:extLst>
            <a:ext uri="{FF2B5EF4-FFF2-40B4-BE49-F238E27FC236}">
              <a16:creationId xmlns:a16="http://schemas.microsoft.com/office/drawing/2014/main" id="{00000000-0008-0000-0400-00008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1" name="Picture 32" descr="Italia">
          <a:hlinkClick xmlns:r="http://schemas.openxmlformats.org/officeDocument/2006/relationships" r:id="rId96"/>
          <a:extLst>
            <a:ext uri="{FF2B5EF4-FFF2-40B4-BE49-F238E27FC236}">
              <a16:creationId xmlns:a16="http://schemas.microsoft.com/office/drawing/2014/main" id="{00000000-0008-0000-0400-00008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2" name="Picture 34" descr="Deutschland">
          <a:hlinkClick xmlns:r="http://schemas.openxmlformats.org/officeDocument/2006/relationships" r:id="rId102"/>
          <a:extLst>
            <a:ext uri="{FF2B5EF4-FFF2-40B4-BE49-F238E27FC236}">
              <a16:creationId xmlns:a16="http://schemas.microsoft.com/office/drawing/2014/main" id="{00000000-0008-0000-0400-00008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3" name="Picture 36" descr="Israel">
          <a:hlinkClick xmlns:r="http://schemas.openxmlformats.org/officeDocument/2006/relationships" r:id="rId103"/>
          <a:extLst>
            <a:ext uri="{FF2B5EF4-FFF2-40B4-BE49-F238E27FC236}">
              <a16:creationId xmlns:a16="http://schemas.microsoft.com/office/drawing/2014/main" id="{00000000-0008-0000-0400-00008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4" name="Picture 37" descr="Slovensko">
          <a:hlinkClick xmlns:r="http://schemas.openxmlformats.org/officeDocument/2006/relationships" r:id="rId104"/>
          <a:extLst>
            <a:ext uri="{FF2B5EF4-FFF2-40B4-BE49-F238E27FC236}">
              <a16:creationId xmlns:a16="http://schemas.microsoft.com/office/drawing/2014/main" id="{00000000-0008-0000-0400-00008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5" name="Picture 2" descr="España">
          <a:hlinkClick xmlns:r="http://schemas.openxmlformats.org/officeDocument/2006/relationships" r:id="rId90"/>
          <a:extLst>
            <a:ext uri="{FF2B5EF4-FFF2-40B4-BE49-F238E27FC236}">
              <a16:creationId xmlns:a16="http://schemas.microsoft.com/office/drawing/2014/main" id="{00000000-0008-0000-0400-00008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6" name="Picture 3" descr="USA">
          <a:hlinkClick xmlns:r="http://schemas.openxmlformats.org/officeDocument/2006/relationships" r:id="rId91"/>
          <a:extLst>
            <a:ext uri="{FF2B5EF4-FFF2-40B4-BE49-F238E27FC236}">
              <a16:creationId xmlns:a16="http://schemas.microsoft.com/office/drawing/2014/main" id="{00000000-0008-0000-0400-00008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7" name="Picture 5" descr="España">
          <a:hlinkClick xmlns:r="http://schemas.openxmlformats.org/officeDocument/2006/relationships" r:id="rId90"/>
          <a:extLst>
            <a:ext uri="{FF2B5EF4-FFF2-40B4-BE49-F238E27FC236}">
              <a16:creationId xmlns:a16="http://schemas.microsoft.com/office/drawing/2014/main" id="{00000000-0008-0000-0400-00008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8" name="Picture 6" descr="España">
          <a:hlinkClick xmlns:r="http://schemas.openxmlformats.org/officeDocument/2006/relationships" r:id="rId90"/>
          <a:extLst>
            <a:ext uri="{FF2B5EF4-FFF2-40B4-BE49-F238E27FC236}">
              <a16:creationId xmlns:a16="http://schemas.microsoft.com/office/drawing/2014/main" id="{00000000-0008-0000-0400-00008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9" name="Picture 8" descr="Česká republika">
          <a:hlinkClick xmlns:r="http://schemas.openxmlformats.org/officeDocument/2006/relationships" r:id="rId92"/>
          <a:extLst>
            <a:ext uri="{FF2B5EF4-FFF2-40B4-BE49-F238E27FC236}">
              <a16:creationId xmlns:a16="http://schemas.microsoft.com/office/drawing/2014/main" id="{00000000-0008-0000-0400-00008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0" name="Picture 9" descr="Sverige">
          <a:hlinkClick xmlns:r="http://schemas.openxmlformats.org/officeDocument/2006/relationships" r:id="rId93"/>
          <a:extLst>
            <a:ext uri="{FF2B5EF4-FFF2-40B4-BE49-F238E27FC236}">
              <a16:creationId xmlns:a16="http://schemas.microsoft.com/office/drawing/2014/main" id="{00000000-0008-0000-0400-00008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1" name="Picture 11" descr="Suomi">
          <a:hlinkClick xmlns:r="http://schemas.openxmlformats.org/officeDocument/2006/relationships" r:id="rId94"/>
          <a:extLst>
            <a:ext uri="{FF2B5EF4-FFF2-40B4-BE49-F238E27FC236}">
              <a16:creationId xmlns:a16="http://schemas.microsoft.com/office/drawing/2014/main" id="{00000000-0008-0000-0400-00008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2" name="Picture 12" descr="España">
          <a:hlinkClick xmlns:r="http://schemas.openxmlformats.org/officeDocument/2006/relationships" r:id="rId90"/>
          <a:extLst>
            <a:ext uri="{FF2B5EF4-FFF2-40B4-BE49-F238E27FC236}">
              <a16:creationId xmlns:a16="http://schemas.microsoft.com/office/drawing/2014/main" id="{00000000-0008-0000-0400-00008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3" name="Picture 13" descr="Nederland">
          <a:hlinkClick xmlns:r="http://schemas.openxmlformats.org/officeDocument/2006/relationships" r:id="rId95"/>
          <a:extLst>
            <a:ext uri="{FF2B5EF4-FFF2-40B4-BE49-F238E27FC236}">
              <a16:creationId xmlns:a16="http://schemas.microsoft.com/office/drawing/2014/main" id="{00000000-0008-0000-0400-00008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4" name="Picture 14" descr="Italia">
          <a:hlinkClick xmlns:r="http://schemas.openxmlformats.org/officeDocument/2006/relationships" r:id="rId96"/>
          <a:extLst>
            <a:ext uri="{FF2B5EF4-FFF2-40B4-BE49-F238E27FC236}">
              <a16:creationId xmlns:a16="http://schemas.microsoft.com/office/drawing/2014/main" id="{00000000-0008-0000-0400-00009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5" name="Picture 16" descr="España">
          <a:hlinkClick xmlns:r="http://schemas.openxmlformats.org/officeDocument/2006/relationships" r:id="rId90"/>
          <a:extLst>
            <a:ext uri="{FF2B5EF4-FFF2-40B4-BE49-F238E27FC236}">
              <a16:creationId xmlns:a16="http://schemas.microsoft.com/office/drawing/2014/main" id="{00000000-0008-0000-0400-00009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6" name="Picture 18" descr="France">
          <a:hlinkClick xmlns:r="http://schemas.openxmlformats.org/officeDocument/2006/relationships" r:id="rId97"/>
          <a:extLst>
            <a:ext uri="{FF2B5EF4-FFF2-40B4-BE49-F238E27FC236}">
              <a16:creationId xmlns:a16="http://schemas.microsoft.com/office/drawing/2014/main" id="{00000000-0008-0000-0400-00009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7" name="Picture 19" descr="France">
          <a:hlinkClick xmlns:r="http://schemas.openxmlformats.org/officeDocument/2006/relationships" r:id="rId97"/>
          <a:extLst>
            <a:ext uri="{FF2B5EF4-FFF2-40B4-BE49-F238E27FC236}">
              <a16:creationId xmlns:a16="http://schemas.microsoft.com/office/drawing/2014/main" id="{00000000-0008-0000-0400-00009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8" name="Picture 21" descr="Argentina">
          <a:hlinkClick xmlns:r="http://schemas.openxmlformats.org/officeDocument/2006/relationships" r:id="rId98"/>
          <a:extLst>
            <a:ext uri="{FF2B5EF4-FFF2-40B4-BE49-F238E27FC236}">
              <a16:creationId xmlns:a16="http://schemas.microsoft.com/office/drawing/2014/main" id="{00000000-0008-0000-0400-00009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9" name="Picture 23" descr="España">
          <a:hlinkClick xmlns:r="http://schemas.openxmlformats.org/officeDocument/2006/relationships" r:id="rId90"/>
          <a:extLst>
            <a:ext uri="{FF2B5EF4-FFF2-40B4-BE49-F238E27FC236}">
              <a16:creationId xmlns:a16="http://schemas.microsoft.com/office/drawing/2014/main" id="{00000000-0008-0000-0400-00009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0" name="Picture 25" descr="Lubnan">
          <a:hlinkClick xmlns:r="http://schemas.openxmlformats.org/officeDocument/2006/relationships" r:id="rId99"/>
          <a:extLst>
            <a:ext uri="{FF2B5EF4-FFF2-40B4-BE49-F238E27FC236}">
              <a16:creationId xmlns:a16="http://schemas.microsoft.com/office/drawing/2014/main" id="{00000000-0008-0000-0400-00009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1" name="Picture 27" descr="Magyarország">
          <a:hlinkClick xmlns:r="http://schemas.openxmlformats.org/officeDocument/2006/relationships" r:id="rId100"/>
          <a:extLst>
            <a:ext uri="{FF2B5EF4-FFF2-40B4-BE49-F238E27FC236}">
              <a16:creationId xmlns:a16="http://schemas.microsoft.com/office/drawing/2014/main" id="{00000000-0008-0000-0400-00009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2" name="Picture 29" descr="Uruguay">
          <a:hlinkClick xmlns:r="http://schemas.openxmlformats.org/officeDocument/2006/relationships" r:id="rId101"/>
          <a:extLst>
            <a:ext uri="{FF2B5EF4-FFF2-40B4-BE49-F238E27FC236}">
              <a16:creationId xmlns:a16="http://schemas.microsoft.com/office/drawing/2014/main" id="{00000000-0008-0000-0400-00009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3" name="Picture 30" descr="Italia">
          <a:hlinkClick xmlns:r="http://schemas.openxmlformats.org/officeDocument/2006/relationships" r:id="rId96"/>
          <a:extLst>
            <a:ext uri="{FF2B5EF4-FFF2-40B4-BE49-F238E27FC236}">
              <a16:creationId xmlns:a16="http://schemas.microsoft.com/office/drawing/2014/main" id="{00000000-0008-0000-0400-00009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4" name="Picture 31" descr="Nederland">
          <a:hlinkClick xmlns:r="http://schemas.openxmlformats.org/officeDocument/2006/relationships" r:id="rId95"/>
          <a:extLst>
            <a:ext uri="{FF2B5EF4-FFF2-40B4-BE49-F238E27FC236}">
              <a16:creationId xmlns:a16="http://schemas.microsoft.com/office/drawing/2014/main" id="{00000000-0008-0000-0400-00009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5" name="Picture 32" descr="Italia">
          <a:hlinkClick xmlns:r="http://schemas.openxmlformats.org/officeDocument/2006/relationships" r:id="rId96"/>
          <a:extLst>
            <a:ext uri="{FF2B5EF4-FFF2-40B4-BE49-F238E27FC236}">
              <a16:creationId xmlns:a16="http://schemas.microsoft.com/office/drawing/2014/main" id="{00000000-0008-0000-0400-00009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6" name="Picture 34" descr="Deutschland">
          <a:hlinkClick xmlns:r="http://schemas.openxmlformats.org/officeDocument/2006/relationships" r:id="rId102"/>
          <a:extLst>
            <a:ext uri="{FF2B5EF4-FFF2-40B4-BE49-F238E27FC236}">
              <a16:creationId xmlns:a16="http://schemas.microsoft.com/office/drawing/2014/main" id="{00000000-0008-0000-0400-00009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7" name="Picture 36" descr="Israel">
          <a:hlinkClick xmlns:r="http://schemas.openxmlformats.org/officeDocument/2006/relationships" r:id="rId103"/>
          <a:extLst>
            <a:ext uri="{FF2B5EF4-FFF2-40B4-BE49-F238E27FC236}">
              <a16:creationId xmlns:a16="http://schemas.microsoft.com/office/drawing/2014/main" id="{00000000-0008-0000-0400-00009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8" name="Picture 37" descr="Slovensko">
          <a:hlinkClick xmlns:r="http://schemas.openxmlformats.org/officeDocument/2006/relationships" r:id="rId104"/>
          <a:extLst>
            <a:ext uri="{FF2B5EF4-FFF2-40B4-BE49-F238E27FC236}">
              <a16:creationId xmlns:a16="http://schemas.microsoft.com/office/drawing/2014/main" id="{00000000-0008-0000-0400-00009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9" name="Picture 2" descr="España">
          <a:hlinkClick xmlns:r="http://schemas.openxmlformats.org/officeDocument/2006/relationships" r:id="rId90"/>
          <a:extLst>
            <a:ext uri="{FF2B5EF4-FFF2-40B4-BE49-F238E27FC236}">
              <a16:creationId xmlns:a16="http://schemas.microsoft.com/office/drawing/2014/main" id="{00000000-0008-0000-0400-00009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0" name="Picture 3" descr="USA">
          <a:hlinkClick xmlns:r="http://schemas.openxmlformats.org/officeDocument/2006/relationships" r:id="rId91"/>
          <a:extLst>
            <a:ext uri="{FF2B5EF4-FFF2-40B4-BE49-F238E27FC236}">
              <a16:creationId xmlns:a16="http://schemas.microsoft.com/office/drawing/2014/main" id="{00000000-0008-0000-0400-0000A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1" name="Picture 5" descr="España">
          <a:hlinkClick xmlns:r="http://schemas.openxmlformats.org/officeDocument/2006/relationships" r:id="rId90"/>
          <a:extLst>
            <a:ext uri="{FF2B5EF4-FFF2-40B4-BE49-F238E27FC236}">
              <a16:creationId xmlns:a16="http://schemas.microsoft.com/office/drawing/2014/main" id="{00000000-0008-0000-0400-0000A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2" name="Picture 6" descr="España">
          <a:hlinkClick xmlns:r="http://schemas.openxmlformats.org/officeDocument/2006/relationships" r:id="rId90"/>
          <a:extLst>
            <a:ext uri="{FF2B5EF4-FFF2-40B4-BE49-F238E27FC236}">
              <a16:creationId xmlns:a16="http://schemas.microsoft.com/office/drawing/2014/main" id="{00000000-0008-0000-0400-0000A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3" name="Picture 8" descr="Česká republika">
          <a:hlinkClick xmlns:r="http://schemas.openxmlformats.org/officeDocument/2006/relationships" r:id="rId92"/>
          <a:extLst>
            <a:ext uri="{FF2B5EF4-FFF2-40B4-BE49-F238E27FC236}">
              <a16:creationId xmlns:a16="http://schemas.microsoft.com/office/drawing/2014/main" id="{00000000-0008-0000-0400-0000A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4" name="Picture 9" descr="Sverige">
          <a:hlinkClick xmlns:r="http://schemas.openxmlformats.org/officeDocument/2006/relationships" r:id="rId93"/>
          <a:extLst>
            <a:ext uri="{FF2B5EF4-FFF2-40B4-BE49-F238E27FC236}">
              <a16:creationId xmlns:a16="http://schemas.microsoft.com/office/drawing/2014/main" id="{00000000-0008-0000-0400-0000A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5" name="Picture 11" descr="Suomi">
          <a:hlinkClick xmlns:r="http://schemas.openxmlformats.org/officeDocument/2006/relationships" r:id="rId94"/>
          <a:extLst>
            <a:ext uri="{FF2B5EF4-FFF2-40B4-BE49-F238E27FC236}">
              <a16:creationId xmlns:a16="http://schemas.microsoft.com/office/drawing/2014/main" id="{00000000-0008-0000-0400-0000A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6" name="Picture 12" descr="España">
          <a:hlinkClick xmlns:r="http://schemas.openxmlformats.org/officeDocument/2006/relationships" r:id="rId90"/>
          <a:extLst>
            <a:ext uri="{FF2B5EF4-FFF2-40B4-BE49-F238E27FC236}">
              <a16:creationId xmlns:a16="http://schemas.microsoft.com/office/drawing/2014/main" id="{00000000-0008-0000-0400-0000A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7" name="Picture 13" descr="Nederland">
          <a:hlinkClick xmlns:r="http://schemas.openxmlformats.org/officeDocument/2006/relationships" r:id="rId95"/>
          <a:extLst>
            <a:ext uri="{FF2B5EF4-FFF2-40B4-BE49-F238E27FC236}">
              <a16:creationId xmlns:a16="http://schemas.microsoft.com/office/drawing/2014/main" id="{00000000-0008-0000-0400-0000A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8" name="Picture 14" descr="Italia">
          <a:hlinkClick xmlns:r="http://schemas.openxmlformats.org/officeDocument/2006/relationships" r:id="rId96"/>
          <a:extLst>
            <a:ext uri="{FF2B5EF4-FFF2-40B4-BE49-F238E27FC236}">
              <a16:creationId xmlns:a16="http://schemas.microsoft.com/office/drawing/2014/main" id="{00000000-0008-0000-0400-0000A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9" name="Picture 16" descr="España">
          <a:hlinkClick xmlns:r="http://schemas.openxmlformats.org/officeDocument/2006/relationships" r:id="rId90"/>
          <a:extLst>
            <a:ext uri="{FF2B5EF4-FFF2-40B4-BE49-F238E27FC236}">
              <a16:creationId xmlns:a16="http://schemas.microsoft.com/office/drawing/2014/main" id="{00000000-0008-0000-0400-0000A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0" name="Picture 18" descr="France">
          <a:hlinkClick xmlns:r="http://schemas.openxmlformats.org/officeDocument/2006/relationships" r:id="rId97"/>
          <a:extLst>
            <a:ext uri="{FF2B5EF4-FFF2-40B4-BE49-F238E27FC236}">
              <a16:creationId xmlns:a16="http://schemas.microsoft.com/office/drawing/2014/main" id="{00000000-0008-0000-0400-0000A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1" name="Picture 19" descr="France">
          <a:hlinkClick xmlns:r="http://schemas.openxmlformats.org/officeDocument/2006/relationships" r:id="rId97"/>
          <a:extLst>
            <a:ext uri="{FF2B5EF4-FFF2-40B4-BE49-F238E27FC236}">
              <a16:creationId xmlns:a16="http://schemas.microsoft.com/office/drawing/2014/main" id="{00000000-0008-0000-0400-0000A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2" name="Picture 21" descr="Argentina">
          <a:hlinkClick xmlns:r="http://schemas.openxmlformats.org/officeDocument/2006/relationships" r:id="rId98"/>
          <a:extLst>
            <a:ext uri="{FF2B5EF4-FFF2-40B4-BE49-F238E27FC236}">
              <a16:creationId xmlns:a16="http://schemas.microsoft.com/office/drawing/2014/main" id="{00000000-0008-0000-0400-0000A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3" name="Picture 23" descr="España">
          <a:hlinkClick xmlns:r="http://schemas.openxmlformats.org/officeDocument/2006/relationships" r:id="rId90"/>
          <a:extLst>
            <a:ext uri="{FF2B5EF4-FFF2-40B4-BE49-F238E27FC236}">
              <a16:creationId xmlns:a16="http://schemas.microsoft.com/office/drawing/2014/main" id="{00000000-0008-0000-0400-0000A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4" name="Picture 25" descr="Lubnan">
          <a:hlinkClick xmlns:r="http://schemas.openxmlformats.org/officeDocument/2006/relationships" r:id="rId99"/>
          <a:extLst>
            <a:ext uri="{FF2B5EF4-FFF2-40B4-BE49-F238E27FC236}">
              <a16:creationId xmlns:a16="http://schemas.microsoft.com/office/drawing/2014/main" id="{00000000-0008-0000-0400-0000A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5" name="Picture 27" descr="Magyarország">
          <a:hlinkClick xmlns:r="http://schemas.openxmlformats.org/officeDocument/2006/relationships" r:id="rId100"/>
          <a:extLst>
            <a:ext uri="{FF2B5EF4-FFF2-40B4-BE49-F238E27FC236}">
              <a16:creationId xmlns:a16="http://schemas.microsoft.com/office/drawing/2014/main" id="{00000000-0008-0000-0400-0000A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6" name="Picture 29" descr="Uruguay">
          <a:hlinkClick xmlns:r="http://schemas.openxmlformats.org/officeDocument/2006/relationships" r:id="rId101"/>
          <a:extLst>
            <a:ext uri="{FF2B5EF4-FFF2-40B4-BE49-F238E27FC236}">
              <a16:creationId xmlns:a16="http://schemas.microsoft.com/office/drawing/2014/main" id="{00000000-0008-0000-0400-0000B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7" name="Picture 30" descr="Italia">
          <a:hlinkClick xmlns:r="http://schemas.openxmlformats.org/officeDocument/2006/relationships" r:id="rId96"/>
          <a:extLst>
            <a:ext uri="{FF2B5EF4-FFF2-40B4-BE49-F238E27FC236}">
              <a16:creationId xmlns:a16="http://schemas.microsoft.com/office/drawing/2014/main" id="{00000000-0008-0000-0400-0000B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8" name="Picture 31" descr="Nederland">
          <a:hlinkClick xmlns:r="http://schemas.openxmlformats.org/officeDocument/2006/relationships" r:id="rId95"/>
          <a:extLst>
            <a:ext uri="{FF2B5EF4-FFF2-40B4-BE49-F238E27FC236}">
              <a16:creationId xmlns:a16="http://schemas.microsoft.com/office/drawing/2014/main" id="{00000000-0008-0000-0400-0000B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9" name="Picture 32" descr="Italia">
          <a:hlinkClick xmlns:r="http://schemas.openxmlformats.org/officeDocument/2006/relationships" r:id="rId96"/>
          <a:extLst>
            <a:ext uri="{FF2B5EF4-FFF2-40B4-BE49-F238E27FC236}">
              <a16:creationId xmlns:a16="http://schemas.microsoft.com/office/drawing/2014/main" id="{00000000-0008-0000-0400-0000B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0" name="Picture 34" descr="Deutschland">
          <a:hlinkClick xmlns:r="http://schemas.openxmlformats.org/officeDocument/2006/relationships" r:id="rId102"/>
          <a:extLst>
            <a:ext uri="{FF2B5EF4-FFF2-40B4-BE49-F238E27FC236}">
              <a16:creationId xmlns:a16="http://schemas.microsoft.com/office/drawing/2014/main" id="{00000000-0008-0000-0400-0000B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1" name="Picture 36" descr="Israel">
          <a:hlinkClick xmlns:r="http://schemas.openxmlformats.org/officeDocument/2006/relationships" r:id="rId103"/>
          <a:extLst>
            <a:ext uri="{FF2B5EF4-FFF2-40B4-BE49-F238E27FC236}">
              <a16:creationId xmlns:a16="http://schemas.microsoft.com/office/drawing/2014/main" id="{00000000-0008-0000-0400-0000B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2" name="Picture 37" descr="Slovensko">
          <a:hlinkClick xmlns:r="http://schemas.openxmlformats.org/officeDocument/2006/relationships" r:id="rId104"/>
          <a:extLst>
            <a:ext uri="{FF2B5EF4-FFF2-40B4-BE49-F238E27FC236}">
              <a16:creationId xmlns:a16="http://schemas.microsoft.com/office/drawing/2014/main" id="{00000000-0008-0000-0400-0000B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3" name="Picture 2" descr="España">
          <a:hlinkClick xmlns:r="http://schemas.openxmlformats.org/officeDocument/2006/relationships" r:id="rId90"/>
          <a:extLst>
            <a:ext uri="{FF2B5EF4-FFF2-40B4-BE49-F238E27FC236}">
              <a16:creationId xmlns:a16="http://schemas.microsoft.com/office/drawing/2014/main" id="{00000000-0008-0000-0400-0000B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4" name="Picture 3" descr="USA">
          <a:hlinkClick xmlns:r="http://schemas.openxmlformats.org/officeDocument/2006/relationships" r:id="rId91"/>
          <a:extLst>
            <a:ext uri="{FF2B5EF4-FFF2-40B4-BE49-F238E27FC236}">
              <a16:creationId xmlns:a16="http://schemas.microsoft.com/office/drawing/2014/main" id="{00000000-0008-0000-0400-0000B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5" name="Picture 5" descr="España">
          <a:hlinkClick xmlns:r="http://schemas.openxmlformats.org/officeDocument/2006/relationships" r:id="rId90"/>
          <a:extLst>
            <a:ext uri="{FF2B5EF4-FFF2-40B4-BE49-F238E27FC236}">
              <a16:creationId xmlns:a16="http://schemas.microsoft.com/office/drawing/2014/main" id="{00000000-0008-0000-0400-0000B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6" name="Picture 6" descr="España">
          <a:hlinkClick xmlns:r="http://schemas.openxmlformats.org/officeDocument/2006/relationships" r:id="rId90"/>
          <a:extLst>
            <a:ext uri="{FF2B5EF4-FFF2-40B4-BE49-F238E27FC236}">
              <a16:creationId xmlns:a16="http://schemas.microsoft.com/office/drawing/2014/main" id="{00000000-0008-0000-0400-0000B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7" name="Picture 8" descr="Česká republika">
          <a:hlinkClick xmlns:r="http://schemas.openxmlformats.org/officeDocument/2006/relationships" r:id="rId92"/>
          <a:extLst>
            <a:ext uri="{FF2B5EF4-FFF2-40B4-BE49-F238E27FC236}">
              <a16:creationId xmlns:a16="http://schemas.microsoft.com/office/drawing/2014/main" id="{00000000-0008-0000-0400-0000B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8" name="Picture 9" descr="Sverige">
          <a:hlinkClick xmlns:r="http://schemas.openxmlformats.org/officeDocument/2006/relationships" r:id="rId93"/>
          <a:extLst>
            <a:ext uri="{FF2B5EF4-FFF2-40B4-BE49-F238E27FC236}">
              <a16:creationId xmlns:a16="http://schemas.microsoft.com/office/drawing/2014/main" id="{00000000-0008-0000-0400-0000B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9" name="Picture 11" descr="Suomi">
          <a:hlinkClick xmlns:r="http://schemas.openxmlformats.org/officeDocument/2006/relationships" r:id="rId94"/>
          <a:extLst>
            <a:ext uri="{FF2B5EF4-FFF2-40B4-BE49-F238E27FC236}">
              <a16:creationId xmlns:a16="http://schemas.microsoft.com/office/drawing/2014/main" id="{00000000-0008-0000-0400-0000B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0" name="Picture 12" descr="España">
          <a:hlinkClick xmlns:r="http://schemas.openxmlformats.org/officeDocument/2006/relationships" r:id="rId90"/>
          <a:extLst>
            <a:ext uri="{FF2B5EF4-FFF2-40B4-BE49-F238E27FC236}">
              <a16:creationId xmlns:a16="http://schemas.microsoft.com/office/drawing/2014/main" id="{00000000-0008-0000-0400-0000B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1" name="Picture 13" descr="Nederland">
          <a:hlinkClick xmlns:r="http://schemas.openxmlformats.org/officeDocument/2006/relationships" r:id="rId95"/>
          <a:extLst>
            <a:ext uri="{FF2B5EF4-FFF2-40B4-BE49-F238E27FC236}">
              <a16:creationId xmlns:a16="http://schemas.microsoft.com/office/drawing/2014/main" id="{00000000-0008-0000-0400-0000B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2" name="Picture 14" descr="Italia">
          <a:hlinkClick xmlns:r="http://schemas.openxmlformats.org/officeDocument/2006/relationships" r:id="rId96"/>
          <a:extLst>
            <a:ext uri="{FF2B5EF4-FFF2-40B4-BE49-F238E27FC236}">
              <a16:creationId xmlns:a16="http://schemas.microsoft.com/office/drawing/2014/main" id="{00000000-0008-0000-0400-0000C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3" name="Picture 16" descr="España">
          <a:hlinkClick xmlns:r="http://schemas.openxmlformats.org/officeDocument/2006/relationships" r:id="rId90"/>
          <a:extLst>
            <a:ext uri="{FF2B5EF4-FFF2-40B4-BE49-F238E27FC236}">
              <a16:creationId xmlns:a16="http://schemas.microsoft.com/office/drawing/2014/main" id="{00000000-0008-0000-0400-0000C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4" name="Picture 18" descr="France">
          <a:hlinkClick xmlns:r="http://schemas.openxmlformats.org/officeDocument/2006/relationships" r:id="rId97"/>
          <a:extLst>
            <a:ext uri="{FF2B5EF4-FFF2-40B4-BE49-F238E27FC236}">
              <a16:creationId xmlns:a16="http://schemas.microsoft.com/office/drawing/2014/main" id="{00000000-0008-0000-0400-0000C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5" name="Picture 19" descr="France">
          <a:hlinkClick xmlns:r="http://schemas.openxmlformats.org/officeDocument/2006/relationships" r:id="rId97"/>
          <a:extLst>
            <a:ext uri="{FF2B5EF4-FFF2-40B4-BE49-F238E27FC236}">
              <a16:creationId xmlns:a16="http://schemas.microsoft.com/office/drawing/2014/main" id="{00000000-0008-0000-0400-0000C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6" name="Picture 21" descr="Argentina">
          <a:hlinkClick xmlns:r="http://schemas.openxmlformats.org/officeDocument/2006/relationships" r:id="rId98"/>
          <a:extLst>
            <a:ext uri="{FF2B5EF4-FFF2-40B4-BE49-F238E27FC236}">
              <a16:creationId xmlns:a16="http://schemas.microsoft.com/office/drawing/2014/main" id="{00000000-0008-0000-0400-0000C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7" name="Picture 23" descr="España">
          <a:hlinkClick xmlns:r="http://schemas.openxmlformats.org/officeDocument/2006/relationships" r:id="rId90"/>
          <a:extLst>
            <a:ext uri="{FF2B5EF4-FFF2-40B4-BE49-F238E27FC236}">
              <a16:creationId xmlns:a16="http://schemas.microsoft.com/office/drawing/2014/main" id="{00000000-0008-0000-0400-0000C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8" name="Picture 25" descr="Lubnan">
          <a:hlinkClick xmlns:r="http://schemas.openxmlformats.org/officeDocument/2006/relationships" r:id="rId99"/>
          <a:extLst>
            <a:ext uri="{FF2B5EF4-FFF2-40B4-BE49-F238E27FC236}">
              <a16:creationId xmlns:a16="http://schemas.microsoft.com/office/drawing/2014/main" id="{00000000-0008-0000-0400-0000C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9" name="Picture 27" descr="Magyarország">
          <a:hlinkClick xmlns:r="http://schemas.openxmlformats.org/officeDocument/2006/relationships" r:id="rId100"/>
          <a:extLst>
            <a:ext uri="{FF2B5EF4-FFF2-40B4-BE49-F238E27FC236}">
              <a16:creationId xmlns:a16="http://schemas.microsoft.com/office/drawing/2014/main" id="{00000000-0008-0000-0400-0000C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0" name="Picture 29" descr="Uruguay">
          <a:hlinkClick xmlns:r="http://schemas.openxmlformats.org/officeDocument/2006/relationships" r:id="rId101"/>
          <a:extLst>
            <a:ext uri="{FF2B5EF4-FFF2-40B4-BE49-F238E27FC236}">
              <a16:creationId xmlns:a16="http://schemas.microsoft.com/office/drawing/2014/main" id="{00000000-0008-0000-0400-0000C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1" name="Picture 30" descr="Italia">
          <a:hlinkClick xmlns:r="http://schemas.openxmlformats.org/officeDocument/2006/relationships" r:id="rId96"/>
          <a:extLst>
            <a:ext uri="{FF2B5EF4-FFF2-40B4-BE49-F238E27FC236}">
              <a16:creationId xmlns:a16="http://schemas.microsoft.com/office/drawing/2014/main" id="{00000000-0008-0000-0400-0000C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2" name="Picture 31" descr="Nederland">
          <a:hlinkClick xmlns:r="http://schemas.openxmlformats.org/officeDocument/2006/relationships" r:id="rId95"/>
          <a:extLst>
            <a:ext uri="{FF2B5EF4-FFF2-40B4-BE49-F238E27FC236}">
              <a16:creationId xmlns:a16="http://schemas.microsoft.com/office/drawing/2014/main" id="{00000000-0008-0000-0400-0000C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3" name="Picture 32" descr="Italia">
          <a:hlinkClick xmlns:r="http://schemas.openxmlformats.org/officeDocument/2006/relationships" r:id="rId96"/>
          <a:extLst>
            <a:ext uri="{FF2B5EF4-FFF2-40B4-BE49-F238E27FC236}">
              <a16:creationId xmlns:a16="http://schemas.microsoft.com/office/drawing/2014/main" id="{00000000-0008-0000-0400-0000C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4" name="Picture 34" descr="Deutschland">
          <a:hlinkClick xmlns:r="http://schemas.openxmlformats.org/officeDocument/2006/relationships" r:id="rId102"/>
          <a:extLst>
            <a:ext uri="{FF2B5EF4-FFF2-40B4-BE49-F238E27FC236}">
              <a16:creationId xmlns:a16="http://schemas.microsoft.com/office/drawing/2014/main" id="{00000000-0008-0000-0400-0000C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5" name="Picture 36" descr="Israel">
          <a:hlinkClick xmlns:r="http://schemas.openxmlformats.org/officeDocument/2006/relationships" r:id="rId103"/>
          <a:extLst>
            <a:ext uri="{FF2B5EF4-FFF2-40B4-BE49-F238E27FC236}">
              <a16:creationId xmlns:a16="http://schemas.microsoft.com/office/drawing/2014/main" id="{00000000-0008-0000-0400-0000C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6" name="Picture 37" descr="Slovensko">
          <a:hlinkClick xmlns:r="http://schemas.openxmlformats.org/officeDocument/2006/relationships" r:id="rId104"/>
          <a:extLst>
            <a:ext uri="{FF2B5EF4-FFF2-40B4-BE49-F238E27FC236}">
              <a16:creationId xmlns:a16="http://schemas.microsoft.com/office/drawing/2014/main" id="{00000000-0008-0000-0400-0000C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7" name="Picture 2" descr="España">
          <a:hlinkClick xmlns:r="http://schemas.openxmlformats.org/officeDocument/2006/relationships" r:id="rId90"/>
          <a:extLst>
            <a:ext uri="{FF2B5EF4-FFF2-40B4-BE49-F238E27FC236}">
              <a16:creationId xmlns:a16="http://schemas.microsoft.com/office/drawing/2014/main" id="{00000000-0008-0000-0400-0000C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8" name="Picture 3" descr="USA">
          <a:hlinkClick xmlns:r="http://schemas.openxmlformats.org/officeDocument/2006/relationships" r:id="rId91"/>
          <a:extLst>
            <a:ext uri="{FF2B5EF4-FFF2-40B4-BE49-F238E27FC236}">
              <a16:creationId xmlns:a16="http://schemas.microsoft.com/office/drawing/2014/main" id="{00000000-0008-0000-0400-0000D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9" name="Picture 5" descr="España">
          <a:hlinkClick xmlns:r="http://schemas.openxmlformats.org/officeDocument/2006/relationships" r:id="rId90"/>
          <a:extLst>
            <a:ext uri="{FF2B5EF4-FFF2-40B4-BE49-F238E27FC236}">
              <a16:creationId xmlns:a16="http://schemas.microsoft.com/office/drawing/2014/main" id="{00000000-0008-0000-0400-0000D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0" name="Picture 6" descr="España">
          <a:hlinkClick xmlns:r="http://schemas.openxmlformats.org/officeDocument/2006/relationships" r:id="rId90"/>
          <a:extLst>
            <a:ext uri="{FF2B5EF4-FFF2-40B4-BE49-F238E27FC236}">
              <a16:creationId xmlns:a16="http://schemas.microsoft.com/office/drawing/2014/main" id="{00000000-0008-0000-0400-0000D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1" name="Picture 8" descr="Česká republika">
          <a:hlinkClick xmlns:r="http://schemas.openxmlformats.org/officeDocument/2006/relationships" r:id="rId92"/>
          <a:extLst>
            <a:ext uri="{FF2B5EF4-FFF2-40B4-BE49-F238E27FC236}">
              <a16:creationId xmlns:a16="http://schemas.microsoft.com/office/drawing/2014/main" id="{00000000-0008-0000-0400-0000D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2" name="Picture 9" descr="Sverige">
          <a:hlinkClick xmlns:r="http://schemas.openxmlformats.org/officeDocument/2006/relationships" r:id="rId93"/>
          <a:extLst>
            <a:ext uri="{FF2B5EF4-FFF2-40B4-BE49-F238E27FC236}">
              <a16:creationId xmlns:a16="http://schemas.microsoft.com/office/drawing/2014/main" id="{00000000-0008-0000-0400-0000D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3" name="Picture 11" descr="Suomi">
          <a:hlinkClick xmlns:r="http://schemas.openxmlformats.org/officeDocument/2006/relationships" r:id="rId94"/>
          <a:extLst>
            <a:ext uri="{FF2B5EF4-FFF2-40B4-BE49-F238E27FC236}">
              <a16:creationId xmlns:a16="http://schemas.microsoft.com/office/drawing/2014/main" id="{00000000-0008-0000-0400-0000D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4" name="Picture 12" descr="España">
          <a:hlinkClick xmlns:r="http://schemas.openxmlformats.org/officeDocument/2006/relationships" r:id="rId90"/>
          <a:extLst>
            <a:ext uri="{FF2B5EF4-FFF2-40B4-BE49-F238E27FC236}">
              <a16:creationId xmlns:a16="http://schemas.microsoft.com/office/drawing/2014/main" id="{00000000-0008-0000-0400-0000D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5" name="Picture 13" descr="Nederland">
          <a:hlinkClick xmlns:r="http://schemas.openxmlformats.org/officeDocument/2006/relationships" r:id="rId95"/>
          <a:extLst>
            <a:ext uri="{FF2B5EF4-FFF2-40B4-BE49-F238E27FC236}">
              <a16:creationId xmlns:a16="http://schemas.microsoft.com/office/drawing/2014/main" id="{00000000-0008-0000-0400-0000D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6" name="Picture 14" descr="Italia">
          <a:hlinkClick xmlns:r="http://schemas.openxmlformats.org/officeDocument/2006/relationships" r:id="rId96"/>
          <a:extLst>
            <a:ext uri="{FF2B5EF4-FFF2-40B4-BE49-F238E27FC236}">
              <a16:creationId xmlns:a16="http://schemas.microsoft.com/office/drawing/2014/main" id="{00000000-0008-0000-0400-0000D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7" name="Picture 16" descr="España">
          <a:hlinkClick xmlns:r="http://schemas.openxmlformats.org/officeDocument/2006/relationships" r:id="rId90"/>
          <a:extLst>
            <a:ext uri="{FF2B5EF4-FFF2-40B4-BE49-F238E27FC236}">
              <a16:creationId xmlns:a16="http://schemas.microsoft.com/office/drawing/2014/main" id="{00000000-0008-0000-0400-0000D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8" name="Picture 18" descr="France">
          <a:hlinkClick xmlns:r="http://schemas.openxmlformats.org/officeDocument/2006/relationships" r:id="rId97"/>
          <a:extLst>
            <a:ext uri="{FF2B5EF4-FFF2-40B4-BE49-F238E27FC236}">
              <a16:creationId xmlns:a16="http://schemas.microsoft.com/office/drawing/2014/main" id="{00000000-0008-0000-0400-0000D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9" name="Picture 19" descr="France">
          <a:hlinkClick xmlns:r="http://schemas.openxmlformats.org/officeDocument/2006/relationships" r:id="rId97"/>
          <a:extLst>
            <a:ext uri="{FF2B5EF4-FFF2-40B4-BE49-F238E27FC236}">
              <a16:creationId xmlns:a16="http://schemas.microsoft.com/office/drawing/2014/main" id="{00000000-0008-0000-0400-0000D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0" name="Picture 21" descr="Argentina">
          <a:hlinkClick xmlns:r="http://schemas.openxmlformats.org/officeDocument/2006/relationships" r:id="rId98"/>
          <a:extLst>
            <a:ext uri="{FF2B5EF4-FFF2-40B4-BE49-F238E27FC236}">
              <a16:creationId xmlns:a16="http://schemas.microsoft.com/office/drawing/2014/main" id="{00000000-0008-0000-0400-0000D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1" name="Picture 23" descr="España">
          <a:hlinkClick xmlns:r="http://schemas.openxmlformats.org/officeDocument/2006/relationships" r:id="rId90"/>
          <a:extLst>
            <a:ext uri="{FF2B5EF4-FFF2-40B4-BE49-F238E27FC236}">
              <a16:creationId xmlns:a16="http://schemas.microsoft.com/office/drawing/2014/main" id="{00000000-0008-0000-0400-0000D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2" name="Picture 25" descr="Lubnan">
          <a:hlinkClick xmlns:r="http://schemas.openxmlformats.org/officeDocument/2006/relationships" r:id="rId99"/>
          <a:extLst>
            <a:ext uri="{FF2B5EF4-FFF2-40B4-BE49-F238E27FC236}">
              <a16:creationId xmlns:a16="http://schemas.microsoft.com/office/drawing/2014/main" id="{00000000-0008-0000-0400-0000D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3" name="Picture 27" descr="Magyarország">
          <a:hlinkClick xmlns:r="http://schemas.openxmlformats.org/officeDocument/2006/relationships" r:id="rId100"/>
          <a:extLst>
            <a:ext uri="{FF2B5EF4-FFF2-40B4-BE49-F238E27FC236}">
              <a16:creationId xmlns:a16="http://schemas.microsoft.com/office/drawing/2014/main" id="{00000000-0008-0000-0400-0000D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4" name="Picture 29" descr="Uruguay">
          <a:hlinkClick xmlns:r="http://schemas.openxmlformats.org/officeDocument/2006/relationships" r:id="rId101"/>
          <a:extLst>
            <a:ext uri="{FF2B5EF4-FFF2-40B4-BE49-F238E27FC236}">
              <a16:creationId xmlns:a16="http://schemas.microsoft.com/office/drawing/2014/main" id="{00000000-0008-0000-0400-0000E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5" name="Picture 30" descr="Italia">
          <a:hlinkClick xmlns:r="http://schemas.openxmlformats.org/officeDocument/2006/relationships" r:id="rId96"/>
          <a:extLst>
            <a:ext uri="{FF2B5EF4-FFF2-40B4-BE49-F238E27FC236}">
              <a16:creationId xmlns:a16="http://schemas.microsoft.com/office/drawing/2014/main" id="{00000000-0008-0000-0400-0000E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6" name="Picture 31" descr="Nederland">
          <a:hlinkClick xmlns:r="http://schemas.openxmlformats.org/officeDocument/2006/relationships" r:id="rId95"/>
          <a:extLst>
            <a:ext uri="{FF2B5EF4-FFF2-40B4-BE49-F238E27FC236}">
              <a16:creationId xmlns:a16="http://schemas.microsoft.com/office/drawing/2014/main" id="{00000000-0008-0000-0400-0000E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7" name="Picture 32" descr="Italia">
          <a:hlinkClick xmlns:r="http://schemas.openxmlformats.org/officeDocument/2006/relationships" r:id="rId96"/>
          <a:extLst>
            <a:ext uri="{FF2B5EF4-FFF2-40B4-BE49-F238E27FC236}">
              <a16:creationId xmlns:a16="http://schemas.microsoft.com/office/drawing/2014/main" id="{00000000-0008-0000-0400-0000E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8" name="Picture 34" descr="Deutschland">
          <a:hlinkClick xmlns:r="http://schemas.openxmlformats.org/officeDocument/2006/relationships" r:id="rId102"/>
          <a:extLst>
            <a:ext uri="{FF2B5EF4-FFF2-40B4-BE49-F238E27FC236}">
              <a16:creationId xmlns:a16="http://schemas.microsoft.com/office/drawing/2014/main" id="{00000000-0008-0000-0400-0000E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9" name="Picture 36" descr="Israel">
          <a:hlinkClick xmlns:r="http://schemas.openxmlformats.org/officeDocument/2006/relationships" r:id="rId103"/>
          <a:extLst>
            <a:ext uri="{FF2B5EF4-FFF2-40B4-BE49-F238E27FC236}">
              <a16:creationId xmlns:a16="http://schemas.microsoft.com/office/drawing/2014/main" id="{00000000-0008-0000-0400-0000E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0" name="Picture 37" descr="Slovensko">
          <a:hlinkClick xmlns:r="http://schemas.openxmlformats.org/officeDocument/2006/relationships" r:id="rId104"/>
          <a:extLst>
            <a:ext uri="{FF2B5EF4-FFF2-40B4-BE49-F238E27FC236}">
              <a16:creationId xmlns:a16="http://schemas.microsoft.com/office/drawing/2014/main" id="{00000000-0008-0000-0400-0000E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1" name="Picture 2" descr="España">
          <a:hlinkClick xmlns:r="http://schemas.openxmlformats.org/officeDocument/2006/relationships" r:id="rId90"/>
          <a:extLst>
            <a:ext uri="{FF2B5EF4-FFF2-40B4-BE49-F238E27FC236}">
              <a16:creationId xmlns:a16="http://schemas.microsoft.com/office/drawing/2014/main" id="{00000000-0008-0000-0400-0000E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2" name="Picture 3" descr="USA">
          <a:hlinkClick xmlns:r="http://schemas.openxmlformats.org/officeDocument/2006/relationships" r:id="rId91"/>
          <a:extLst>
            <a:ext uri="{FF2B5EF4-FFF2-40B4-BE49-F238E27FC236}">
              <a16:creationId xmlns:a16="http://schemas.microsoft.com/office/drawing/2014/main" id="{00000000-0008-0000-0400-0000E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3" name="Picture 5" descr="España">
          <a:hlinkClick xmlns:r="http://schemas.openxmlformats.org/officeDocument/2006/relationships" r:id="rId90"/>
          <a:extLst>
            <a:ext uri="{FF2B5EF4-FFF2-40B4-BE49-F238E27FC236}">
              <a16:creationId xmlns:a16="http://schemas.microsoft.com/office/drawing/2014/main" id="{00000000-0008-0000-0400-0000E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4" name="Picture 6" descr="España">
          <a:hlinkClick xmlns:r="http://schemas.openxmlformats.org/officeDocument/2006/relationships" r:id="rId90"/>
          <a:extLst>
            <a:ext uri="{FF2B5EF4-FFF2-40B4-BE49-F238E27FC236}">
              <a16:creationId xmlns:a16="http://schemas.microsoft.com/office/drawing/2014/main" id="{00000000-0008-0000-0400-0000E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5" name="Picture 8" descr="Česká republika">
          <a:hlinkClick xmlns:r="http://schemas.openxmlformats.org/officeDocument/2006/relationships" r:id="rId92"/>
          <a:extLst>
            <a:ext uri="{FF2B5EF4-FFF2-40B4-BE49-F238E27FC236}">
              <a16:creationId xmlns:a16="http://schemas.microsoft.com/office/drawing/2014/main" id="{00000000-0008-0000-0400-0000E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6" name="Picture 9" descr="Sverige">
          <a:hlinkClick xmlns:r="http://schemas.openxmlformats.org/officeDocument/2006/relationships" r:id="rId93"/>
          <a:extLst>
            <a:ext uri="{FF2B5EF4-FFF2-40B4-BE49-F238E27FC236}">
              <a16:creationId xmlns:a16="http://schemas.microsoft.com/office/drawing/2014/main" id="{00000000-0008-0000-0400-0000E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7" name="Picture 11" descr="Suomi">
          <a:hlinkClick xmlns:r="http://schemas.openxmlformats.org/officeDocument/2006/relationships" r:id="rId94"/>
          <a:extLst>
            <a:ext uri="{FF2B5EF4-FFF2-40B4-BE49-F238E27FC236}">
              <a16:creationId xmlns:a16="http://schemas.microsoft.com/office/drawing/2014/main" id="{00000000-0008-0000-0400-0000E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8" name="Picture 12" descr="España">
          <a:hlinkClick xmlns:r="http://schemas.openxmlformats.org/officeDocument/2006/relationships" r:id="rId90"/>
          <a:extLst>
            <a:ext uri="{FF2B5EF4-FFF2-40B4-BE49-F238E27FC236}">
              <a16:creationId xmlns:a16="http://schemas.microsoft.com/office/drawing/2014/main" id="{00000000-0008-0000-0400-0000E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9" name="Picture 13" descr="Nederland">
          <a:hlinkClick xmlns:r="http://schemas.openxmlformats.org/officeDocument/2006/relationships" r:id="rId95"/>
          <a:extLst>
            <a:ext uri="{FF2B5EF4-FFF2-40B4-BE49-F238E27FC236}">
              <a16:creationId xmlns:a16="http://schemas.microsoft.com/office/drawing/2014/main" id="{00000000-0008-0000-0400-0000E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0" name="Picture 14" descr="Italia">
          <a:hlinkClick xmlns:r="http://schemas.openxmlformats.org/officeDocument/2006/relationships" r:id="rId96"/>
          <a:extLst>
            <a:ext uri="{FF2B5EF4-FFF2-40B4-BE49-F238E27FC236}">
              <a16:creationId xmlns:a16="http://schemas.microsoft.com/office/drawing/2014/main" id="{00000000-0008-0000-0400-0000F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1" name="Picture 16" descr="España">
          <a:hlinkClick xmlns:r="http://schemas.openxmlformats.org/officeDocument/2006/relationships" r:id="rId90"/>
          <a:extLst>
            <a:ext uri="{FF2B5EF4-FFF2-40B4-BE49-F238E27FC236}">
              <a16:creationId xmlns:a16="http://schemas.microsoft.com/office/drawing/2014/main" id="{00000000-0008-0000-0400-0000F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2" name="Picture 18" descr="France">
          <a:hlinkClick xmlns:r="http://schemas.openxmlformats.org/officeDocument/2006/relationships" r:id="rId97"/>
          <a:extLst>
            <a:ext uri="{FF2B5EF4-FFF2-40B4-BE49-F238E27FC236}">
              <a16:creationId xmlns:a16="http://schemas.microsoft.com/office/drawing/2014/main" id="{00000000-0008-0000-0400-0000F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3" name="Picture 19" descr="France">
          <a:hlinkClick xmlns:r="http://schemas.openxmlformats.org/officeDocument/2006/relationships" r:id="rId97"/>
          <a:extLst>
            <a:ext uri="{FF2B5EF4-FFF2-40B4-BE49-F238E27FC236}">
              <a16:creationId xmlns:a16="http://schemas.microsoft.com/office/drawing/2014/main" id="{00000000-0008-0000-0400-0000F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4" name="Picture 21" descr="Argentina">
          <a:hlinkClick xmlns:r="http://schemas.openxmlformats.org/officeDocument/2006/relationships" r:id="rId98"/>
          <a:extLst>
            <a:ext uri="{FF2B5EF4-FFF2-40B4-BE49-F238E27FC236}">
              <a16:creationId xmlns:a16="http://schemas.microsoft.com/office/drawing/2014/main" id="{00000000-0008-0000-0400-0000F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5" name="Picture 23" descr="España">
          <a:hlinkClick xmlns:r="http://schemas.openxmlformats.org/officeDocument/2006/relationships" r:id="rId90"/>
          <a:extLst>
            <a:ext uri="{FF2B5EF4-FFF2-40B4-BE49-F238E27FC236}">
              <a16:creationId xmlns:a16="http://schemas.microsoft.com/office/drawing/2014/main" id="{00000000-0008-0000-0400-0000F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6" name="Picture 25" descr="Lubnan">
          <a:hlinkClick xmlns:r="http://schemas.openxmlformats.org/officeDocument/2006/relationships" r:id="rId99"/>
          <a:extLst>
            <a:ext uri="{FF2B5EF4-FFF2-40B4-BE49-F238E27FC236}">
              <a16:creationId xmlns:a16="http://schemas.microsoft.com/office/drawing/2014/main" id="{00000000-0008-0000-0400-0000F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7" name="Picture 27" descr="Magyarország">
          <a:hlinkClick xmlns:r="http://schemas.openxmlformats.org/officeDocument/2006/relationships" r:id="rId100"/>
          <a:extLst>
            <a:ext uri="{FF2B5EF4-FFF2-40B4-BE49-F238E27FC236}">
              <a16:creationId xmlns:a16="http://schemas.microsoft.com/office/drawing/2014/main" id="{00000000-0008-0000-0400-0000F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8" name="Picture 29" descr="Uruguay">
          <a:hlinkClick xmlns:r="http://schemas.openxmlformats.org/officeDocument/2006/relationships" r:id="rId101"/>
          <a:extLst>
            <a:ext uri="{FF2B5EF4-FFF2-40B4-BE49-F238E27FC236}">
              <a16:creationId xmlns:a16="http://schemas.microsoft.com/office/drawing/2014/main" id="{00000000-0008-0000-0400-0000F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9" name="Picture 30" descr="Italia">
          <a:hlinkClick xmlns:r="http://schemas.openxmlformats.org/officeDocument/2006/relationships" r:id="rId96"/>
          <a:extLst>
            <a:ext uri="{FF2B5EF4-FFF2-40B4-BE49-F238E27FC236}">
              <a16:creationId xmlns:a16="http://schemas.microsoft.com/office/drawing/2014/main" id="{00000000-0008-0000-0400-0000F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0" name="Picture 31" descr="Nederland">
          <a:hlinkClick xmlns:r="http://schemas.openxmlformats.org/officeDocument/2006/relationships" r:id="rId95"/>
          <a:extLst>
            <a:ext uri="{FF2B5EF4-FFF2-40B4-BE49-F238E27FC236}">
              <a16:creationId xmlns:a16="http://schemas.microsoft.com/office/drawing/2014/main" id="{00000000-0008-0000-0400-0000F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1" name="Picture 32" descr="Italia">
          <a:hlinkClick xmlns:r="http://schemas.openxmlformats.org/officeDocument/2006/relationships" r:id="rId96"/>
          <a:extLst>
            <a:ext uri="{FF2B5EF4-FFF2-40B4-BE49-F238E27FC236}">
              <a16:creationId xmlns:a16="http://schemas.microsoft.com/office/drawing/2014/main" id="{00000000-0008-0000-0400-0000F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2" name="Picture 34" descr="Deutschland">
          <a:hlinkClick xmlns:r="http://schemas.openxmlformats.org/officeDocument/2006/relationships" r:id="rId102"/>
          <a:extLst>
            <a:ext uri="{FF2B5EF4-FFF2-40B4-BE49-F238E27FC236}">
              <a16:creationId xmlns:a16="http://schemas.microsoft.com/office/drawing/2014/main" id="{00000000-0008-0000-0400-0000F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3" name="Picture 36" descr="Israel">
          <a:hlinkClick xmlns:r="http://schemas.openxmlformats.org/officeDocument/2006/relationships" r:id="rId103"/>
          <a:extLst>
            <a:ext uri="{FF2B5EF4-FFF2-40B4-BE49-F238E27FC236}">
              <a16:creationId xmlns:a16="http://schemas.microsoft.com/office/drawing/2014/main" id="{00000000-0008-0000-0400-0000F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4" name="Picture 37" descr="Slovensko">
          <a:hlinkClick xmlns:r="http://schemas.openxmlformats.org/officeDocument/2006/relationships" r:id="rId104"/>
          <a:extLst>
            <a:ext uri="{FF2B5EF4-FFF2-40B4-BE49-F238E27FC236}">
              <a16:creationId xmlns:a16="http://schemas.microsoft.com/office/drawing/2014/main" id="{00000000-0008-0000-0400-0000F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5" name="Picture 2" descr="España">
          <a:hlinkClick xmlns:r="http://schemas.openxmlformats.org/officeDocument/2006/relationships" r:id="rId90"/>
          <a:extLst>
            <a:ext uri="{FF2B5EF4-FFF2-40B4-BE49-F238E27FC236}">
              <a16:creationId xmlns:a16="http://schemas.microsoft.com/office/drawing/2014/main" id="{00000000-0008-0000-0400-0000F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6" name="Picture 3" descr="USA">
          <a:hlinkClick xmlns:r="http://schemas.openxmlformats.org/officeDocument/2006/relationships" r:id="rId91"/>
          <a:extLst>
            <a:ext uri="{FF2B5EF4-FFF2-40B4-BE49-F238E27FC236}">
              <a16:creationId xmlns:a16="http://schemas.microsoft.com/office/drawing/2014/main" id="{00000000-0008-0000-0400-00000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7" name="Picture 5" descr="España">
          <a:hlinkClick xmlns:r="http://schemas.openxmlformats.org/officeDocument/2006/relationships" r:id="rId90"/>
          <a:extLst>
            <a:ext uri="{FF2B5EF4-FFF2-40B4-BE49-F238E27FC236}">
              <a16:creationId xmlns:a16="http://schemas.microsoft.com/office/drawing/2014/main" id="{00000000-0008-0000-0400-00000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8" name="Picture 6" descr="España">
          <a:hlinkClick xmlns:r="http://schemas.openxmlformats.org/officeDocument/2006/relationships" r:id="rId90"/>
          <a:extLst>
            <a:ext uri="{FF2B5EF4-FFF2-40B4-BE49-F238E27FC236}">
              <a16:creationId xmlns:a16="http://schemas.microsoft.com/office/drawing/2014/main" id="{00000000-0008-0000-0400-00000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9" name="Picture 8" descr="Česká republika">
          <a:hlinkClick xmlns:r="http://schemas.openxmlformats.org/officeDocument/2006/relationships" r:id="rId92"/>
          <a:extLst>
            <a:ext uri="{FF2B5EF4-FFF2-40B4-BE49-F238E27FC236}">
              <a16:creationId xmlns:a16="http://schemas.microsoft.com/office/drawing/2014/main" id="{00000000-0008-0000-0400-00000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0" name="Picture 9" descr="Sverige">
          <a:hlinkClick xmlns:r="http://schemas.openxmlformats.org/officeDocument/2006/relationships" r:id="rId93"/>
          <a:extLst>
            <a:ext uri="{FF2B5EF4-FFF2-40B4-BE49-F238E27FC236}">
              <a16:creationId xmlns:a16="http://schemas.microsoft.com/office/drawing/2014/main" id="{00000000-0008-0000-0400-00000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1" name="Picture 11" descr="Suomi">
          <a:hlinkClick xmlns:r="http://schemas.openxmlformats.org/officeDocument/2006/relationships" r:id="rId94"/>
          <a:extLst>
            <a:ext uri="{FF2B5EF4-FFF2-40B4-BE49-F238E27FC236}">
              <a16:creationId xmlns:a16="http://schemas.microsoft.com/office/drawing/2014/main" id="{00000000-0008-0000-0400-00000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2" name="Picture 12" descr="España">
          <a:hlinkClick xmlns:r="http://schemas.openxmlformats.org/officeDocument/2006/relationships" r:id="rId90"/>
          <a:extLst>
            <a:ext uri="{FF2B5EF4-FFF2-40B4-BE49-F238E27FC236}">
              <a16:creationId xmlns:a16="http://schemas.microsoft.com/office/drawing/2014/main" id="{00000000-0008-0000-0400-00000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3" name="Picture 13" descr="Nederland">
          <a:hlinkClick xmlns:r="http://schemas.openxmlformats.org/officeDocument/2006/relationships" r:id="rId95"/>
          <a:extLst>
            <a:ext uri="{FF2B5EF4-FFF2-40B4-BE49-F238E27FC236}">
              <a16:creationId xmlns:a16="http://schemas.microsoft.com/office/drawing/2014/main" id="{00000000-0008-0000-0400-00000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4" name="Picture 14" descr="Italia">
          <a:hlinkClick xmlns:r="http://schemas.openxmlformats.org/officeDocument/2006/relationships" r:id="rId96"/>
          <a:extLst>
            <a:ext uri="{FF2B5EF4-FFF2-40B4-BE49-F238E27FC236}">
              <a16:creationId xmlns:a16="http://schemas.microsoft.com/office/drawing/2014/main" id="{00000000-0008-0000-0400-00000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5" name="Picture 16" descr="España">
          <a:hlinkClick xmlns:r="http://schemas.openxmlformats.org/officeDocument/2006/relationships" r:id="rId90"/>
          <a:extLst>
            <a:ext uri="{FF2B5EF4-FFF2-40B4-BE49-F238E27FC236}">
              <a16:creationId xmlns:a16="http://schemas.microsoft.com/office/drawing/2014/main" id="{00000000-0008-0000-0400-00000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6" name="Picture 18" descr="France">
          <a:hlinkClick xmlns:r="http://schemas.openxmlformats.org/officeDocument/2006/relationships" r:id="rId97"/>
          <a:extLst>
            <a:ext uri="{FF2B5EF4-FFF2-40B4-BE49-F238E27FC236}">
              <a16:creationId xmlns:a16="http://schemas.microsoft.com/office/drawing/2014/main" id="{00000000-0008-0000-0400-00000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7" name="Picture 19" descr="France">
          <a:hlinkClick xmlns:r="http://schemas.openxmlformats.org/officeDocument/2006/relationships" r:id="rId97"/>
          <a:extLst>
            <a:ext uri="{FF2B5EF4-FFF2-40B4-BE49-F238E27FC236}">
              <a16:creationId xmlns:a16="http://schemas.microsoft.com/office/drawing/2014/main" id="{00000000-0008-0000-0400-00000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8" name="Picture 21" descr="Argentina">
          <a:hlinkClick xmlns:r="http://schemas.openxmlformats.org/officeDocument/2006/relationships" r:id="rId98"/>
          <a:extLst>
            <a:ext uri="{FF2B5EF4-FFF2-40B4-BE49-F238E27FC236}">
              <a16:creationId xmlns:a16="http://schemas.microsoft.com/office/drawing/2014/main" id="{00000000-0008-0000-0400-00000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9" name="Picture 23" descr="España">
          <a:hlinkClick xmlns:r="http://schemas.openxmlformats.org/officeDocument/2006/relationships" r:id="rId90"/>
          <a:extLst>
            <a:ext uri="{FF2B5EF4-FFF2-40B4-BE49-F238E27FC236}">
              <a16:creationId xmlns:a16="http://schemas.microsoft.com/office/drawing/2014/main" id="{00000000-0008-0000-0400-00000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0" name="Picture 25" descr="Lubnan">
          <a:hlinkClick xmlns:r="http://schemas.openxmlformats.org/officeDocument/2006/relationships" r:id="rId99"/>
          <a:extLst>
            <a:ext uri="{FF2B5EF4-FFF2-40B4-BE49-F238E27FC236}">
              <a16:creationId xmlns:a16="http://schemas.microsoft.com/office/drawing/2014/main" id="{00000000-0008-0000-0400-00000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1" name="Picture 27" descr="Magyarország">
          <a:hlinkClick xmlns:r="http://schemas.openxmlformats.org/officeDocument/2006/relationships" r:id="rId100"/>
          <a:extLst>
            <a:ext uri="{FF2B5EF4-FFF2-40B4-BE49-F238E27FC236}">
              <a16:creationId xmlns:a16="http://schemas.microsoft.com/office/drawing/2014/main" id="{00000000-0008-0000-0400-00000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2" name="Picture 29" descr="Uruguay">
          <a:hlinkClick xmlns:r="http://schemas.openxmlformats.org/officeDocument/2006/relationships" r:id="rId101"/>
          <a:extLst>
            <a:ext uri="{FF2B5EF4-FFF2-40B4-BE49-F238E27FC236}">
              <a16:creationId xmlns:a16="http://schemas.microsoft.com/office/drawing/2014/main" id="{00000000-0008-0000-0400-00001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3" name="Picture 30" descr="Italia">
          <a:hlinkClick xmlns:r="http://schemas.openxmlformats.org/officeDocument/2006/relationships" r:id="rId96"/>
          <a:extLst>
            <a:ext uri="{FF2B5EF4-FFF2-40B4-BE49-F238E27FC236}">
              <a16:creationId xmlns:a16="http://schemas.microsoft.com/office/drawing/2014/main" id="{00000000-0008-0000-0400-00001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4" name="Picture 31" descr="Nederland">
          <a:hlinkClick xmlns:r="http://schemas.openxmlformats.org/officeDocument/2006/relationships" r:id="rId95"/>
          <a:extLst>
            <a:ext uri="{FF2B5EF4-FFF2-40B4-BE49-F238E27FC236}">
              <a16:creationId xmlns:a16="http://schemas.microsoft.com/office/drawing/2014/main" id="{00000000-0008-0000-0400-00001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5" name="Picture 32" descr="Italia">
          <a:hlinkClick xmlns:r="http://schemas.openxmlformats.org/officeDocument/2006/relationships" r:id="rId96"/>
          <a:extLst>
            <a:ext uri="{FF2B5EF4-FFF2-40B4-BE49-F238E27FC236}">
              <a16:creationId xmlns:a16="http://schemas.microsoft.com/office/drawing/2014/main" id="{00000000-0008-0000-0400-00001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6" name="Picture 34" descr="Deutschland">
          <a:hlinkClick xmlns:r="http://schemas.openxmlformats.org/officeDocument/2006/relationships" r:id="rId102"/>
          <a:extLst>
            <a:ext uri="{FF2B5EF4-FFF2-40B4-BE49-F238E27FC236}">
              <a16:creationId xmlns:a16="http://schemas.microsoft.com/office/drawing/2014/main" id="{00000000-0008-0000-0400-00001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7" name="Picture 36" descr="Israel">
          <a:hlinkClick xmlns:r="http://schemas.openxmlformats.org/officeDocument/2006/relationships" r:id="rId103"/>
          <a:extLst>
            <a:ext uri="{FF2B5EF4-FFF2-40B4-BE49-F238E27FC236}">
              <a16:creationId xmlns:a16="http://schemas.microsoft.com/office/drawing/2014/main" id="{00000000-0008-0000-0400-00001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8" name="Picture 37" descr="Slovensko">
          <a:hlinkClick xmlns:r="http://schemas.openxmlformats.org/officeDocument/2006/relationships" r:id="rId104"/>
          <a:extLst>
            <a:ext uri="{FF2B5EF4-FFF2-40B4-BE49-F238E27FC236}">
              <a16:creationId xmlns:a16="http://schemas.microsoft.com/office/drawing/2014/main" id="{00000000-0008-0000-0400-00001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9" name="Picture 2" descr="España">
          <a:hlinkClick xmlns:r="http://schemas.openxmlformats.org/officeDocument/2006/relationships" r:id="rId90"/>
          <a:extLst>
            <a:ext uri="{FF2B5EF4-FFF2-40B4-BE49-F238E27FC236}">
              <a16:creationId xmlns:a16="http://schemas.microsoft.com/office/drawing/2014/main" id="{00000000-0008-0000-0400-00001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0" name="Picture 3" descr="USA">
          <a:hlinkClick xmlns:r="http://schemas.openxmlformats.org/officeDocument/2006/relationships" r:id="rId91"/>
          <a:extLst>
            <a:ext uri="{FF2B5EF4-FFF2-40B4-BE49-F238E27FC236}">
              <a16:creationId xmlns:a16="http://schemas.microsoft.com/office/drawing/2014/main" id="{00000000-0008-0000-0400-00001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1" name="Picture 5" descr="España">
          <a:hlinkClick xmlns:r="http://schemas.openxmlformats.org/officeDocument/2006/relationships" r:id="rId90"/>
          <a:extLst>
            <a:ext uri="{FF2B5EF4-FFF2-40B4-BE49-F238E27FC236}">
              <a16:creationId xmlns:a16="http://schemas.microsoft.com/office/drawing/2014/main" id="{00000000-0008-0000-0400-00001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2" name="Picture 6" descr="España">
          <a:hlinkClick xmlns:r="http://schemas.openxmlformats.org/officeDocument/2006/relationships" r:id="rId90"/>
          <a:extLst>
            <a:ext uri="{FF2B5EF4-FFF2-40B4-BE49-F238E27FC236}">
              <a16:creationId xmlns:a16="http://schemas.microsoft.com/office/drawing/2014/main" id="{00000000-0008-0000-0400-00001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3" name="Picture 8" descr="Česká republika">
          <a:hlinkClick xmlns:r="http://schemas.openxmlformats.org/officeDocument/2006/relationships" r:id="rId92"/>
          <a:extLst>
            <a:ext uri="{FF2B5EF4-FFF2-40B4-BE49-F238E27FC236}">
              <a16:creationId xmlns:a16="http://schemas.microsoft.com/office/drawing/2014/main" id="{00000000-0008-0000-0400-00001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4" name="Picture 9" descr="Sverige">
          <a:hlinkClick xmlns:r="http://schemas.openxmlformats.org/officeDocument/2006/relationships" r:id="rId93"/>
          <a:extLst>
            <a:ext uri="{FF2B5EF4-FFF2-40B4-BE49-F238E27FC236}">
              <a16:creationId xmlns:a16="http://schemas.microsoft.com/office/drawing/2014/main" id="{00000000-0008-0000-0400-00001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5" name="Picture 11" descr="Suomi">
          <a:hlinkClick xmlns:r="http://schemas.openxmlformats.org/officeDocument/2006/relationships" r:id="rId94"/>
          <a:extLst>
            <a:ext uri="{FF2B5EF4-FFF2-40B4-BE49-F238E27FC236}">
              <a16:creationId xmlns:a16="http://schemas.microsoft.com/office/drawing/2014/main" id="{00000000-0008-0000-0400-00001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6" name="Picture 12" descr="España">
          <a:hlinkClick xmlns:r="http://schemas.openxmlformats.org/officeDocument/2006/relationships" r:id="rId90"/>
          <a:extLst>
            <a:ext uri="{FF2B5EF4-FFF2-40B4-BE49-F238E27FC236}">
              <a16:creationId xmlns:a16="http://schemas.microsoft.com/office/drawing/2014/main" id="{00000000-0008-0000-0400-00001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7" name="Picture 13" descr="Nederland">
          <a:hlinkClick xmlns:r="http://schemas.openxmlformats.org/officeDocument/2006/relationships" r:id="rId95"/>
          <a:extLst>
            <a:ext uri="{FF2B5EF4-FFF2-40B4-BE49-F238E27FC236}">
              <a16:creationId xmlns:a16="http://schemas.microsoft.com/office/drawing/2014/main" id="{00000000-0008-0000-0400-00001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8" name="Picture 14" descr="Italia">
          <a:hlinkClick xmlns:r="http://schemas.openxmlformats.org/officeDocument/2006/relationships" r:id="rId96"/>
          <a:extLst>
            <a:ext uri="{FF2B5EF4-FFF2-40B4-BE49-F238E27FC236}">
              <a16:creationId xmlns:a16="http://schemas.microsoft.com/office/drawing/2014/main" id="{00000000-0008-0000-0400-00002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9" name="Picture 16" descr="España">
          <a:hlinkClick xmlns:r="http://schemas.openxmlformats.org/officeDocument/2006/relationships" r:id="rId90"/>
          <a:extLst>
            <a:ext uri="{FF2B5EF4-FFF2-40B4-BE49-F238E27FC236}">
              <a16:creationId xmlns:a16="http://schemas.microsoft.com/office/drawing/2014/main" id="{00000000-0008-0000-0400-00002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0" name="Picture 18" descr="France">
          <a:hlinkClick xmlns:r="http://schemas.openxmlformats.org/officeDocument/2006/relationships" r:id="rId97"/>
          <a:extLst>
            <a:ext uri="{FF2B5EF4-FFF2-40B4-BE49-F238E27FC236}">
              <a16:creationId xmlns:a16="http://schemas.microsoft.com/office/drawing/2014/main" id="{00000000-0008-0000-0400-00002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1" name="Picture 19" descr="France">
          <a:hlinkClick xmlns:r="http://schemas.openxmlformats.org/officeDocument/2006/relationships" r:id="rId97"/>
          <a:extLst>
            <a:ext uri="{FF2B5EF4-FFF2-40B4-BE49-F238E27FC236}">
              <a16:creationId xmlns:a16="http://schemas.microsoft.com/office/drawing/2014/main" id="{00000000-0008-0000-0400-00002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2" name="Picture 21" descr="Argentina">
          <a:hlinkClick xmlns:r="http://schemas.openxmlformats.org/officeDocument/2006/relationships" r:id="rId98"/>
          <a:extLst>
            <a:ext uri="{FF2B5EF4-FFF2-40B4-BE49-F238E27FC236}">
              <a16:creationId xmlns:a16="http://schemas.microsoft.com/office/drawing/2014/main" id="{00000000-0008-0000-0400-00002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3" name="Picture 23" descr="España">
          <a:hlinkClick xmlns:r="http://schemas.openxmlformats.org/officeDocument/2006/relationships" r:id="rId90"/>
          <a:extLst>
            <a:ext uri="{FF2B5EF4-FFF2-40B4-BE49-F238E27FC236}">
              <a16:creationId xmlns:a16="http://schemas.microsoft.com/office/drawing/2014/main" id="{00000000-0008-0000-0400-00002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4" name="Picture 25" descr="Lubnan">
          <a:hlinkClick xmlns:r="http://schemas.openxmlformats.org/officeDocument/2006/relationships" r:id="rId99"/>
          <a:extLst>
            <a:ext uri="{FF2B5EF4-FFF2-40B4-BE49-F238E27FC236}">
              <a16:creationId xmlns:a16="http://schemas.microsoft.com/office/drawing/2014/main" id="{00000000-0008-0000-0400-00002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5" name="Picture 27" descr="Magyarország">
          <a:hlinkClick xmlns:r="http://schemas.openxmlformats.org/officeDocument/2006/relationships" r:id="rId100"/>
          <a:extLst>
            <a:ext uri="{FF2B5EF4-FFF2-40B4-BE49-F238E27FC236}">
              <a16:creationId xmlns:a16="http://schemas.microsoft.com/office/drawing/2014/main" id="{00000000-0008-0000-0400-00002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6" name="Picture 29" descr="Uruguay">
          <a:hlinkClick xmlns:r="http://schemas.openxmlformats.org/officeDocument/2006/relationships" r:id="rId101"/>
          <a:extLst>
            <a:ext uri="{FF2B5EF4-FFF2-40B4-BE49-F238E27FC236}">
              <a16:creationId xmlns:a16="http://schemas.microsoft.com/office/drawing/2014/main" id="{00000000-0008-0000-0400-00002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7" name="Picture 30" descr="Italia">
          <a:hlinkClick xmlns:r="http://schemas.openxmlformats.org/officeDocument/2006/relationships" r:id="rId96"/>
          <a:extLst>
            <a:ext uri="{FF2B5EF4-FFF2-40B4-BE49-F238E27FC236}">
              <a16:creationId xmlns:a16="http://schemas.microsoft.com/office/drawing/2014/main" id="{00000000-0008-0000-0400-00002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8" name="Picture 31" descr="Nederland">
          <a:hlinkClick xmlns:r="http://schemas.openxmlformats.org/officeDocument/2006/relationships" r:id="rId95"/>
          <a:extLst>
            <a:ext uri="{FF2B5EF4-FFF2-40B4-BE49-F238E27FC236}">
              <a16:creationId xmlns:a16="http://schemas.microsoft.com/office/drawing/2014/main" id="{00000000-0008-0000-0400-00002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9" name="Picture 32" descr="Italia">
          <a:hlinkClick xmlns:r="http://schemas.openxmlformats.org/officeDocument/2006/relationships" r:id="rId96"/>
          <a:extLst>
            <a:ext uri="{FF2B5EF4-FFF2-40B4-BE49-F238E27FC236}">
              <a16:creationId xmlns:a16="http://schemas.microsoft.com/office/drawing/2014/main" id="{00000000-0008-0000-0400-00002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0" name="Picture 34" descr="Deutschland">
          <a:hlinkClick xmlns:r="http://schemas.openxmlformats.org/officeDocument/2006/relationships" r:id="rId102"/>
          <a:extLst>
            <a:ext uri="{FF2B5EF4-FFF2-40B4-BE49-F238E27FC236}">
              <a16:creationId xmlns:a16="http://schemas.microsoft.com/office/drawing/2014/main" id="{00000000-0008-0000-0400-00002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1" name="Picture 36" descr="Israel">
          <a:hlinkClick xmlns:r="http://schemas.openxmlformats.org/officeDocument/2006/relationships" r:id="rId103"/>
          <a:extLst>
            <a:ext uri="{FF2B5EF4-FFF2-40B4-BE49-F238E27FC236}">
              <a16:creationId xmlns:a16="http://schemas.microsoft.com/office/drawing/2014/main" id="{00000000-0008-0000-0400-00002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2" name="Picture 37" descr="Slovensko">
          <a:hlinkClick xmlns:r="http://schemas.openxmlformats.org/officeDocument/2006/relationships" r:id="rId104"/>
          <a:extLst>
            <a:ext uri="{FF2B5EF4-FFF2-40B4-BE49-F238E27FC236}">
              <a16:creationId xmlns:a16="http://schemas.microsoft.com/office/drawing/2014/main" id="{00000000-0008-0000-0400-00002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3" name="Picture 2" descr="España">
          <a:hlinkClick xmlns:r="http://schemas.openxmlformats.org/officeDocument/2006/relationships" r:id="rId90"/>
          <a:extLst>
            <a:ext uri="{FF2B5EF4-FFF2-40B4-BE49-F238E27FC236}">
              <a16:creationId xmlns:a16="http://schemas.microsoft.com/office/drawing/2014/main" id="{00000000-0008-0000-0400-00002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4" name="Picture 3" descr="USA">
          <a:hlinkClick xmlns:r="http://schemas.openxmlformats.org/officeDocument/2006/relationships" r:id="rId91"/>
          <a:extLst>
            <a:ext uri="{FF2B5EF4-FFF2-40B4-BE49-F238E27FC236}">
              <a16:creationId xmlns:a16="http://schemas.microsoft.com/office/drawing/2014/main" id="{00000000-0008-0000-0400-00003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5" name="Picture 5" descr="España">
          <a:hlinkClick xmlns:r="http://schemas.openxmlformats.org/officeDocument/2006/relationships" r:id="rId90"/>
          <a:extLst>
            <a:ext uri="{FF2B5EF4-FFF2-40B4-BE49-F238E27FC236}">
              <a16:creationId xmlns:a16="http://schemas.microsoft.com/office/drawing/2014/main" id="{00000000-0008-0000-0400-00003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6" name="Picture 6" descr="España">
          <a:hlinkClick xmlns:r="http://schemas.openxmlformats.org/officeDocument/2006/relationships" r:id="rId90"/>
          <a:extLst>
            <a:ext uri="{FF2B5EF4-FFF2-40B4-BE49-F238E27FC236}">
              <a16:creationId xmlns:a16="http://schemas.microsoft.com/office/drawing/2014/main" id="{00000000-0008-0000-0400-00003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7" name="Picture 7" descr="Sverige">
          <a:hlinkClick xmlns:r="http://schemas.openxmlformats.org/officeDocument/2006/relationships" r:id="rId93"/>
          <a:extLst>
            <a:ext uri="{FF2B5EF4-FFF2-40B4-BE49-F238E27FC236}">
              <a16:creationId xmlns:a16="http://schemas.microsoft.com/office/drawing/2014/main" id="{00000000-0008-0000-0400-00003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8" name="Picture 9" descr="Suomi">
          <a:hlinkClick xmlns:r="http://schemas.openxmlformats.org/officeDocument/2006/relationships" r:id="rId94"/>
          <a:extLst>
            <a:ext uri="{FF2B5EF4-FFF2-40B4-BE49-F238E27FC236}">
              <a16:creationId xmlns:a16="http://schemas.microsoft.com/office/drawing/2014/main" id="{00000000-0008-0000-0400-00003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9" name="Picture 10" descr="España">
          <a:hlinkClick xmlns:r="http://schemas.openxmlformats.org/officeDocument/2006/relationships" r:id="rId90"/>
          <a:extLst>
            <a:ext uri="{FF2B5EF4-FFF2-40B4-BE49-F238E27FC236}">
              <a16:creationId xmlns:a16="http://schemas.microsoft.com/office/drawing/2014/main" id="{00000000-0008-0000-0400-00003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0" name="Picture 11" descr="Nederland">
          <a:hlinkClick xmlns:r="http://schemas.openxmlformats.org/officeDocument/2006/relationships" r:id="rId95"/>
          <a:extLst>
            <a:ext uri="{FF2B5EF4-FFF2-40B4-BE49-F238E27FC236}">
              <a16:creationId xmlns:a16="http://schemas.microsoft.com/office/drawing/2014/main" id="{00000000-0008-0000-0400-00003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1" name="Picture 13" descr="Deutschland">
          <a:hlinkClick xmlns:r="http://schemas.openxmlformats.org/officeDocument/2006/relationships" r:id="rId102"/>
          <a:extLst>
            <a:ext uri="{FF2B5EF4-FFF2-40B4-BE49-F238E27FC236}">
              <a16:creationId xmlns:a16="http://schemas.microsoft.com/office/drawing/2014/main" id="{00000000-0008-0000-0400-00003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2" name="Picture 14" descr="España">
          <a:hlinkClick xmlns:r="http://schemas.openxmlformats.org/officeDocument/2006/relationships" r:id="rId90"/>
          <a:extLst>
            <a:ext uri="{FF2B5EF4-FFF2-40B4-BE49-F238E27FC236}">
              <a16:creationId xmlns:a16="http://schemas.microsoft.com/office/drawing/2014/main" id="{00000000-0008-0000-0400-00003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3" name="Picture 16" descr="France">
          <a:hlinkClick xmlns:r="http://schemas.openxmlformats.org/officeDocument/2006/relationships" r:id="rId97"/>
          <a:extLst>
            <a:ext uri="{FF2B5EF4-FFF2-40B4-BE49-F238E27FC236}">
              <a16:creationId xmlns:a16="http://schemas.microsoft.com/office/drawing/2014/main" id="{00000000-0008-0000-0400-00003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4" name="Picture 18" descr="France">
          <a:hlinkClick xmlns:r="http://schemas.openxmlformats.org/officeDocument/2006/relationships" r:id="rId97"/>
          <a:extLst>
            <a:ext uri="{FF2B5EF4-FFF2-40B4-BE49-F238E27FC236}">
              <a16:creationId xmlns:a16="http://schemas.microsoft.com/office/drawing/2014/main" id="{00000000-0008-0000-0400-00003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5" name="Picture 19" descr="Argentina">
          <a:hlinkClick xmlns:r="http://schemas.openxmlformats.org/officeDocument/2006/relationships" r:id="rId98"/>
          <a:extLst>
            <a:ext uri="{FF2B5EF4-FFF2-40B4-BE49-F238E27FC236}">
              <a16:creationId xmlns:a16="http://schemas.microsoft.com/office/drawing/2014/main" id="{00000000-0008-0000-0400-00003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6" name="Picture 20" descr="España">
          <a:hlinkClick xmlns:r="http://schemas.openxmlformats.org/officeDocument/2006/relationships" r:id="rId90"/>
          <a:extLst>
            <a:ext uri="{FF2B5EF4-FFF2-40B4-BE49-F238E27FC236}">
              <a16:creationId xmlns:a16="http://schemas.microsoft.com/office/drawing/2014/main" id="{00000000-0008-0000-0400-00003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7" name="Picture 21" descr="Lubnan">
          <a:hlinkClick xmlns:r="http://schemas.openxmlformats.org/officeDocument/2006/relationships" r:id="rId99"/>
          <a:extLst>
            <a:ext uri="{FF2B5EF4-FFF2-40B4-BE49-F238E27FC236}">
              <a16:creationId xmlns:a16="http://schemas.microsoft.com/office/drawing/2014/main" id="{00000000-0008-0000-0400-00003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8" name="Picture 23" descr="Magyarország">
          <a:hlinkClick xmlns:r="http://schemas.openxmlformats.org/officeDocument/2006/relationships" r:id="rId100"/>
          <a:extLst>
            <a:ext uri="{FF2B5EF4-FFF2-40B4-BE49-F238E27FC236}">
              <a16:creationId xmlns:a16="http://schemas.microsoft.com/office/drawing/2014/main" id="{00000000-0008-0000-0400-00003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9" name="Picture 25" descr="Uruguay">
          <a:hlinkClick xmlns:r="http://schemas.openxmlformats.org/officeDocument/2006/relationships" r:id="rId101"/>
          <a:extLst>
            <a:ext uri="{FF2B5EF4-FFF2-40B4-BE49-F238E27FC236}">
              <a16:creationId xmlns:a16="http://schemas.microsoft.com/office/drawing/2014/main" id="{00000000-0008-0000-0400-00003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0" name="Picture 26" descr="Italia">
          <a:hlinkClick xmlns:r="http://schemas.openxmlformats.org/officeDocument/2006/relationships" r:id="rId96"/>
          <a:extLst>
            <a:ext uri="{FF2B5EF4-FFF2-40B4-BE49-F238E27FC236}">
              <a16:creationId xmlns:a16="http://schemas.microsoft.com/office/drawing/2014/main" id="{00000000-0008-0000-0400-00004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1" name="Picture 27" descr="España">
          <a:hlinkClick xmlns:r="http://schemas.openxmlformats.org/officeDocument/2006/relationships" r:id="rId90"/>
          <a:extLst>
            <a:ext uri="{FF2B5EF4-FFF2-40B4-BE49-F238E27FC236}">
              <a16:creationId xmlns:a16="http://schemas.microsoft.com/office/drawing/2014/main" id="{00000000-0008-0000-0400-00004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2" name="Picture 28" descr="Nederland">
          <a:hlinkClick xmlns:r="http://schemas.openxmlformats.org/officeDocument/2006/relationships" r:id="rId95"/>
          <a:extLst>
            <a:ext uri="{FF2B5EF4-FFF2-40B4-BE49-F238E27FC236}">
              <a16:creationId xmlns:a16="http://schemas.microsoft.com/office/drawing/2014/main" id="{00000000-0008-0000-0400-00004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3" name="Picture 29" descr="Italia">
          <a:hlinkClick xmlns:r="http://schemas.openxmlformats.org/officeDocument/2006/relationships" r:id="rId96"/>
          <a:extLst>
            <a:ext uri="{FF2B5EF4-FFF2-40B4-BE49-F238E27FC236}">
              <a16:creationId xmlns:a16="http://schemas.microsoft.com/office/drawing/2014/main" id="{00000000-0008-0000-0400-00004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4" name="Picture 30" descr="Deutschland">
          <a:hlinkClick xmlns:r="http://schemas.openxmlformats.org/officeDocument/2006/relationships" r:id="rId102"/>
          <a:extLst>
            <a:ext uri="{FF2B5EF4-FFF2-40B4-BE49-F238E27FC236}">
              <a16:creationId xmlns:a16="http://schemas.microsoft.com/office/drawing/2014/main" id="{00000000-0008-0000-0400-00004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5" name="Picture 32" descr="Israel">
          <a:hlinkClick xmlns:r="http://schemas.openxmlformats.org/officeDocument/2006/relationships" r:id="rId103"/>
          <a:extLst>
            <a:ext uri="{FF2B5EF4-FFF2-40B4-BE49-F238E27FC236}">
              <a16:creationId xmlns:a16="http://schemas.microsoft.com/office/drawing/2014/main" id="{00000000-0008-0000-0400-00004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6" name="Picture 33" descr="Slovensko">
          <a:hlinkClick xmlns:r="http://schemas.openxmlformats.org/officeDocument/2006/relationships" r:id="rId104"/>
          <a:extLst>
            <a:ext uri="{FF2B5EF4-FFF2-40B4-BE49-F238E27FC236}">
              <a16:creationId xmlns:a16="http://schemas.microsoft.com/office/drawing/2014/main" id="{00000000-0008-0000-0400-00004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1607" name="Picture 36" descr="España">
          <a:hlinkClick xmlns:r="http://schemas.openxmlformats.org/officeDocument/2006/relationships" r:id="rId77"/>
          <a:extLst>
            <a:ext uri="{FF2B5EF4-FFF2-40B4-BE49-F238E27FC236}">
              <a16:creationId xmlns:a16="http://schemas.microsoft.com/office/drawing/2014/main" id="{00000000-0008-0000-0400-00004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608" name="Picture 36" descr="España">
          <a:hlinkClick xmlns:r="http://schemas.openxmlformats.org/officeDocument/2006/relationships" r:id="rId77"/>
          <a:extLst>
            <a:ext uri="{FF2B5EF4-FFF2-40B4-BE49-F238E27FC236}">
              <a16:creationId xmlns:a16="http://schemas.microsoft.com/office/drawing/2014/main" id="{00000000-0008-0000-0400-00004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09" name="Picture 18" descr="Nederland">
          <a:hlinkClick xmlns:r="http://schemas.openxmlformats.org/officeDocument/2006/relationships" r:id="rId10"/>
          <a:extLst>
            <a:ext uri="{FF2B5EF4-FFF2-40B4-BE49-F238E27FC236}">
              <a16:creationId xmlns:a16="http://schemas.microsoft.com/office/drawing/2014/main" id="{00000000-0008-0000-0400-00004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0" name="Picture 29" descr="Belgium">
          <a:hlinkClick xmlns:r="http://schemas.openxmlformats.org/officeDocument/2006/relationships" r:id="rId15"/>
          <a:extLst>
            <a:ext uri="{FF2B5EF4-FFF2-40B4-BE49-F238E27FC236}">
              <a16:creationId xmlns:a16="http://schemas.microsoft.com/office/drawing/2014/main" id="{00000000-0008-0000-0400-00004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1" name="Picture 16" descr="Colombia">
          <a:hlinkClick xmlns:r="http://schemas.openxmlformats.org/officeDocument/2006/relationships" r:id="rId21"/>
          <a:extLst>
            <a:ext uri="{FF2B5EF4-FFF2-40B4-BE49-F238E27FC236}">
              <a16:creationId xmlns:a16="http://schemas.microsoft.com/office/drawing/2014/main" id="{00000000-0008-0000-0400-00004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2" name="Picture 30" descr="España">
          <a:hlinkClick xmlns:r="http://schemas.openxmlformats.org/officeDocument/2006/relationships" r:id="rId17"/>
          <a:extLst>
            <a:ext uri="{FF2B5EF4-FFF2-40B4-BE49-F238E27FC236}">
              <a16:creationId xmlns:a16="http://schemas.microsoft.com/office/drawing/2014/main" id="{00000000-0008-0000-0400-00004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3" name="Picture 36" descr="España">
          <a:hlinkClick xmlns:r="http://schemas.openxmlformats.org/officeDocument/2006/relationships" r:id="rId17"/>
          <a:extLst>
            <a:ext uri="{FF2B5EF4-FFF2-40B4-BE49-F238E27FC236}">
              <a16:creationId xmlns:a16="http://schemas.microsoft.com/office/drawing/2014/main" id="{00000000-0008-0000-0400-00004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4" name="Picture 42" descr="Portugal">
          <a:hlinkClick xmlns:r="http://schemas.openxmlformats.org/officeDocument/2006/relationships" r:id="rId22"/>
          <a:extLst>
            <a:ext uri="{FF2B5EF4-FFF2-40B4-BE49-F238E27FC236}">
              <a16:creationId xmlns:a16="http://schemas.microsoft.com/office/drawing/2014/main" id="{00000000-0008-0000-0400-00004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5" name="Picture 11" descr="Deutschland">
          <a:hlinkClick xmlns:r="http://schemas.openxmlformats.org/officeDocument/2006/relationships" r:id="rId34"/>
          <a:extLst>
            <a:ext uri="{FF2B5EF4-FFF2-40B4-BE49-F238E27FC236}">
              <a16:creationId xmlns:a16="http://schemas.microsoft.com/office/drawing/2014/main" id="{00000000-0008-0000-0400-00004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6" name="Picture 22" descr="Deutschland">
          <a:hlinkClick xmlns:r="http://schemas.openxmlformats.org/officeDocument/2006/relationships" r:id="rId34"/>
          <a:extLst>
            <a:ext uri="{FF2B5EF4-FFF2-40B4-BE49-F238E27FC236}">
              <a16:creationId xmlns:a16="http://schemas.microsoft.com/office/drawing/2014/main" id="{00000000-0008-0000-0400-00005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7" name="Picture 28" descr="España">
          <a:hlinkClick xmlns:r="http://schemas.openxmlformats.org/officeDocument/2006/relationships" r:id="rId31"/>
          <a:extLst>
            <a:ext uri="{FF2B5EF4-FFF2-40B4-BE49-F238E27FC236}">
              <a16:creationId xmlns:a16="http://schemas.microsoft.com/office/drawing/2014/main" id="{00000000-0008-0000-0400-00005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8" name="Picture 34" descr="România">
          <a:hlinkClick xmlns:r="http://schemas.openxmlformats.org/officeDocument/2006/relationships" r:id="rId44"/>
          <a:extLst>
            <a:ext uri="{FF2B5EF4-FFF2-40B4-BE49-F238E27FC236}">
              <a16:creationId xmlns:a16="http://schemas.microsoft.com/office/drawing/2014/main" id="{00000000-0008-0000-0400-00005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9" name="Picture 11" descr="Deutschland">
          <a:hlinkClick xmlns:r="http://schemas.openxmlformats.org/officeDocument/2006/relationships" r:id="rId48"/>
          <a:extLst>
            <a:ext uri="{FF2B5EF4-FFF2-40B4-BE49-F238E27FC236}">
              <a16:creationId xmlns:a16="http://schemas.microsoft.com/office/drawing/2014/main" id="{00000000-0008-0000-0400-00005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0" name="Picture 23" descr="España">
          <a:hlinkClick xmlns:r="http://schemas.openxmlformats.org/officeDocument/2006/relationships" r:id="rId45"/>
          <a:extLst>
            <a:ext uri="{FF2B5EF4-FFF2-40B4-BE49-F238E27FC236}">
              <a16:creationId xmlns:a16="http://schemas.microsoft.com/office/drawing/2014/main" id="{00000000-0008-0000-0400-00005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1" name="Picture 29" descr="España">
          <a:hlinkClick xmlns:r="http://schemas.openxmlformats.org/officeDocument/2006/relationships" r:id="rId45"/>
          <a:extLst>
            <a:ext uri="{FF2B5EF4-FFF2-40B4-BE49-F238E27FC236}">
              <a16:creationId xmlns:a16="http://schemas.microsoft.com/office/drawing/2014/main" id="{00000000-0008-0000-0400-00005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2" name="Picture 35" descr="España">
          <a:hlinkClick xmlns:r="http://schemas.openxmlformats.org/officeDocument/2006/relationships" r:id="rId45"/>
          <a:extLst>
            <a:ext uri="{FF2B5EF4-FFF2-40B4-BE49-F238E27FC236}">
              <a16:creationId xmlns:a16="http://schemas.microsoft.com/office/drawing/2014/main" id="{00000000-0008-0000-0400-00005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3" name="Picture 11" descr="Deutschland">
          <a:hlinkClick xmlns:r="http://schemas.openxmlformats.org/officeDocument/2006/relationships" r:id="rId12"/>
          <a:extLst>
            <a:ext uri="{FF2B5EF4-FFF2-40B4-BE49-F238E27FC236}">
              <a16:creationId xmlns:a16="http://schemas.microsoft.com/office/drawing/2014/main" id="{00000000-0008-0000-0400-00005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4" name="Picture 23" descr="España">
          <a:hlinkClick xmlns:r="http://schemas.openxmlformats.org/officeDocument/2006/relationships" r:id="rId1"/>
          <a:extLst>
            <a:ext uri="{FF2B5EF4-FFF2-40B4-BE49-F238E27FC236}">
              <a16:creationId xmlns:a16="http://schemas.microsoft.com/office/drawing/2014/main" id="{00000000-0008-0000-0400-00005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5" name="Picture 27" descr="España">
          <a:hlinkClick xmlns:r="http://schemas.openxmlformats.org/officeDocument/2006/relationships" r:id="rId1"/>
          <a:extLst>
            <a:ext uri="{FF2B5EF4-FFF2-40B4-BE49-F238E27FC236}">
              <a16:creationId xmlns:a16="http://schemas.microsoft.com/office/drawing/2014/main" id="{00000000-0008-0000-0400-00005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6" name="Picture 34" descr="España">
          <a:hlinkClick xmlns:r="http://schemas.openxmlformats.org/officeDocument/2006/relationships" r:id="rId1"/>
          <a:extLst>
            <a:ext uri="{FF2B5EF4-FFF2-40B4-BE49-F238E27FC236}">
              <a16:creationId xmlns:a16="http://schemas.microsoft.com/office/drawing/2014/main" id="{00000000-0008-0000-0400-00005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7" name="Picture 11" descr="Deutschland">
          <a:hlinkClick xmlns:r="http://schemas.openxmlformats.org/officeDocument/2006/relationships" r:id="rId66"/>
          <a:extLst>
            <a:ext uri="{FF2B5EF4-FFF2-40B4-BE49-F238E27FC236}">
              <a16:creationId xmlns:a16="http://schemas.microsoft.com/office/drawing/2014/main" id="{00000000-0008-0000-0400-00005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8" name="Picture 24" descr="España">
          <a:hlinkClick xmlns:r="http://schemas.openxmlformats.org/officeDocument/2006/relationships" r:id="rId63"/>
          <a:extLst>
            <a:ext uri="{FF2B5EF4-FFF2-40B4-BE49-F238E27FC236}">
              <a16:creationId xmlns:a16="http://schemas.microsoft.com/office/drawing/2014/main" id="{00000000-0008-0000-0400-00005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9" name="Picture 29" descr="España">
          <a:hlinkClick xmlns:r="http://schemas.openxmlformats.org/officeDocument/2006/relationships" r:id="rId63"/>
          <a:extLst>
            <a:ext uri="{FF2B5EF4-FFF2-40B4-BE49-F238E27FC236}">
              <a16:creationId xmlns:a16="http://schemas.microsoft.com/office/drawing/2014/main" id="{00000000-0008-0000-0400-00005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0" name="Picture 36" descr="España">
          <a:hlinkClick xmlns:r="http://schemas.openxmlformats.org/officeDocument/2006/relationships" r:id="rId63"/>
          <a:extLst>
            <a:ext uri="{FF2B5EF4-FFF2-40B4-BE49-F238E27FC236}">
              <a16:creationId xmlns:a16="http://schemas.microsoft.com/office/drawing/2014/main" id="{00000000-0008-0000-0400-00005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1" name="Picture 11" descr="Deutschland">
          <a:hlinkClick xmlns:r="http://schemas.openxmlformats.org/officeDocument/2006/relationships" r:id="rId79"/>
          <a:extLst>
            <a:ext uri="{FF2B5EF4-FFF2-40B4-BE49-F238E27FC236}">
              <a16:creationId xmlns:a16="http://schemas.microsoft.com/office/drawing/2014/main" id="{00000000-0008-0000-0400-00005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2" name="Picture 23" descr="Slovenija">
          <a:hlinkClick xmlns:r="http://schemas.openxmlformats.org/officeDocument/2006/relationships" r:id="rId87"/>
          <a:extLst>
            <a:ext uri="{FF2B5EF4-FFF2-40B4-BE49-F238E27FC236}">
              <a16:creationId xmlns:a16="http://schemas.microsoft.com/office/drawing/2014/main" id="{00000000-0008-0000-0400-00006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3" name="Picture 27" descr="Polska">
          <a:hlinkClick xmlns:r="http://schemas.openxmlformats.org/officeDocument/2006/relationships" r:id="rId85"/>
          <a:extLst>
            <a:ext uri="{FF2B5EF4-FFF2-40B4-BE49-F238E27FC236}">
              <a16:creationId xmlns:a16="http://schemas.microsoft.com/office/drawing/2014/main" id="{00000000-0008-0000-0400-00006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4" name="Picture 32" descr="España">
          <a:hlinkClick xmlns:r="http://schemas.openxmlformats.org/officeDocument/2006/relationships" r:id="rId77"/>
          <a:extLst>
            <a:ext uri="{FF2B5EF4-FFF2-40B4-BE49-F238E27FC236}">
              <a16:creationId xmlns:a16="http://schemas.microsoft.com/office/drawing/2014/main" id="{00000000-0008-0000-0400-00006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5" name="Picture 14" descr="España">
          <a:hlinkClick xmlns:r="http://schemas.openxmlformats.org/officeDocument/2006/relationships" r:id="rId1"/>
          <a:extLst>
            <a:ext uri="{FF2B5EF4-FFF2-40B4-BE49-F238E27FC236}">
              <a16:creationId xmlns:a16="http://schemas.microsoft.com/office/drawing/2014/main" id="{00000000-0008-0000-0400-00006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6" name="Picture 16" descr="Nederland">
          <a:hlinkClick xmlns:r="http://schemas.openxmlformats.org/officeDocument/2006/relationships" r:id="rId10"/>
          <a:extLst>
            <a:ext uri="{FF2B5EF4-FFF2-40B4-BE49-F238E27FC236}">
              <a16:creationId xmlns:a16="http://schemas.microsoft.com/office/drawing/2014/main" id="{00000000-0008-0000-0400-00006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7" name="Picture 17" descr="Polska">
          <a:hlinkClick xmlns:r="http://schemas.openxmlformats.org/officeDocument/2006/relationships" r:id="rId5"/>
          <a:extLst>
            <a:ext uri="{FF2B5EF4-FFF2-40B4-BE49-F238E27FC236}">
              <a16:creationId xmlns:a16="http://schemas.microsoft.com/office/drawing/2014/main" id="{00000000-0008-0000-0400-00006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8" name="Picture 19" descr="Danmark">
          <a:hlinkClick xmlns:r="http://schemas.openxmlformats.org/officeDocument/2006/relationships" r:id="rId11"/>
          <a:extLst>
            <a:ext uri="{FF2B5EF4-FFF2-40B4-BE49-F238E27FC236}">
              <a16:creationId xmlns:a16="http://schemas.microsoft.com/office/drawing/2014/main" id="{00000000-0008-0000-0400-00006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9" name="Picture 20" descr="España">
          <a:hlinkClick xmlns:r="http://schemas.openxmlformats.org/officeDocument/2006/relationships" r:id="rId1"/>
          <a:extLst>
            <a:ext uri="{FF2B5EF4-FFF2-40B4-BE49-F238E27FC236}">
              <a16:creationId xmlns:a16="http://schemas.microsoft.com/office/drawing/2014/main" id="{00000000-0008-0000-0400-00006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0" name="Picture 21" descr="Deutschland">
          <a:hlinkClick xmlns:r="http://schemas.openxmlformats.org/officeDocument/2006/relationships" r:id="rId12"/>
          <a:extLst>
            <a:ext uri="{FF2B5EF4-FFF2-40B4-BE49-F238E27FC236}">
              <a16:creationId xmlns:a16="http://schemas.microsoft.com/office/drawing/2014/main" id="{00000000-0008-0000-0400-00006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1" name="Picture 22" descr="España">
          <a:hlinkClick xmlns:r="http://schemas.openxmlformats.org/officeDocument/2006/relationships" r:id="rId1"/>
          <a:extLst>
            <a:ext uri="{FF2B5EF4-FFF2-40B4-BE49-F238E27FC236}">
              <a16:creationId xmlns:a16="http://schemas.microsoft.com/office/drawing/2014/main" id="{00000000-0008-0000-0400-00006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2" name="Picture 23" descr="España">
          <a:hlinkClick xmlns:r="http://schemas.openxmlformats.org/officeDocument/2006/relationships" r:id="rId1"/>
          <a:extLst>
            <a:ext uri="{FF2B5EF4-FFF2-40B4-BE49-F238E27FC236}">
              <a16:creationId xmlns:a16="http://schemas.microsoft.com/office/drawing/2014/main" id="{00000000-0008-0000-0400-00006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3" name="Picture 24" descr="España">
          <a:hlinkClick xmlns:r="http://schemas.openxmlformats.org/officeDocument/2006/relationships" r:id="rId1"/>
          <a:extLst>
            <a:ext uri="{FF2B5EF4-FFF2-40B4-BE49-F238E27FC236}">
              <a16:creationId xmlns:a16="http://schemas.microsoft.com/office/drawing/2014/main" id="{00000000-0008-0000-0400-00006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4" name="Picture 25" descr="Israel">
          <a:hlinkClick xmlns:r="http://schemas.openxmlformats.org/officeDocument/2006/relationships" r:id="rId13"/>
          <a:extLst>
            <a:ext uri="{FF2B5EF4-FFF2-40B4-BE49-F238E27FC236}">
              <a16:creationId xmlns:a16="http://schemas.microsoft.com/office/drawing/2014/main" id="{00000000-0008-0000-0400-00006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5" name="Picture 26" descr="España">
          <a:hlinkClick xmlns:r="http://schemas.openxmlformats.org/officeDocument/2006/relationships" r:id="rId1"/>
          <a:extLst>
            <a:ext uri="{FF2B5EF4-FFF2-40B4-BE49-F238E27FC236}">
              <a16:creationId xmlns:a16="http://schemas.microsoft.com/office/drawing/2014/main" id="{00000000-0008-0000-0400-00006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6" name="Picture 27" descr="Việt Nam">
          <a:hlinkClick xmlns:r="http://schemas.openxmlformats.org/officeDocument/2006/relationships" r:id="rId14"/>
          <a:extLst>
            <a:ext uri="{FF2B5EF4-FFF2-40B4-BE49-F238E27FC236}">
              <a16:creationId xmlns:a16="http://schemas.microsoft.com/office/drawing/2014/main" id="{00000000-0008-0000-0400-00006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7" name="Picture 28" descr="Italia">
          <a:hlinkClick xmlns:r="http://schemas.openxmlformats.org/officeDocument/2006/relationships" r:id="rId4"/>
          <a:extLst>
            <a:ext uri="{FF2B5EF4-FFF2-40B4-BE49-F238E27FC236}">
              <a16:creationId xmlns:a16="http://schemas.microsoft.com/office/drawing/2014/main" id="{00000000-0008-0000-0400-00006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8" name="Picture 30" descr="España">
          <a:hlinkClick xmlns:r="http://schemas.openxmlformats.org/officeDocument/2006/relationships" r:id="rId1"/>
          <a:extLst>
            <a:ext uri="{FF2B5EF4-FFF2-40B4-BE49-F238E27FC236}">
              <a16:creationId xmlns:a16="http://schemas.microsoft.com/office/drawing/2014/main" id="{00000000-0008-0000-0400-00007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9" name="Picture 32" descr="Portugal">
          <a:hlinkClick xmlns:r="http://schemas.openxmlformats.org/officeDocument/2006/relationships" r:id="rId16"/>
          <a:extLst>
            <a:ext uri="{FF2B5EF4-FFF2-40B4-BE49-F238E27FC236}">
              <a16:creationId xmlns:a16="http://schemas.microsoft.com/office/drawing/2014/main" id="{00000000-0008-0000-0400-00007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0" name="Picture 12" descr="Suomi">
          <a:hlinkClick xmlns:r="http://schemas.openxmlformats.org/officeDocument/2006/relationships" r:id="rId19"/>
          <a:extLst>
            <a:ext uri="{FF2B5EF4-FFF2-40B4-BE49-F238E27FC236}">
              <a16:creationId xmlns:a16="http://schemas.microsoft.com/office/drawing/2014/main" id="{00000000-0008-0000-0400-00007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1" name="Picture 14" descr="Deutschland">
          <a:hlinkClick xmlns:r="http://schemas.openxmlformats.org/officeDocument/2006/relationships" r:id="rId20"/>
          <a:extLst>
            <a:ext uri="{FF2B5EF4-FFF2-40B4-BE49-F238E27FC236}">
              <a16:creationId xmlns:a16="http://schemas.microsoft.com/office/drawing/2014/main" id="{00000000-0008-0000-0400-00007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2" name="Picture 15" descr="España">
          <a:hlinkClick xmlns:r="http://schemas.openxmlformats.org/officeDocument/2006/relationships" r:id="rId17"/>
          <a:extLst>
            <a:ext uri="{FF2B5EF4-FFF2-40B4-BE49-F238E27FC236}">
              <a16:creationId xmlns:a16="http://schemas.microsoft.com/office/drawing/2014/main" id="{00000000-0008-0000-0400-00007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3" name="Picture 17" descr="Portugal">
          <a:hlinkClick xmlns:r="http://schemas.openxmlformats.org/officeDocument/2006/relationships" r:id="rId22"/>
          <a:extLst>
            <a:ext uri="{FF2B5EF4-FFF2-40B4-BE49-F238E27FC236}">
              <a16:creationId xmlns:a16="http://schemas.microsoft.com/office/drawing/2014/main" id="{00000000-0008-0000-0400-00007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4" name="Picture 18" descr="Nederland">
          <a:hlinkClick xmlns:r="http://schemas.openxmlformats.org/officeDocument/2006/relationships" r:id="rId23"/>
          <a:extLst>
            <a:ext uri="{FF2B5EF4-FFF2-40B4-BE49-F238E27FC236}">
              <a16:creationId xmlns:a16="http://schemas.microsoft.com/office/drawing/2014/main" id="{00000000-0008-0000-0400-00007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5" name="Picture 19" descr="Northern Ireland">
          <a:hlinkClick xmlns:r="http://schemas.openxmlformats.org/officeDocument/2006/relationships" r:id="rId24"/>
          <a:extLst>
            <a:ext uri="{FF2B5EF4-FFF2-40B4-BE49-F238E27FC236}">
              <a16:creationId xmlns:a16="http://schemas.microsoft.com/office/drawing/2014/main" id="{00000000-0008-0000-0400-00007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6" name="Picture 20" descr="China">
          <a:hlinkClick xmlns:r="http://schemas.openxmlformats.org/officeDocument/2006/relationships" r:id="rId25"/>
          <a:extLst>
            <a:ext uri="{FF2B5EF4-FFF2-40B4-BE49-F238E27FC236}">
              <a16:creationId xmlns:a16="http://schemas.microsoft.com/office/drawing/2014/main" id="{00000000-0008-0000-0400-00007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7" name="Picture 21" descr="Polska">
          <a:hlinkClick xmlns:r="http://schemas.openxmlformats.org/officeDocument/2006/relationships" r:id="rId26"/>
          <a:extLst>
            <a:ext uri="{FF2B5EF4-FFF2-40B4-BE49-F238E27FC236}">
              <a16:creationId xmlns:a16="http://schemas.microsoft.com/office/drawing/2014/main" id="{00000000-0008-0000-0400-00007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8" name="Picture 23" descr="Nederland">
          <a:hlinkClick xmlns:r="http://schemas.openxmlformats.org/officeDocument/2006/relationships" r:id="rId23"/>
          <a:extLst>
            <a:ext uri="{FF2B5EF4-FFF2-40B4-BE49-F238E27FC236}">
              <a16:creationId xmlns:a16="http://schemas.microsoft.com/office/drawing/2014/main" id="{00000000-0008-0000-0400-00007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9" name="Picture 25" descr="Danmark">
          <a:hlinkClick xmlns:r="http://schemas.openxmlformats.org/officeDocument/2006/relationships" r:id="rId27"/>
          <a:extLst>
            <a:ext uri="{FF2B5EF4-FFF2-40B4-BE49-F238E27FC236}">
              <a16:creationId xmlns:a16="http://schemas.microsoft.com/office/drawing/2014/main" id="{00000000-0008-0000-0400-00007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0" name="Picture 26" descr="España">
          <a:hlinkClick xmlns:r="http://schemas.openxmlformats.org/officeDocument/2006/relationships" r:id="rId17"/>
          <a:extLst>
            <a:ext uri="{FF2B5EF4-FFF2-40B4-BE49-F238E27FC236}">
              <a16:creationId xmlns:a16="http://schemas.microsoft.com/office/drawing/2014/main" id="{00000000-0008-0000-0400-00007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1" name="Picture 27" descr="Deutschland">
          <a:hlinkClick xmlns:r="http://schemas.openxmlformats.org/officeDocument/2006/relationships" r:id="rId20"/>
          <a:extLst>
            <a:ext uri="{FF2B5EF4-FFF2-40B4-BE49-F238E27FC236}">
              <a16:creationId xmlns:a16="http://schemas.microsoft.com/office/drawing/2014/main" id="{00000000-0008-0000-0400-00007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2" name="Picture 28" descr="Polska">
          <a:hlinkClick xmlns:r="http://schemas.openxmlformats.org/officeDocument/2006/relationships" r:id="rId26"/>
          <a:extLst>
            <a:ext uri="{FF2B5EF4-FFF2-40B4-BE49-F238E27FC236}">
              <a16:creationId xmlns:a16="http://schemas.microsoft.com/office/drawing/2014/main" id="{00000000-0008-0000-0400-00007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3" name="Picture 31" descr="España">
          <a:hlinkClick xmlns:r="http://schemas.openxmlformats.org/officeDocument/2006/relationships" r:id="rId17"/>
          <a:extLst>
            <a:ext uri="{FF2B5EF4-FFF2-40B4-BE49-F238E27FC236}">
              <a16:creationId xmlns:a16="http://schemas.microsoft.com/office/drawing/2014/main" id="{00000000-0008-0000-0400-00007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4" name="Picture 33" descr="España">
          <a:hlinkClick xmlns:r="http://schemas.openxmlformats.org/officeDocument/2006/relationships" r:id="rId17"/>
          <a:extLst>
            <a:ext uri="{FF2B5EF4-FFF2-40B4-BE49-F238E27FC236}">
              <a16:creationId xmlns:a16="http://schemas.microsoft.com/office/drawing/2014/main" id="{00000000-0008-0000-0400-00008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5" name="Picture 37" descr="Việt Nam">
          <a:hlinkClick xmlns:r="http://schemas.openxmlformats.org/officeDocument/2006/relationships" r:id="rId28"/>
          <a:extLst>
            <a:ext uri="{FF2B5EF4-FFF2-40B4-BE49-F238E27FC236}">
              <a16:creationId xmlns:a16="http://schemas.microsoft.com/office/drawing/2014/main" id="{00000000-0008-0000-0400-00008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6" name="Picture 38" descr="Italia">
          <a:hlinkClick xmlns:r="http://schemas.openxmlformats.org/officeDocument/2006/relationships" r:id="rId29"/>
          <a:extLst>
            <a:ext uri="{FF2B5EF4-FFF2-40B4-BE49-F238E27FC236}">
              <a16:creationId xmlns:a16="http://schemas.microsoft.com/office/drawing/2014/main" id="{00000000-0008-0000-0400-00008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7" name="Picture 39" descr="España">
          <a:hlinkClick xmlns:r="http://schemas.openxmlformats.org/officeDocument/2006/relationships" r:id="rId17"/>
          <a:extLst>
            <a:ext uri="{FF2B5EF4-FFF2-40B4-BE49-F238E27FC236}">
              <a16:creationId xmlns:a16="http://schemas.microsoft.com/office/drawing/2014/main" id="{00000000-0008-0000-0400-00008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8" name="Picture 7" descr="España">
          <a:hlinkClick xmlns:r="http://schemas.openxmlformats.org/officeDocument/2006/relationships" r:id="rId31"/>
          <a:extLst>
            <a:ext uri="{FF2B5EF4-FFF2-40B4-BE49-F238E27FC236}">
              <a16:creationId xmlns:a16="http://schemas.microsoft.com/office/drawing/2014/main" id="{00000000-0008-0000-0400-00008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9" name="Picture 9" descr="España">
          <a:hlinkClick xmlns:r="http://schemas.openxmlformats.org/officeDocument/2006/relationships" r:id="rId31"/>
          <a:extLst>
            <a:ext uri="{FF2B5EF4-FFF2-40B4-BE49-F238E27FC236}">
              <a16:creationId xmlns:a16="http://schemas.microsoft.com/office/drawing/2014/main" id="{00000000-0008-0000-0400-00008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0" name="Picture 10" descr="Suomi">
          <a:hlinkClick xmlns:r="http://schemas.openxmlformats.org/officeDocument/2006/relationships" r:id="rId33"/>
          <a:extLst>
            <a:ext uri="{FF2B5EF4-FFF2-40B4-BE49-F238E27FC236}">
              <a16:creationId xmlns:a16="http://schemas.microsoft.com/office/drawing/2014/main" id="{00000000-0008-0000-0400-00008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1" name="Picture 12" descr="Deutschland">
          <a:hlinkClick xmlns:r="http://schemas.openxmlformats.org/officeDocument/2006/relationships" r:id="rId34"/>
          <a:extLst>
            <a:ext uri="{FF2B5EF4-FFF2-40B4-BE49-F238E27FC236}">
              <a16:creationId xmlns:a16="http://schemas.microsoft.com/office/drawing/2014/main" id="{00000000-0008-0000-0400-00008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2" name="Picture 13" descr="España">
          <a:hlinkClick xmlns:r="http://schemas.openxmlformats.org/officeDocument/2006/relationships" r:id="rId31"/>
          <a:extLst>
            <a:ext uri="{FF2B5EF4-FFF2-40B4-BE49-F238E27FC236}">
              <a16:creationId xmlns:a16="http://schemas.microsoft.com/office/drawing/2014/main" id="{00000000-0008-0000-0400-00008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3" name="Picture 14" descr="Colombia">
          <a:hlinkClick xmlns:r="http://schemas.openxmlformats.org/officeDocument/2006/relationships" r:id="rId35"/>
          <a:extLst>
            <a:ext uri="{FF2B5EF4-FFF2-40B4-BE49-F238E27FC236}">
              <a16:creationId xmlns:a16="http://schemas.microsoft.com/office/drawing/2014/main" id="{00000000-0008-0000-0400-00008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4" name="Picture 15" descr="Portugal">
          <a:hlinkClick xmlns:r="http://schemas.openxmlformats.org/officeDocument/2006/relationships" r:id="rId36"/>
          <a:extLst>
            <a:ext uri="{FF2B5EF4-FFF2-40B4-BE49-F238E27FC236}">
              <a16:creationId xmlns:a16="http://schemas.microsoft.com/office/drawing/2014/main" id="{00000000-0008-0000-0400-00008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5" name="Picture 16" descr="Nederland">
          <a:hlinkClick xmlns:r="http://schemas.openxmlformats.org/officeDocument/2006/relationships" r:id="rId37"/>
          <a:extLst>
            <a:ext uri="{FF2B5EF4-FFF2-40B4-BE49-F238E27FC236}">
              <a16:creationId xmlns:a16="http://schemas.microsoft.com/office/drawing/2014/main" id="{00000000-0008-0000-0400-00008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6" name="Picture 17" descr="Northern Ireland">
          <a:hlinkClick xmlns:r="http://schemas.openxmlformats.org/officeDocument/2006/relationships" r:id="rId38"/>
          <a:extLst>
            <a:ext uri="{FF2B5EF4-FFF2-40B4-BE49-F238E27FC236}">
              <a16:creationId xmlns:a16="http://schemas.microsoft.com/office/drawing/2014/main" id="{00000000-0008-0000-0400-00008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7" name="Picture 18" descr="China">
          <a:hlinkClick xmlns:r="http://schemas.openxmlformats.org/officeDocument/2006/relationships" r:id="rId39"/>
          <a:extLst>
            <a:ext uri="{FF2B5EF4-FFF2-40B4-BE49-F238E27FC236}">
              <a16:creationId xmlns:a16="http://schemas.microsoft.com/office/drawing/2014/main" id="{00000000-0008-0000-0400-00008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8" name="Picture 19" descr="Polska">
          <a:hlinkClick xmlns:r="http://schemas.openxmlformats.org/officeDocument/2006/relationships" r:id="rId40"/>
          <a:extLst>
            <a:ext uri="{FF2B5EF4-FFF2-40B4-BE49-F238E27FC236}">
              <a16:creationId xmlns:a16="http://schemas.microsoft.com/office/drawing/2014/main" id="{00000000-0008-0000-0400-00008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9" name="Picture 20" descr="Danmark">
          <a:hlinkClick xmlns:r="http://schemas.openxmlformats.org/officeDocument/2006/relationships" r:id="rId41"/>
          <a:extLst>
            <a:ext uri="{FF2B5EF4-FFF2-40B4-BE49-F238E27FC236}">
              <a16:creationId xmlns:a16="http://schemas.microsoft.com/office/drawing/2014/main" id="{00000000-0008-0000-0400-00008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0" name="Picture 21" descr="España">
          <a:hlinkClick xmlns:r="http://schemas.openxmlformats.org/officeDocument/2006/relationships" r:id="rId31"/>
          <a:extLst>
            <a:ext uri="{FF2B5EF4-FFF2-40B4-BE49-F238E27FC236}">
              <a16:creationId xmlns:a16="http://schemas.microsoft.com/office/drawing/2014/main" id="{00000000-0008-0000-0400-00009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1" name="Picture 24" descr="Polska">
          <a:hlinkClick xmlns:r="http://schemas.openxmlformats.org/officeDocument/2006/relationships" r:id="rId40"/>
          <a:extLst>
            <a:ext uri="{FF2B5EF4-FFF2-40B4-BE49-F238E27FC236}">
              <a16:creationId xmlns:a16="http://schemas.microsoft.com/office/drawing/2014/main" id="{00000000-0008-0000-0400-00009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2" name="Picture 27" descr="España">
          <a:hlinkClick xmlns:r="http://schemas.openxmlformats.org/officeDocument/2006/relationships" r:id="rId31"/>
          <a:extLst>
            <a:ext uri="{FF2B5EF4-FFF2-40B4-BE49-F238E27FC236}">
              <a16:creationId xmlns:a16="http://schemas.microsoft.com/office/drawing/2014/main" id="{00000000-0008-0000-0400-00009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3" name="Picture 29" descr="España">
          <a:hlinkClick xmlns:r="http://schemas.openxmlformats.org/officeDocument/2006/relationships" r:id="rId31"/>
          <a:extLst>
            <a:ext uri="{FF2B5EF4-FFF2-40B4-BE49-F238E27FC236}">
              <a16:creationId xmlns:a16="http://schemas.microsoft.com/office/drawing/2014/main" id="{00000000-0008-0000-0400-00009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4" name="Picture 30" descr="Việt Nam">
          <a:hlinkClick xmlns:r="http://schemas.openxmlformats.org/officeDocument/2006/relationships" r:id="rId42"/>
          <a:extLst>
            <a:ext uri="{FF2B5EF4-FFF2-40B4-BE49-F238E27FC236}">
              <a16:creationId xmlns:a16="http://schemas.microsoft.com/office/drawing/2014/main" id="{00000000-0008-0000-0400-00009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5" name="Picture 31" descr="Italia">
          <a:hlinkClick xmlns:r="http://schemas.openxmlformats.org/officeDocument/2006/relationships" r:id="rId43"/>
          <a:extLst>
            <a:ext uri="{FF2B5EF4-FFF2-40B4-BE49-F238E27FC236}">
              <a16:creationId xmlns:a16="http://schemas.microsoft.com/office/drawing/2014/main" id="{00000000-0008-0000-0400-00009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6" name="Picture 35" descr="España">
          <a:hlinkClick xmlns:r="http://schemas.openxmlformats.org/officeDocument/2006/relationships" r:id="rId31"/>
          <a:extLst>
            <a:ext uri="{FF2B5EF4-FFF2-40B4-BE49-F238E27FC236}">
              <a16:creationId xmlns:a16="http://schemas.microsoft.com/office/drawing/2014/main" id="{00000000-0008-0000-0400-00009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7" name="Picture 7" descr="España">
          <a:hlinkClick xmlns:r="http://schemas.openxmlformats.org/officeDocument/2006/relationships" r:id="rId45"/>
          <a:extLst>
            <a:ext uri="{FF2B5EF4-FFF2-40B4-BE49-F238E27FC236}">
              <a16:creationId xmlns:a16="http://schemas.microsoft.com/office/drawing/2014/main" id="{00000000-0008-0000-0400-00009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8" name="Picture 9" descr="España">
          <a:hlinkClick xmlns:r="http://schemas.openxmlformats.org/officeDocument/2006/relationships" r:id="rId45"/>
          <a:extLst>
            <a:ext uri="{FF2B5EF4-FFF2-40B4-BE49-F238E27FC236}">
              <a16:creationId xmlns:a16="http://schemas.microsoft.com/office/drawing/2014/main" id="{00000000-0008-0000-0400-00009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9" name="Picture 10" descr="Suomi">
          <a:hlinkClick xmlns:r="http://schemas.openxmlformats.org/officeDocument/2006/relationships" r:id="rId47"/>
          <a:extLst>
            <a:ext uri="{FF2B5EF4-FFF2-40B4-BE49-F238E27FC236}">
              <a16:creationId xmlns:a16="http://schemas.microsoft.com/office/drawing/2014/main" id="{00000000-0008-0000-0400-00009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0" name="Picture 12" descr="Deutschland">
          <a:hlinkClick xmlns:r="http://schemas.openxmlformats.org/officeDocument/2006/relationships" r:id="rId48"/>
          <a:extLst>
            <a:ext uri="{FF2B5EF4-FFF2-40B4-BE49-F238E27FC236}">
              <a16:creationId xmlns:a16="http://schemas.microsoft.com/office/drawing/2014/main" id="{00000000-0008-0000-0400-00009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1" name="Picture 13" descr="España">
          <a:hlinkClick xmlns:r="http://schemas.openxmlformats.org/officeDocument/2006/relationships" r:id="rId45"/>
          <a:extLst>
            <a:ext uri="{FF2B5EF4-FFF2-40B4-BE49-F238E27FC236}">
              <a16:creationId xmlns:a16="http://schemas.microsoft.com/office/drawing/2014/main" id="{00000000-0008-0000-0400-00009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2" name="Picture 14" descr="Colombia">
          <a:hlinkClick xmlns:r="http://schemas.openxmlformats.org/officeDocument/2006/relationships" r:id="rId49"/>
          <a:extLst>
            <a:ext uri="{FF2B5EF4-FFF2-40B4-BE49-F238E27FC236}">
              <a16:creationId xmlns:a16="http://schemas.microsoft.com/office/drawing/2014/main" id="{00000000-0008-0000-0400-00009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3" name="Picture 15" descr="Portugal">
          <a:hlinkClick xmlns:r="http://schemas.openxmlformats.org/officeDocument/2006/relationships" r:id="rId50"/>
          <a:extLst>
            <a:ext uri="{FF2B5EF4-FFF2-40B4-BE49-F238E27FC236}">
              <a16:creationId xmlns:a16="http://schemas.microsoft.com/office/drawing/2014/main" id="{00000000-0008-0000-0400-00009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4" name="Picture 16" descr="Nederland">
          <a:hlinkClick xmlns:r="http://schemas.openxmlformats.org/officeDocument/2006/relationships" r:id="rId51"/>
          <a:extLst>
            <a:ext uri="{FF2B5EF4-FFF2-40B4-BE49-F238E27FC236}">
              <a16:creationId xmlns:a16="http://schemas.microsoft.com/office/drawing/2014/main" id="{00000000-0008-0000-0400-00009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5" name="Picture 17" descr="Northern Ireland">
          <a:hlinkClick xmlns:r="http://schemas.openxmlformats.org/officeDocument/2006/relationships" r:id="rId52"/>
          <a:extLst>
            <a:ext uri="{FF2B5EF4-FFF2-40B4-BE49-F238E27FC236}">
              <a16:creationId xmlns:a16="http://schemas.microsoft.com/office/drawing/2014/main" id="{00000000-0008-0000-0400-00009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6" name="Picture 18" descr="China">
          <a:hlinkClick xmlns:r="http://schemas.openxmlformats.org/officeDocument/2006/relationships" r:id="rId53"/>
          <a:extLst>
            <a:ext uri="{FF2B5EF4-FFF2-40B4-BE49-F238E27FC236}">
              <a16:creationId xmlns:a16="http://schemas.microsoft.com/office/drawing/2014/main" id="{00000000-0008-0000-0400-0000A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7" name="Picture 19" descr="Polska">
          <a:hlinkClick xmlns:r="http://schemas.openxmlformats.org/officeDocument/2006/relationships" r:id="rId54"/>
          <a:extLst>
            <a:ext uri="{FF2B5EF4-FFF2-40B4-BE49-F238E27FC236}">
              <a16:creationId xmlns:a16="http://schemas.microsoft.com/office/drawing/2014/main" id="{00000000-0008-0000-0400-0000A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8" name="Picture 20" descr="Deutschland">
          <a:hlinkClick xmlns:r="http://schemas.openxmlformats.org/officeDocument/2006/relationships" r:id="rId48"/>
          <a:extLst>
            <a:ext uri="{FF2B5EF4-FFF2-40B4-BE49-F238E27FC236}">
              <a16:creationId xmlns:a16="http://schemas.microsoft.com/office/drawing/2014/main" id="{00000000-0008-0000-0400-0000A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9" name="Picture 22" descr="Danmark">
          <a:hlinkClick xmlns:r="http://schemas.openxmlformats.org/officeDocument/2006/relationships" r:id="rId55"/>
          <a:extLst>
            <a:ext uri="{FF2B5EF4-FFF2-40B4-BE49-F238E27FC236}">
              <a16:creationId xmlns:a16="http://schemas.microsoft.com/office/drawing/2014/main" id="{00000000-0008-0000-0400-0000A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0" name="Picture 24" descr="Deutschland">
          <a:hlinkClick xmlns:r="http://schemas.openxmlformats.org/officeDocument/2006/relationships" r:id="rId48"/>
          <a:extLst>
            <a:ext uri="{FF2B5EF4-FFF2-40B4-BE49-F238E27FC236}">
              <a16:creationId xmlns:a16="http://schemas.microsoft.com/office/drawing/2014/main" id="{00000000-0008-0000-0400-0000A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1" name="Picture 28" descr="España">
          <a:hlinkClick xmlns:r="http://schemas.openxmlformats.org/officeDocument/2006/relationships" r:id="rId45"/>
          <a:extLst>
            <a:ext uri="{FF2B5EF4-FFF2-40B4-BE49-F238E27FC236}">
              <a16:creationId xmlns:a16="http://schemas.microsoft.com/office/drawing/2014/main" id="{00000000-0008-0000-0400-0000A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2" name="Picture 30" descr="España">
          <a:hlinkClick xmlns:r="http://schemas.openxmlformats.org/officeDocument/2006/relationships" r:id="rId45"/>
          <a:extLst>
            <a:ext uri="{FF2B5EF4-FFF2-40B4-BE49-F238E27FC236}">
              <a16:creationId xmlns:a16="http://schemas.microsoft.com/office/drawing/2014/main" id="{00000000-0008-0000-0400-0000A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3" name="Picture 31" descr="España">
          <a:hlinkClick xmlns:r="http://schemas.openxmlformats.org/officeDocument/2006/relationships" r:id="rId45"/>
          <a:extLst>
            <a:ext uri="{FF2B5EF4-FFF2-40B4-BE49-F238E27FC236}">
              <a16:creationId xmlns:a16="http://schemas.microsoft.com/office/drawing/2014/main" id="{00000000-0008-0000-0400-0000A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4" name="Picture 32" descr="Việt Nam">
          <a:hlinkClick xmlns:r="http://schemas.openxmlformats.org/officeDocument/2006/relationships" r:id="rId56"/>
          <a:extLst>
            <a:ext uri="{FF2B5EF4-FFF2-40B4-BE49-F238E27FC236}">
              <a16:creationId xmlns:a16="http://schemas.microsoft.com/office/drawing/2014/main" id="{00000000-0008-0000-0400-0000A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5" name="Picture 36" descr="España">
          <a:hlinkClick xmlns:r="http://schemas.openxmlformats.org/officeDocument/2006/relationships" r:id="rId45"/>
          <a:extLst>
            <a:ext uri="{FF2B5EF4-FFF2-40B4-BE49-F238E27FC236}">
              <a16:creationId xmlns:a16="http://schemas.microsoft.com/office/drawing/2014/main" id="{00000000-0008-0000-0400-0000A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6" name="Picture 7" descr="España">
          <a:hlinkClick xmlns:r="http://schemas.openxmlformats.org/officeDocument/2006/relationships" r:id="rId1"/>
          <a:extLst>
            <a:ext uri="{FF2B5EF4-FFF2-40B4-BE49-F238E27FC236}">
              <a16:creationId xmlns:a16="http://schemas.microsoft.com/office/drawing/2014/main" id="{00000000-0008-0000-0400-0000A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7" name="Picture 9" descr="España">
          <a:hlinkClick xmlns:r="http://schemas.openxmlformats.org/officeDocument/2006/relationships" r:id="rId1"/>
          <a:extLst>
            <a:ext uri="{FF2B5EF4-FFF2-40B4-BE49-F238E27FC236}">
              <a16:creationId xmlns:a16="http://schemas.microsoft.com/office/drawing/2014/main" id="{00000000-0008-0000-0400-0000A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8" name="Picture 10" descr="Suomi">
          <a:hlinkClick xmlns:r="http://schemas.openxmlformats.org/officeDocument/2006/relationships" r:id="rId59"/>
          <a:extLst>
            <a:ext uri="{FF2B5EF4-FFF2-40B4-BE49-F238E27FC236}">
              <a16:creationId xmlns:a16="http://schemas.microsoft.com/office/drawing/2014/main" id="{00000000-0008-0000-0400-0000A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9" name="Picture 12" descr="Deutschland">
          <a:hlinkClick xmlns:r="http://schemas.openxmlformats.org/officeDocument/2006/relationships" r:id="rId12"/>
          <a:extLst>
            <a:ext uri="{FF2B5EF4-FFF2-40B4-BE49-F238E27FC236}">
              <a16:creationId xmlns:a16="http://schemas.microsoft.com/office/drawing/2014/main" id="{00000000-0008-0000-0400-0000A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0" name="Picture 13" descr="España">
          <a:hlinkClick xmlns:r="http://schemas.openxmlformats.org/officeDocument/2006/relationships" r:id="rId1"/>
          <a:extLst>
            <a:ext uri="{FF2B5EF4-FFF2-40B4-BE49-F238E27FC236}">
              <a16:creationId xmlns:a16="http://schemas.microsoft.com/office/drawing/2014/main" id="{00000000-0008-0000-0400-0000A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1" name="Picture 14" descr="Colombia">
          <a:hlinkClick xmlns:r="http://schemas.openxmlformats.org/officeDocument/2006/relationships" r:id="rId8"/>
          <a:extLst>
            <a:ext uri="{FF2B5EF4-FFF2-40B4-BE49-F238E27FC236}">
              <a16:creationId xmlns:a16="http://schemas.microsoft.com/office/drawing/2014/main" id="{00000000-0008-0000-0400-0000A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2" name="Picture 15" descr="Portugal">
          <a:hlinkClick xmlns:r="http://schemas.openxmlformats.org/officeDocument/2006/relationships" r:id="rId16"/>
          <a:extLst>
            <a:ext uri="{FF2B5EF4-FFF2-40B4-BE49-F238E27FC236}">
              <a16:creationId xmlns:a16="http://schemas.microsoft.com/office/drawing/2014/main" id="{00000000-0008-0000-0400-0000B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3" name="Picture 16" descr="Nederland">
          <a:hlinkClick xmlns:r="http://schemas.openxmlformats.org/officeDocument/2006/relationships" r:id="rId10"/>
          <a:extLst>
            <a:ext uri="{FF2B5EF4-FFF2-40B4-BE49-F238E27FC236}">
              <a16:creationId xmlns:a16="http://schemas.microsoft.com/office/drawing/2014/main" id="{00000000-0008-0000-0400-0000B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4" name="Picture 17" descr="Northern Ireland">
          <a:hlinkClick xmlns:r="http://schemas.openxmlformats.org/officeDocument/2006/relationships" r:id="rId60"/>
          <a:extLst>
            <a:ext uri="{FF2B5EF4-FFF2-40B4-BE49-F238E27FC236}">
              <a16:creationId xmlns:a16="http://schemas.microsoft.com/office/drawing/2014/main" id="{00000000-0008-0000-0400-0000B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5" name="Picture 18" descr="China">
          <a:hlinkClick xmlns:r="http://schemas.openxmlformats.org/officeDocument/2006/relationships" r:id="rId61"/>
          <a:extLst>
            <a:ext uri="{FF2B5EF4-FFF2-40B4-BE49-F238E27FC236}">
              <a16:creationId xmlns:a16="http://schemas.microsoft.com/office/drawing/2014/main" id="{00000000-0008-0000-0400-0000B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6" name="Picture 19" descr="Polska">
          <a:hlinkClick xmlns:r="http://schemas.openxmlformats.org/officeDocument/2006/relationships" r:id="rId5"/>
          <a:extLst>
            <a:ext uri="{FF2B5EF4-FFF2-40B4-BE49-F238E27FC236}">
              <a16:creationId xmlns:a16="http://schemas.microsoft.com/office/drawing/2014/main" id="{00000000-0008-0000-0400-0000B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7" name="Picture 20" descr="Deutschland">
          <a:hlinkClick xmlns:r="http://schemas.openxmlformats.org/officeDocument/2006/relationships" r:id="rId12"/>
          <a:extLst>
            <a:ext uri="{FF2B5EF4-FFF2-40B4-BE49-F238E27FC236}">
              <a16:creationId xmlns:a16="http://schemas.microsoft.com/office/drawing/2014/main" id="{00000000-0008-0000-0400-0000B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8" name="Picture 22" descr="Danmark">
          <a:hlinkClick xmlns:r="http://schemas.openxmlformats.org/officeDocument/2006/relationships" r:id="rId11"/>
          <a:extLst>
            <a:ext uri="{FF2B5EF4-FFF2-40B4-BE49-F238E27FC236}">
              <a16:creationId xmlns:a16="http://schemas.microsoft.com/office/drawing/2014/main" id="{00000000-0008-0000-0400-0000B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9" name="Picture 26" descr="España">
          <a:hlinkClick xmlns:r="http://schemas.openxmlformats.org/officeDocument/2006/relationships" r:id="rId1"/>
          <a:extLst>
            <a:ext uri="{FF2B5EF4-FFF2-40B4-BE49-F238E27FC236}">
              <a16:creationId xmlns:a16="http://schemas.microsoft.com/office/drawing/2014/main" id="{00000000-0008-0000-0400-0000B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0" name="Picture 28" descr="España">
          <a:hlinkClick xmlns:r="http://schemas.openxmlformats.org/officeDocument/2006/relationships" r:id="rId1"/>
          <a:extLst>
            <a:ext uri="{FF2B5EF4-FFF2-40B4-BE49-F238E27FC236}">
              <a16:creationId xmlns:a16="http://schemas.microsoft.com/office/drawing/2014/main" id="{00000000-0008-0000-0400-0000B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1" name="Picture 30" descr="España">
          <a:hlinkClick xmlns:r="http://schemas.openxmlformats.org/officeDocument/2006/relationships" r:id="rId1"/>
          <a:extLst>
            <a:ext uri="{FF2B5EF4-FFF2-40B4-BE49-F238E27FC236}">
              <a16:creationId xmlns:a16="http://schemas.microsoft.com/office/drawing/2014/main" id="{00000000-0008-0000-0400-0000B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2" name="Picture 35" descr="España">
          <a:hlinkClick xmlns:r="http://schemas.openxmlformats.org/officeDocument/2006/relationships" r:id="rId1"/>
          <a:extLst>
            <a:ext uri="{FF2B5EF4-FFF2-40B4-BE49-F238E27FC236}">
              <a16:creationId xmlns:a16="http://schemas.microsoft.com/office/drawing/2014/main" id="{00000000-0008-0000-0400-0000B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3" name="Picture 7" descr="España">
          <a:hlinkClick xmlns:r="http://schemas.openxmlformats.org/officeDocument/2006/relationships" r:id="rId63"/>
          <a:extLst>
            <a:ext uri="{FF2B5EF4-FFF2-40B4-BE49-F238E27FC236}">
              <a16:creationId xmlns:a16="http://schemas.microsoft.com/office/drawing/2014/main" id="{00000000-0008-0000-0400-0000B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4" name="Picture 9" descr="España">
          <a:hlinkClick xmlns:r="http://schemas.openxmlformats.org/officeDocument/2006/relationships" r:id="rId63"/>
          <a:extLst>
            <a:ext uri="{FF2B5EF4-FFF2-40B4-BE49-F238E27FC236}">
              <a16:creationId xmlns:a16="http://schemas.microsoft.com/office/drawing/2014/main" id="{00000000-0008-0000-0400-0000B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5" name="Picture 10" descr="Suomi">
          <a:hlinkClick xmlns:r="http://schemas.openxmlformats.org/officeDocument/2006/relationships" r:id="rId65"/>
          <a:extLst>
            <a:ext uri="{FF2B5EF4-FFF2-40B4-BE49-F238E27FC236}">
              <a16:creationId xmlns:a16="http://schemas.microsoft.com/office/drawing/2014/main" id="{00000000-0008-0000-0400-0000B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6" name="Picture 12" descr="Deutschland">
          <a:hlinkClick xmlns:r="http://schemas.openxmlformats.org/officeDocument/2006/relationships" r:id="rId66"/>
          <a:extLst>
            <a:ext uri="{FF2B5EF4-FFF2-40B4-BE49-F238E27FC236}">
              <a16:creationId xmlns:a16="http://schemas.microsoft.com/office/drawing/2014/main" id="{00000000-0008-0000-0400-0000B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7" name="Picture 13" descr="España">
          <a:hlinkClick xmlns:r="http://schemas.openxmlformats.org/officeDocument/2006/relationships" r:id="rId63"/>
          <a:extLst>
            <a:ext uri="{FF2B5EF4-FFF2-40B4-BE49-F238E27FC236}">
              <a16:creationId xmlns:a16="http://schemas.microsoft.com/office/drawing/2014/main" id="{00000000-0008-0000-0400-0000B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8" name="Picture 14" descr="Colombia">
          <a:hlinkClick xmlns:r="http://schemas.openxmlformats.org/officeDocument/2006/relationships" r:id="rId67"/>
          <a:extLst>
            <a:ext uri="{FF2B5EF4-FFF2-40B4-BE49-F238E27FC236}">
              <a16:creationId xmlns:a16="http://schemas.microsoft.com/office/drawing/2014/main" id="{00000000-0008-0000-0400-0000C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9" name="Picture 15" descr="Portugal">
          <a:hlinkClick xmlns:r="http://schemas.openxmlformats.org/officeDocument/2006/relationships" r:id="rId68"/>
          <a:extLst>
            <a:ext uri="{FF2B5EF4-FFF2-40B4-BE49-F238E27FC236}">
              <a16:creationId xmlns:a16="http://schemas.microsoft.com/office/drawing/2014/main" id="{00000000-0008-0000-0400-0000C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0" name="Picture 16" descr="Nederland">
          <a:hlinkClick xmlns:r="http://schemas.openxmlformats.org/officeDocument/2006/relationships" r:id="rId69"/>
          <a:extLst>
            <a:ext uri="{FF2B5EF4-FFF2-40B4-BE49-F238E27FC236}">
              <a16:creationId xmlns:a16="http://schemas.microsoft.com/office/drawing/2014/main" id="{00000000-0008-0000-0400-0000C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1" name="Picture 17" descr="Northern Ireland">
          <a:hlinkClick xmlns:r="http://schemas.openxmlformats.org/officeDocument/2006/relationships" r:id="rId70"/>
          <a:extLst>
            <a:ext uri="{FF2B5EF4-FFF2-40B4-BE49-F238E27FC236}">
              <a16:creationId xmlns:a16="http://schemas.microsoft.com/office/drawing/2014/main" id="{00000000-0008-0000-0400-0000C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2" name="Picture 19" descr="China">
          <a:hlinkClick xmlns:r="http://schemas.openxmlformats.org/officeDocument/2006/relationships" r:id="rId71"/>
          <a:extLst>
            <a:ext uri="{FF2B5EF4-FFF2-40B4-BE49-F238E27FC236}">
              <a16:creationId xmlns:a16="http://schemas.microsoft.com/office/drawing/2014/main" id="{00000000-0008-0000-0400-0000C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3" name="Picture 20" descr="Polska">
          <a:hlinkClick xmlns:r="http://schemas.openxmlformats.org/officeDocument/2006/relationships" r:id="rId72"/>
          <a:extLst>
            <a:ext uri="{FF2B5EF4-FFF2-40B4-BE49-F238E27FC236}">
              <a16:creationId xmlns:a16="http://schemas.microsoft.com/office/drawing/2014/main" id="{00000000-0008-0000-0400-0000C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4" name="Picture 21" descr="Deutschland">
          <a:hlinkClick xmlns:r="http://schemas.openxmlformats.org/officeDocument/2006/relationships" r:id="rId66"/>
          <a:extLst>
            <a:ext uri="{FF2B5EF4-FFF2-40B4-BE49-F238E27FC236}">
              <a16:creationId xmlns:a16="http://schemas.microsoft.com/office/drawing/2014/main" id="{00000000-0008-0000-0400-0000C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5" name="Picture 23" descr="Danmark">
          <a:hlinkClick xmlns:r="http://schemas.openxmlformats.org/officeDocument/2006/relationships" r:id="rId73"/>
          <a:extLst>
            <a:ext uri="{FF2B5EF4-FFF2-40B4-BE49-F238E27FC236}">
              <a16:creationId xmlns:a16="http://schemas.microsoft.com/office/drawing/2014/main" id="{00000000-0008-0000-0400-0000C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6" name="Picture 25" descr="France">
          <a:hlinkClick xmlns:r="http://schemas.openxmlformats.org/officeDocument/2006/relationships" r:id="rId74"/>
          <a:extLst>
            <a:ext uri="{FF2B5EF4-FFF2-40B4-BE49-F238E27FC236}">
              <a16:creationId xmlns:a16="http://schemas.microsoft.com/office/drawing/2014/main" id="{00000000-0008-0000-0400-0000C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7" name="Picture 28" descr="España">
          <a:hlinkClick xmlns:r="http://schemas.openxmlformats.org/officeDocument/2006/relationships" r:id="rId63"/>
          <a:extLst>
            <a:ext uri="{FF2B5EF4-FFF2-40B4-BE49-F238E27FC236}">
              <a16:creationId xmlns:a16="http://schemas.microsoft.com/office/drawing/2014/main" id="{00000000-0008-0000-0400-0000C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8" name="Picture 30" descr="España">
          <a:hlinkClick xmlns:r="http://schemas.openxmlformats.org/officeDocument/2006/relationships" r:id="rId63"/>
          <a:extLst>
            <a:ext uri="{FF2B5EF4-FFF2-40B4-BE49-F238E27FC236}">
              <a16:creationId xmlns:a16="http://schemas.microsoft.com/office/drawing/2014/main" id="{00000000-0008-0000-0400-0000C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9" name="Picture 31" descr="Nederland">
          <a:hlinkClick xmlns:r="http://schemas.openxmlformats.org/officeDocument/2006/relationships" r:id="rId69"/>
          <a:extLst>
            <a:ext uri="{FF2B5EF4-FFF2-40B4-BE49-F238E27FC236}">
              <a16:creationId xmlns:a16="http://schemas.microsoft.com/office/drawing/2014/main" id="{00000000-0008-0000-0400-0000C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0" name="Picture 33" descr="España">
          <a:hlinkClick xmlns:r="http://schemas.openxmlformats.org/officeDocument/2006/relationships" r:id="rId63"/>
          <a:extLst>
            <a:ext uri="{FF2B5EF4-FFF2-40B4-BE49-F238E27FC236}">
              <a16:creationId xmlns:a16="http://schemas.microsoft.com/office/drawing/2014/main" id="{00000000-0008-0000-0400-0000C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1" name="Picture 37" descr="România">
          <a:hlinkClick xmlns:r="http://schemas.openxmlformats.org/officeDocument/2006/relationships" r:id="rId76"/>
          <a:extLst>
            <a:ext uri="{FF2B5EF4-FFF2-40B4-BE49-F238E27FC236}">
              <a16:creationId xmlns:a16="http://schemas.microsoft.com/office/drawing/2014/main" id="{00000000-0008-0000-0400-0000C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2" name="Picture 7" descr="España">
          <a:hlinkClick xmlns:r="http://schemas.openxmlformats.org/officeDocument/2006/relationships" r:id="rId77"/>
          <a:extLst>
            <a:ext uri="{FF2B5EF4-FFF2-40B4-BE49-F238E27FC236}">
              <a16:creationId xmlns:a16="http://schemas.microsoft.com/office/drawing/2014/main" id="{00000000-0008-0000-0400-0000C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3" name="Picture 9" descr="España">
          <a:hlinkClick xmlns:r="http://schemas.openxmlformats.org/officeDocument/2006/relationships" r:id="rId77"/>
          <a:extLst>
            <a:ext uri="{FF2B5EF4-FFF2-40B4-BE49-F238E27FC236}">
              <a16:creationId xmlns:a16="http://schemas.microsoft.com/office/drawing/2014/main" id="{00000000-0008-0000-0400-0000C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4" name="Picture 10" descr="Suomi">
          <a:hlinkClick xmlns:r="http://schemas.openxmlformats.org/officeDocument/2006/relationships" r:id="rId78"/>
          <a:extLst>
            <a:ext uri="{FF2B5EF4-FFF2-40B4-BE49-F238E27FC236}">
              <a16:creationId xmlns:a16="http://schemas.microsoft.com/office/drawing/2014/main" id="{00000000-0008-0000-0400-0000D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5" name="Picture 12" descr="Deutschland">
          <a:hlinkClick xmlns:r="http://schemas.openxmlformats.org/officeDocument/2006/relationships" r:id="rId79"/>
          <a:extLst>
            <a:ext uri="{FF2B5EF4-FFF2-40B4-BE49-F238E27FC236}">
              <a16:creationId xmlns:a16="http://schemas.microsoft.com/office/drawing/2014/main" id="{00000000-0008-0000-0400-0000D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6" name="Picture 13" descr="España">
          <a:hlinkClick xmlns:r="http://schemas.openxmlformats.org/officeDocument/2006/relationships" r:id="rId77"/>
          <a:extLst>
            <a:ext uri="{FF2B5EF4-FFF2-40B4-BE49-F238E27FC236}">
              <a16:creationId xmlns:a16="http://schemas.microsoft.com/office/drawing/2014/main" id="{00000000-0008-0000-0400-0000D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7" name="Picture 15" descr="Colombia">
          <a:hlinkClick xmlns:r="http://schemas.openxmlformats.org/officeDocument/2006/relationships" r:id="rId80"/>
          <a:extLst>
            <a:ext uri="{FF2B5EF4-FFF2-40B4-BE49-F238E27FC236}">
              <a16:creationId xmlns:a16="http://schemas.microsoft.com/office/drawing/2014/main" id="{00000000-0008-0000-0400-0000D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8" name="Picture 16" descr="Portugal">
          <a:hlinkClick xmlns:r="http://schemas.openxmlformats.org/officeDocument/2006/relationships" r:id="rId81"/>
          <a:extLst>
            <a:ext uri="{FF2B5EF4-FFF2-40B4-BE49-F238E27FC236}">
              <a16:creationId xmlns:a16="http://schemas.microsoft.com/office/drawing/2014/main" id="{00000000-0008-0000-0400-0000D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9" name="Picture 17" descr="Nederland">
          <a:hlinkClick xmlns:r="http://schemas.openxmlformats.org/officeDocument/2006/relationships" r:id="rId82"/>
          <a:extLst>
            <a:ext uri="{FF2B5EF4-FFF2-40B4-BE49-F238E27FC236}">
              <a16:creationId xmlns:a16="http://schemas.microsoft.com/office/drawing/2014/main" id="{00000000-0008-0000-0400-0000D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0" name="Picture 18" descr="Northern Ireland">
          <a:hlinkClick xmlns:r="http://schemas.openxmlformats.org/officeDocument/2006/relationships" r:id="rId83"/>
          <a:extLst>
            <a:ext uri="{FF2B5EF4-FFF2-40B4-BE49-F238E27FC236}">
              <a16:creationId xmlns:a16="http://schemas.microsoft.com/office/drawing/2014/main" id="{00000000-0008-0000-0400-0000D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1" name="Picture 19" descr="China">
          <a:hlinkClick xmlns:r="http://schemas.openxmlformats.org/officeDocument/2006/relationships" r:id="rId84"/>
          <a:extLst>
            <a:ext uri="{FF2B5EF4-FFF2-40B4-BE49-F238E27FC236}">
              <a16:creationId xmlns:a16="http://schemas.microsoft.com/office/drawing/2014/main" id="{00000000-0008-0000-0400-0000D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2" name="Picture 20" descr="Polska">
          <a:hlinkClick xmlns:r="http://schemas.openxmlformats.org/officeDocument/2006/relationships" r:id="rId85"/>
          <a:extLst>
            <a:ext uri="{FF2B5EF4-FFF2-40B4-BE49-F238E27FC236}">
              <a16:creationId xmlns:a16="http://schemas.microsoft.com/office/drawing/2014/main" id="{00000000-0008-0000-0400-0000D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3" name="Picture 21" descr="Deutschland">
          <a:hlinkClick xmlns:r="http://schemas.openxmlformats.org/officeDocument/2006/relationships" r:id="rId79"/>
          <a:extLst>
            <a:ext uri="{FF2B5EF4-FFF2-40B4-BE49-F238E27FC236}">
              <a16:creationId xmlns:a16="http://schemas.microsoft.com/office/drawing/2014/main" id="{00000000-0008-0000-0400-0000D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4" name="Picture 22" descr="Danmark">
          <a:hlinkClick xmlns:r="http://schemas.openxmlformats.org/officeDocument/2006/relationships" r:id="rId86"/>
          <a:extLst>
            <a:ext uri="{FF2B5EF4-FFF2-40B4-BE49-F238E27FC236}">
              <a16:creationId xmlns:a16="http://schemas.microsoft.com/office/drawing/2014/main" id="{00000000-0008-0000-0400-0000D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5" name="Picture 24" descr="España">
          <a:hlinkClick xmlns:r="http://schemas.openxmlformats.org/officeDocument/2006/relationships" r:id="rId77"/>
          <a:extLst>
            <a:ext uri="{FF2B5EF4-FFF2-40B4-BE49-F238E27FC236}">
              <a16:creationId xmlns:a16="http://schemas.microsoft.com/office/drawing/2014/main" id="{00000000-0008-0000-0400-0000D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6" name="Picture 26" descr="România">
          <a:hlinkClick xmlns:r="http://schemas.openxmlformats.org/officeDocument/2006/relationships" r:id="rId89"/>
          <a:extLst>
            <a:ext uri="{FF2B5EF4-FFF2-40B4-BE49-F238E27FC236}">
              <a16:creationId xmlns:a16="http://schemas.microsoft.com/office/drawing/2014/main" id="{00000000-0008-0000-0400-0000D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7" name="Picture 28" descr="España">
          <a:hlinkClick xmlns:r="http://schemas.openxmlformats.org/officeDocument/2006/relationships" r:id="rId77"/>
          <a:extLst>
            <a:ext uri="{FF2B5EF4-FFF2-40B4-BE49-F238E27FC236}">
              <a16:creationId xmlns:a16="http://schemas.microsoft.com/office/drawing/2014/main" id="{00000000-0008-0000-0400-0000D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8" name="Picture 29" descr="España">
          <a:hlinkClick xmlns:r="http://schemas.openxmlformats.org/officeDocument/2006/relationships" r:id="rId77"/>
          <a:extLst>
            <a:ext uri="{FF2B5EF4-FFF2-40B4-BE49-F238E27FC236}">
              <a16:creationId xmlns:a16="http://schemas.microsoft.com/office/drawing/2014/main" id="{00000000-0008-0000-0400-0000D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9" name="Picture 30" descr="España">
          <a:hlinkClick xmlns:r="http://schemas.openxmlformats.org/officeDocument/2006/relationships" r:id="rId77"/>
          <a:extLst>
            <a:ext uri="{FF2B5EF4-FFF2-40B4-BE49-F238E27FC236}">
              <a16:creationId xmlns:a16="http://schemas.microsoft.com/office/drawing/2014/main" id="{00000000-0008-0000-0400-0000D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0" name="Picture 33" descr="Polska">
          <a:hlinkClick xmlns:r="http://schemas.openxmlformats.org/officeDocument/2006/relationships" r:id="rId85"/>
          <a:extLst>
            <a:ext uri="{FF2B5EF4-FFF2-40B4-BE49-F238E27FC236}">
              <a16:creationId xmlns:a16="http://schemas.microsoft.com/office/drawing/2014/main" id="{00000000-0008-0000-0400-0000E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1" name="Picture 37" descr="Portugal">
          <a:hlinkClick xmlns:r="http://schemas.openxmlformats.org/officeDocument/2006/relationships" r:id="rId81"/>
          <a:extLst>
            <a:ext uri="{FF2B5EF4-FFF2-40B4-BE49-F238E27FC236}">
              <a16:creationId xmlns:a16="http://schemas.microsoft.com/office/drawing/2014/main" id="{00000000-0008-0000-0400-0000E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2" name="Picture 2" descr="España">
          <a:hlinkClick xmlns:r="http://schemas.openxmlformats.org/officeDocument/2006/relationships" r:id="rId90"/>
          <a:extLst>
            <a:ext uri="{FF2B5EF4-FFF2-40B4-BE49-F238E27FC236}">
              <a16:creationId xmlns:a16="http://schemas.microsoft.com/office/drawing/2014/main" id="{00000000-0008-0000-0400-0000E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3" name="Picture 3" descr="USA">
          <a:hlinkClick xmlns:r="http://schemas.openxmlformats.org/officeDocument/2006/relationships" r:id="rId91"/>
          <a:extLst>
            <a:ext uri="{FF2B5EF4-FFF2-40B4-BE49-F238E27FC236}">
              <a16:creationId xmlns:a16="http://schemas.microsoft.com/office/drawing/2014/main" id="{00000000-0008-0000-0400-0000E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4" name="Picture 5" descr="España">
          <a:hlinkClick xmlns:r="http://schemas.openxmlformats.org/officeDocument/2006/relationships" r:id="rId90"/>
          <a:extLst>
            <a:ext uri="{FF2B5EF4-FFF2-40B4-BE49-F238E27FC236}">
              <a16:creationId xmlns:a16="http://schemas.microsoft.com/office/drawing/2014/main" id="{00000000-0008-0000-0400-0000E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5" name="Picture 6" descr="España">
          <a:hlinkClick xmlns:r="http://schemas.openxmlformats.org/officeDocument/2006/relationships" r:id="rId90"/>
          <a:extLst>
            <a:ext uri="{FF2B5EF4-FFF2-40B4-BE49-F238E27FC236}">
              <a16:creationId xmlns:a16="http://schemas.microsoft.com/office/drawing/2014/main" id="{00000000-0008-0000-0400-0000E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6" name="Picture 8" descr="Česká republika">
          <a:hlinkClick xmlns:r="http://schemas.openxmlformats.org/officeDocument/2006/relationships" r:id="rId92"/>
          <a:extLst>
            <a:ext uri="{FF2B5EF4-FFF2-40B4-BE49-F238E27FC236}">
              <a16:creationId xmlns:a16="http://schemas.microsoft.com/office/drawing/2014/main" id="{00000000-0008-0000-0400-0000E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7" name="Picture 9" descr="Sverige">
          <a:hlinkClick xmlns:r="http://schemas.openxmlformats.org/officeDocument/2006/relationships" r:id="rId93"/>
          <a:extLst>
            <a:ext uri="{FF2B5EF4-FFF2-40B4-BE49-F238E27FC236}">
              <a16:creationId xmlns:a16="http://schemas.microsoft.com/office/drawing/2014/main" id="{00000000-0008-0000-0400-0000E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8" name="Picture 11" descr="Suomi">
          <a:hlinkClick xmlns:r="http://schemas.openxmlformats.org/officeDocument/2006/relationships" r:id="rId94"/>
          <a:extLst>
            <a:ext uri="{FF2B5EF4-FFF2-40B4-BE49-F238E27FC236}">
              <a16:creationId xmlns:a16="http://schemas.microsoft.com/office/drawing/2014/main" id="{00000000-0008-0000-0400-0000E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9" name="Picture 12" descr="España">
          <a:hlinkClick xmlns:r="http://schemas.openxmlformats.org/officeDocument/2006/relationships" r:id="rId90"/>
          <a:extLst>
            <a:ext uri="{FF2B5EF4-FFF2-40B4-BE49-F238E27FC236}">
              <a16:creationId xmlns:a16="http://schemas.microsoft.com/office/drawing/2014/main" id="{00000000-0008-0000-0400-0000E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0" name="Picture 13" descr="Nederland">
          <a:hlinkClick xmlns:r="http://schemas.openxmlformats.org/officeDocument/2006/relationships" r:id="rId95"/>
          <a:extLst>
            <a:ext uri="{FF2B5EF4-FFF2-40B4-BE49-F238E27FC236}">
              <a16:creationId xmlns:a16="http://schemas.microsoft.com/office/drawing/2014/main" id="{00000000-0008-0000-0400-0000E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1" name="Picture 14" descr="Italia">
          <a:hlinkClick xmlns:r="http://schemas.openxmlformats.org/officeDocument/2006/relationships" r:id="rId96"/>
          <a:extLst>
            <a:ext uri="{FF2B5EF4-FFF2-40B4-BE49-F238E27FC236}">
              <a16:creationId xmlns:a16="http://schemas.microsoft.com/office/drawing/2014/main" id="{00000000-0008-0000-0400-0000E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2" name="Picture 16" descr="España">
          <a:hlinkClick xmlns:r="http://schemas.openxmlformats.org/officeDocument/2006/relationships" r:id="rId90"/>
          <a:extLst>
            <a:ext uri="{FF2B5EF4-FFF2-40B4-BE49-F238E27FC236}">
              <a16:creationId xmlns:a16="http://schemas.microsoft.com/office/drawing/2014/main" id="{00000000-0008-0000-0400-0000E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3" name="Picture 18" descr="France">
          <a:hlinkClick xmlns:r="http://schemas.openxmlformats.org/officeDocument/2006/relationships" r:id="rId97"/>
          <a:extLst>
            <a:ext uri="{FF2B5EF4-FFF2-40B4-BE49-F238E27FC236}">
              <a16:creationId xmlns:a16="http://schemas.microsoft.com/office/drawing/2014/main" id="{00000000-0008-0000-0400-0000E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4" name="Picture 19" descr="France">
          <a:hlinkClick xmlns:r="http://schemas.openxmlformats.org/officeDocument/2006/relationships" r:id="rId97"/>
          <a:extLst>
            <a:ext uri="{FF2B5EF4-FFF2-40B4-BE49-F238E27FC236}">
              <a16:creationId xmlns:a16="http://schemas.microsoft.com/office/drawing/2014/main" id="{00000000-0008-0000-0400-0000E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5" name="Picture 21" descr="Argentina">
          <a:hlinkClick xmlns:r="http://schemas.openxmlformats.org/officeDocument/2006/relationships" r:id="rId98"/>
          <a:extLst>
            <a:ext uri="{FF2B5EF4-FFF2-40B4-BE49-F238E27FC236}">
              <a16:creationId xmlns:a16="http://schemas.microsoft.com/office/drawing/2014/main" id="{00000000-0008-0000-0400-0000E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6" name="Picture 23" descr="España">
          <a:hlinkClick xmlns:r="http://schemas.openxmlformats.org/officeDocument/2006/relationships" r:id="rId90"/>
          <a:extLst>
            <a:ext uri="{FF2B5EF4-FFF2-40B4-BE49-F238E27FC236}">
              <a16:creationId xmlns:a16="http://schemas.microsoft.com/office/drawing/2014/main" id="{00000000-0008-0000-0400-0000F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7" name="Picture 25" descr="Lubnan">
          <a:hlinkClick xmlns:r="http://schemas.openxmlformats.org/officeDocument/2006/relationships" r:id="rId99"/>
          <a:extLst>
            <a:ext uri="{FF2B5EF4-FFF2-40B4-BE49-F238E27FC236}">
              <a16:creationId xmlns:a16="http://schemas.microsoft.com/office/drawing/2014/main" id="{00000000-0008-0000-0400-0000F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8" name="Picture 27" descr="Magyarország">
          <a:hlinkClick xmlns:r="http://schemas.openxmlformats.org/officeDocument/2006/relationships" r:id="rId100"/>
          <a:extLst>
            <a:ext uri="{FF2B5EF4-FFF2-40B4-BE49-F238E27FC236}">
              <a16:creationId xmlns:a16="http://schemas.microsoft.com/office/drawing/2014/main" id="{00000000-0008-0000-0400-0000F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9" name="Picture 29" descr="Uruguay">
          <a:hlinkClick xmlns:r="http://schemas.openxmlformats.org/officeDocument/2006/relationships" r:id="rId101"/>
          <a:extLst>
            <a:ext uri="{FF2B5EF4-FFF2-40B4-BE49-F238E27FC236}">
              <a16:creationId xmlns:a16="http://schemas.microsoft.com/office/drawing/2014/main" id="{00000000-0008-0000-0400-0000F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0" name="Picture 30" descr="Italia">
          <a:hlinkClick xmlns:r="http://schemas.openxmlformats.org/officeDocument/2006/relationships" r:id="rId96"/>
          <a:extLst>
            <a:ext uri="{FF2B5EF4-FFF2-40B4-BE49-F238E27FC236}">
              <a16:creationId xmlns:a16="http://schemas.microsoft.com/office/drawing/2014/main" id="{00000000-0008-0000-0400-0000F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1" name="Picture 31" descr="Nederland">
          <a:hlinkClick xmlns:r="http://schemas.openxmlformats.org/officeDocument/2006/relationships" r:id="rId95"/>
          <a:extLst>
            <a:ext uri="{FF2B5EF4-FFF2-40B4-BE49-F238E27FC236}">
              <a16:creationId xmlns:a16="http://schemas.microsoft.com/office/drawing/2014/main" id="{00000000-0008-0000-0400-0000F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2" name="Picture 32" descr="Italia">
          <a:hlinkClick xmlns:r="http://schemas.openxmlformats.org/officeDocument/2006/relationships" r:id="rId96"/>
          <a:extLst>
            <a:ext uri="{FF2B5EF4-FFF2-40B4-BE49-F238E27FC236}">
              <a16:creationId xmlns:a16="http://schemas.microsoft.com/office/drawing/2014/main" id="{00000000-0008-0000-0400-0000F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3" name="Picture 34" descr="Deutschland">
          <a:hlinkClick xmlns:r="http://schemas.openxmlformats.org/officeDocument/2006/relationships" r:id="rId102"/>
          <a:extLst>
            <a:ext uri="{FF2B5EF4-FFF2-40B4-BE49-F238E27FC236}">
              <a16:creationId xmlns:a16="http://schemas.microsoft.com/office/drawing/2014/main" id="{00000000-0008-0000-0400-0000F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4" name="Picture 36" descr="Israel">
          <a:hlinkClick xmlns:r="http://schemas.openxmlformats.org/officeDocument/2006/relationships" r:id="rId103"/>
          <a:extLst>
            <a:ext uri="{FF2B5EF4-FFF2-40B4-BE49-F238E27FC236}">
              <a16:creationId xmlns:a16="http://schemas.microsoft.com/office/drawing/2014/main" id="{00000000-0008-0000-0400-0000F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5" name="Picture 37" descr="Slovensko">
          <a:hlinkClick xmlns:r="http://schemas.openxmlformats.org/officeDocument/2006/relationships" r:id="rId104"/>
          <a:extLst>
            <a:ext uri="{FF2B5EF4-FFF2-40B4-BE49-F238E27FC236}">
              <a16:creationId xmlns:a16="http://schemas.microsoft.com/office/drawing/2014/main" id="{00000000-0008-0000-0400-0000F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6" name="Picture 2" descr="España">
          <a:hlinkClick xmlns:r="http://schemas.openxmlformats.org/officeDocument/2006/relationships" r:id="rId90"/>
          <a:extLst>
            <a:ext uri="{FF2B5EF4-FFF2-40B4-BE49-F238E27FC236}">
              <a16:creationId xmlns:a16="http://schemas.microsoft.com/office/drawing/2014/main" id="{00000000-0008-0000-0400-0000F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7" name="Picture 3" descr="USA">
          <a:hlinkClick xmlns:r="http://schemas.openxmlformats.org/officeDocument/2006/relationships" r:id="rId91"/>
          <a:extLst>
            <a:ext uri="{FF2B5EF4-FFF2-40B4-BE49-F238E27FC236}">
              <a16:creationId xmlns:a16="http://schemas.microsoft.com/office/drawing/2014/main" id="{00000000-0008-0000-0400-0000F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8" name="Picture 5" descr="España">
          <a:hlinkClick xmlns:r="http://schemas.openxmlformats.org/officeDocument/2006/relationships" r:id="rId90"/>
          <a:extLst>
            <a:ext uri="{FF2B5EF4-FFF2-40B4-BE49-F238E27FC236}">
              <a16:creationId xmlns:a16="http://schemas.microsoft.com/office/drawing/2014/main" id="{00000000-0008-0000-0400-0000F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9" name="Picture 6" descr="España">
          <a:hlinkClick xmlns:r="http://schemas.openxmlformats.org/officeDocument/2006/relationships" r:id="rId90"/>
          <a:extLst>
            <a:ext uri="{FF2B5EF4-FFF2-40B4-BE49-F238E27FC236}">
              <a16:creationId xmlns:a16="http://schemas.microsoft.com/office/drawing/2014/main" id="{00000000-0008-0000-0400-0000F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0" name="Picture 8" descr="Česká republika">
          <a:hlinkClick xmlns:r="http://schemas.openxmlformats.org/officeDocument/2006/relationships" r:id="rId92"/>
          <a:extLst>
            <a:ext uri="{FF2B5EF4-FFF2-40B4-BE49-F238E27FC236}">
              <a16:creationId xmlns:a16="http://schemas.microsoft.com/office/drawing/2014/main" id="{00000000-0008-0000-0400-0000F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1" name="Picture 9" descr="Sverige">
          <a:hlinkClick xmlns:r="http://schemas.openxmlformats.org/officeDocument/2006/relationships" r:id="rId93"/>
          <a:extLst>
            <a:ext uri="{FF2B5EF4-FFF2-40B4-BE49-F238E27FC236}">
              <a16:creationId xmlns:a16="http://schemas.microsoft.com/office/drawing/2014/main" id="{00000000-0008-0000-0400-0000F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2" name="Picture 11" descr="Suomi">
          <a:hlinkClick xmlns:r="http://schemas.openxmlformats.org/officeDocument/2006/relationships" r:id="rId94"/>
          <a:extLst>
            <a:ext uri="{FF2B5EF4-FFF2-40B4-BE49-F238E27FC236}">
              <a16:creationId xmlns:a16="http://schemas.microsoft.com/office/drawing/2014/main" id="{00000000-0008-0000-0400-00000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3" name="Picture 12" descr="España">
          <a:hlinkClick xmlns:r="http://schemas.openxmlformats.org/officeDocument/2006/relationships" r:id="rId90"/>
          <a:extLst>
            <a:ext uri="{FF2B5EF4-FFF2-40B4-BE49-F238E27FC236}">
              <a16:creationId xmlns:a16="http://schemas.microsoft.com/office/drawing/2014/main" id="{00000000-0008-0000-0400-00000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4" name="Picture 13" descr="Nederland">
          <a:hlinkClick xmlns:r="http://schemas.openxmlformats.org/officeDocument/2006/relationships" r:id="rId95"/>
          <a:extLst>
            <a:ext uri="{FF2B5EF4-FFF2-40B4-BE49-F238E27FC236}">
              <a16:creationId xmlns:a16="http://schemas.microsoft.com/office/drawing/2014/main" id="{00000000-0008-0000-0400-00000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5" name="Picture 14" descr="Italia">
          <a:hlinkClick xmlns:r="http://schemas.openxmlformats.org/officeDocument/2006/relationships" r:id="rId96"/>
          <a:extLst>
            <a:ext uri="{FF2B5EF4-FFF2-40B4-BE49-F238E27FC236}">
              <a16:creationId xmlns:a16="http://schemas.microsoft.com/office/drawing/2014/main" id="{00000000-0008-0000-0400-00000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6" name="Picture 16" descr="España">
          <a:hlinkClick xmlns:r="http://schemas.openxmlformats.org/officeDocument/2006/relationships" r:id="rId90"/>
          <a:extLst>
            <a:ext uri="{FF2B5EF4-FFF2-40B4-BE49-F238E27FC236}">
              <a16:creationId xmlns:a16="http://schemas.microsoft.com/office/drawing/2014/main" id="{00000000-0008-0000-0400-00000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7" name="Picture 18" descr="France">
          <a:hlinkClick xmlns:r="http://schemas.openxmlformats.org/officeDocument/2006/relationships" r:id="rId97"/>
          <a:extLst>
            <a:ext uri="{FF2B5EF4-FFF2-40B4-BE49-F238E27FC236}">
              <a16:creationId xmlns:a16="http://schemas.microsoft.com/office/drawing/2014/main" id="{00000000-0008-0000-0400-00000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8" name="Picture 19" descr="France">
          <a:hlinkClick xmlns:r="http://schemas.openxmlformats.org/officeDocument/2006/relationships" r:id="rId97"/>
          <a:extLst>
            <a:ext uri="{FF2B5EF4-FFF2-40B4-BE49-F238E27FC236}">
              <a16:creationId xmlns:a16="http://schemas.microsoft.com/office/drawing/2014/main" id="{00000000-0008-0000-0400-00000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9" name="Picture 21" descr="Argentina">
          <a:hlinkClick xmlns:r="http://schemas.openxmlformats.org/officeDocument/2006/relationships" r:id="rId98"/>
          <a:extLst>
            <a:ext uri="{FF2B5EF4-FFF2-40B4-BE49-F238E27FC236}">
              <a16:creationId xmlns:a16="http://schemas.microsoft.com/office/drawing/2014/main" id="{00000000-0008-0000-0400-00000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0" name="Picture 23" descr="España">
          <a:hlinkClick xmlns:r="http://schemas.openxmlformats.org/officeDocument/2006/relationships" r:id="rId90"/>
          <a:extLst>
            <a:ext uri="{FF2B5EF4-FFF2-40B4-BE49-F238E27FC236}">
              <a16:creationId xmlns:a16="http://schemas.microsoft.com/office/drawing/2014/main" id="{00000000-0008-0000-0400-00000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1" name="Picture 25" descr="Lubnan">
          <a:hlinkClick xmlns:r="http://schemas.openxmlformats.org/officeDocument/2006/relationships" r:id="rId99"/>
          <a:extLst>
            <a:ext uri="{FF2B5EF4-FFF2-40B4-BE49-F238E27FC236}">
              <a16:creationId xmlns:a16="http://schemas.microsoft.com/office/drawing/2014/main" id="{00000000-0008-0000-0400-00000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2" name="Picture 27" descr="Magyarország">
          <a:hlinkClick xmlns:r="http://schemas.openxmlformats.org/officeDocument/2006/relationships" r:id="rId100"/>
          <a:extLst>
            <a:ext uri="{FF2B5EF4-FFF2-40B4-BE49-F238E27FC236}">
              <a16:creationId xmlns:a16="http://schemas.microsoft.com/office/drawing/2014/main" id="{00000000-0008-0000-0400-00000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3" name="Picture 29" descr="Uruguay">
          <a:hlinkClick xmlns:r="http://schemas.openxmlformats.org/officeDocument/2006/relationships" r:id="rId101"/>
          <a:extLst>
            <a:ext uri="{FF2B5EF4-FFF2-40B4-BE49-F238E27FC236}">
              <a16:creationId xmlns:a16="http://schemas.microsoft.com/office/drawing/2014/main" id="{00000000-0008-0000-0400-00000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4" name="Picture 30" descr="Italia">
          <a:hlinkClick xmlns:r="http://schemas.openxmlformats.org/officeDocument/2006/relationships" r:id="rId96"/>
          <a:extLst>
            <a:ext uri="{FF2B5EF4-FFF2-40B4-BE49-F238E27FC236}">
              <a16:creationId xmlns:a16="http://schemas.microsoft.com/office/drawing/2014/main" id="{00000000-0008-0000-0400-00000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5" name="Picture 31" descr="Nederland">
          <a:hlinkClick xmlns:r="http://schemas.openxmlformats.org/officeDocument/2006/relationships" r:id="rId95"/>
          <a:extLst>
            <a:ext uri="{FF2B5EF4-FFF2-40B4-BE49-F238E27FC236}">
              <a16:creationId xmlns:a16="http://schemas.microsoft.com/office/drawing/2014/main" id="{00000000-0008-0000-0400-00000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6" name="Picture 32" descr="Italia">
          <a:hlinkClick xmlns:r="http://schemas.openxmlformats.org/officeDocument/2006/relationships" r:id="rId96"/>
          <a:extLst>
            <a:ext uri="{FF2B5EF4-FFF2-40B4-BE49-F238E27FC236}">
              <a16:creationId xmlns:a16="http://schemas.microsoft.com/office/drawing/2014/main" id="{00000000-0008-0000-0400-00000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7" name="Picture 34" descr="Deutschland">
          <a:hlinkClick xmlns:r="http://schemas.openxmlformats.org/officeDocument/2006/relationships" r:id="rId102"/>
          <a:extLst>
            <a:ext uri="{FF2B5EF4-FFF2-40B4-BE49-F238E27FC236}">
              <a16:creationId xmlns:a16="http://schemas.microsoft.com/office/drawing/2014/main" id="{00000000-0008-0000-0400-00000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8" name="Picture 36" descr="Israel">
          <a:hlinkClick xmlns:r="http://schemas.openxmlformats.org/officeDocument/2006/relationships" r:id="rId103"/>
          <a:extLst>
            <a:ext uri="{FF2B5EF4-FFF2-40B4-BE49-F238E27FC236}">
              <a16:creationId xmlns:a16="http://schemas.microsoft.com/office/drawing/2014/main" id="{00000000-0008-0000-0400-00001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9" name="Picture 37" descr="Slovensko">
          <a:hlinkClick xmlns:r="http://schemas.openxmlformats.org/officeDocument/2006/relationships" r:id="rId104"/>
          <a:extLst>
            <a:ext uri="{FF2B5EF4-FFF2-40B4-BE49-F238E27FC236}">
              <a16:creationId xmlns:a16="http://schemas.microsoft.com/office/drawing/2014/main" id="{00000000-0008-0000-0400-00001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0" name="Picture 2" descr="España">
          <a:hlinkClick xmlns:r="http://schemas.openxmlformats.org/officeDocument/2006/relationships" r:id="rId90"/>
          <a:extLst>
            <a:ext uri="{FF2B5EF4-FFF2-40B4-BE49-F238E27FC236}">
              <a16:creationId xmlns:a16="http://schemas.microsoft.com/office/drawing/2014/main" id="{00000000-0008-0000-0400-00001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1" name="Picture 3" descr="USA">
          <a:hlinkClick xmlns:r="http://schemas.openxmlformats.org/officeDocument/2006/relationships" r:id="rId91"/>
          <a:extLst>
            <a:ext uri="{FF2B5EF4-FFF2-40B4-BE49-F238E27FC236}">
              <a16:creationId xmlns:a16="http://schemas.microsoft.com/office/drawing/2014/main" id="{00000000-0008-0000-0400-00001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2" name="Picture 5" descr="España">
          <a:hlinkClick xmlns:r="http://schemas.openxmlformats.org/officeDocument/2006/relationships" r:id="rId90"/>
          <a:extLst>
            <a:ext uri="{FF2B5EF4-FFF2-40B4-BE49-F238E27FC236}">
              <a16:creationId xmlns:a16="http://schemas.microsoft.com/office/drawing/2014/main" id="{00000000-0008-0000-0400-00001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3" name="Picture 6" descr="España">
          <a:hlinkClick xmlns:r="http://schemas.openxmlformats.org/officeDocument/2006/relationships" r:id="rId90"/>
          <a:extLst>
            <a:ext uri="{FF2B5EF4-FFF2-40B4-BE49-F238E27FC236}">
              <a16:creationId xmlns:a16="http://schemas.microsoft.com/office/drawing/2014/main" id="{00000000-0008-0000-0400-00001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4" name="Picture 8" descr="Česká republika">
          <a:hlinkClick xmlns:r="http://schemas.openxmlformats.org/officeDocument/2006/relationships" r:id="rId92"/>
          <a:extLst>
            <a:ext uri="{FF2B5EF4-FFF2-40B4-BE49-F238E27FC236}">
              <a16:creationId xmlns:a16="http://schemas.microsoft.com/office/drawing/2014/main" id="{00000000-0008-0000-0400-00001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5" name="Picture 9" descr="Sverige">
          <a:hlinkClick xmlns:r="http://schemas.openxmlformats.org/officeDocument/2006/relationships" r:id="rId93"/>
          <a:extLst>
            <a:ext uri="{FF2B5EF4-FFF2-40B4-BE49-F238E27FC236}">
              <a16:creationId xmlns:a16="http://schemas.microsoft.com/office/drawing/2014/main" id="{00000000-0008-0000-0400-00001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6" name="Picture 11" descr="Suomi">
          <a:hlinkClick xmlns:r="http://schemas.openxmlformats.org/officeDocument/2006/relationships" r:id="rId94"/>
          <a:extLst>
            <a:ext uri="{FF2B5EF4-FFF2-40B4-BE49-F238E27FC236}">
              <a16:creationId xmlns:a16="http://schemas.microsoft.com/office/drawing/2014/main" id="{00000000-0008-0000-0400-00001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7" name="Picture 12" descr="España">
          <a:hlinkClick xmlns:r="http://schemas.openxmlformats.org/officeDocument/2006/relationships" r:id="rId90"/>
          <a:extLst>
            <a:ext uri="{FF2B5EF4-FFF2-40B4-BE49-F238E27FC236}">
              <a16:creationId xmlns:a16="http://schemas.microsoft.com/office/drawing/2014/main" id="{00000000-0008-0000-0400-00001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8" name="Picture 13" descr="Nederland">
          <a:hlinkClick xmlns:r="http://schemas.openxmlformats.org/officeDocument/2006/relationships" r:id="rId95"/>
          <a:extLst>
            <a:ext uri="{FF2B5EF4-FFF2-40B4-BE49-F238E27FC236}">
              <a16:creationId xmlns:a16="http://schemas.microsoft.com/office/drawing/2014/main" id="{00000000-0008-0000-0400-00001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9" name="Picture 14" descr="Italia">
          <a:hlinkClick xmlns:r="http://schemas.openxmlformats.org/officeDocument/2006/relationships" r:id="rId96"/>
          <a:extLst>
            <a:ext uri="{FF2B5EF4-FFF2-40B4-BE49-F238E27FC236}">
              <a16:creationId xmlns:a16="http://schemas.microsoft.com/office/drawing/2014/main" id="{00000000-0008-0000-0400-00001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0" name="Picture 16" descr="España">
          <a:hlinkClick xmlns:r="http://schemas.openxmlformats.org/officeDocument/2006/relationships" r:id="rId90"/>
          <a:extLst>
            <a:ext uri="{FF2B5EF4-FFF2-40B4-BE49-F238E27FC236}">
              <a16:creationId xmlns:a16="http://schemas.microsoft.com/office/drawing/2014/main" id="{00000000-0008-0000-0400-00001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1" name="Picture 18" descr="France">
          <a:hlinkClick xmlns:r="http://schemas.openxmlformats.org/officeDocument/2006/relationships" r:id="rId97"/>
          <a:extLst>
            <a:ext uri="{FF2B5EF4-FFF2-40B4-BE49-F238E27FC236}">
              <a16:creationId xmlns:a16="http://schemas.microsoft.com/office/drawing/2014/main" id="{00000000-0008-0000-0400-00001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2" name="Picture 19" descr="France">
          <a:hlinkClick xmlns:r="http://schemas.openxmlformats.org/officeDocument/2006/relationships" r:id="rId97"/>
          <a:extLst>
            <a:ext uri="{FF2B5EF4-FFF2-40B4-BE49-F238E27FC236}">
              <a16:creationId xmlns:a16="http://schemas.microsoft.com/office/drawing/2014/main" id="{00000000-0008-0000-0400-00001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3" name="Picture 21" descr="Argentina">
          <a:hlinkClick xmlns:r="http://schemas.openxmlformats.org/officeDocument/2006/relationships" r:id="rId98"/>
          <a:extLst>
            <a:ext uri="{FF2B5EF4-FFF2-40B4-BE49-F238E27FC236}">
              <a16:creationId xmlns:a16="http://schemas.microsoft.com/office/drawing/2014/main" id="{00000000-0008-0000-0400-00001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4" name="Picture 23" descr="España">
          <a:hlinkClick xmlns:r="http://schemas.openxmlformats.org/officeDocument/2006/relationships" r:id="rId90"/>
          <a:extLst>
            <a:ext uri="{FF2B5EF4-FFF2-40B4-BE49-F238E27FC236}">
              <a16:creationId xmlns:a16="http://schemas.microsoft.com/office/drawing/2014/main" id="{00000000-0008-0000-0400-00002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5" name="Picture 25" descr="Lubnan">
          <a:hlinkClick xmlns:r="http://schemas.openxmlformats.org/officeDocument/2006/relationships" r:id="rId99"/>
          <a:extLst>
            <a:ext uri="{FF2B5EF4-FFF2-40B4-BE49-F238E27FC236}">
              <a16:creationId xmlns:a16="http://schemas.microsoft.com/office/drawing/2014/main" id="{00000000-0008-0000-0400-00002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6" name="Picture 27" descr="Magyarország">
          <a:hlinkClick xmlns:r="http://schemas.openxmlformats.org/officeDocument/2006/relationships" r:id="rId100"/>
          <a:extLst>
            <a:ext uri="{FF2B5EF4-FFF2-40B4-BE49-F238E27FC236}">
              <a16:creationId xmlns:a16="http://schemas.microsoft.com/office/drawing/2014/main" id="{00000000-0008-0000-0400-00002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7" name="Picture 29" descr="Uruguay">
          <a:hlinkClick xmlns:r="http://schemas.openxmlformats.org/officeDocument/2006/relationships" r:id="rId101"/>
          <a:extLst>
            <a:ext uri="{FF2B5EF4-FFF2-40B4-BE49-F238E27FC236}">
              <a16:creationId xmlns:a16="http://schemas.microsoft.com/office/drawing/2014/main" id="{00000000-0008-0000-0400-00002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8" name="Picture 30" descr="Italia">
          <a:hlinkClick xmlns:r="http://schemas.openxmlformats.org/officeDocument/2006/relationships" r:id="rId96"/>
          <a:extLst>
            <a:ext uri="{FF2B5EF4-FFF2-40B4-BE49-F238E27FC236}">
              <a16:creationId xmlns:a16="http://schemas.microsoft.com/office/drawing/2014/main" id="{00000000-0008-0000-0400-00002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9" name="Picture 31" descr="Nederland">
          <a:hlinkClick xmlns:r="http://schemas.openxmlformats.org/officeDocument/2006/relationships" r:id="rId95"/>
          <a:extLst>
            <a:ext uri="{FF2B5EF4-FFF2-40B4-BE49-F238E27FC236}">
              <a16:creationId xmlns:a16="http://schemas.microsoft.com/office/drawing/2014/main" id="{00000000-0008-0000-0400-00002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0" name="Picture 32" descr="Italia">
          <a:hlinkClick xmlns:r="http://schemas.openxmlformats.org/officeDocument/2006/relationships" r:id="rId96"/>
          <a:extLst>
            <a:ext uri="{FF2B5EF4-FFF2-40B4-BE49-F238E27FC236}">
              <a16:creationId xmlns:a16="http://schemas.microsoft.com/office/drawing/2014/main" id="{00000000-0008-0000-0400-00002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1" name="Picture 34" descr="Deutschland">
          <a:hlinkClick xmlns:r="http://schemas.openxmlformats.org/officeDocument/2006/relationships" r:id="rId102"/>
          <a:extLst>
            <a:ext uri="{FF2B5EF4-FFF2-40B4-BE49-F238E27FC236}">
              <a16:creationId xmlns:a16="http://schemas.microsoft.com/office/drawing/2014/main" id="{00000000-0008-0000-0400-00002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2" name="Picture 36" descr="Israel">
          <a:hlinkClick xmlns:r="http://schemas.openxmlformats.org/officeDocument/2006/relationships" r:id="rId103"/>
          <a:extLst>
            <a:ext uri="{FF2B5EF4-FFF2-40B4-BE49-F238E27FC236}">
              <a16:creationId xmlns:a16="http://schemas.microsoft.com/office/drawing/2014/main" id="{00000000-0008-0000-0400-00002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3" name="Picture 37" descr="Slovensko">
          <a:hlinkClick xmlns:r="http://schemas.openxmlformats.org/officeDocument/2006/relationships" r:id="rId104"/>
          <a:extLst>
            <a:ext uri="{FF2B5EF4-FFF2-40B4-BE49-F238E27FC236}">
              <a16:creationId xmlns:a16="http://schemas.microsoft.com/office/drawing/2014/main" id="{00000000-0008-0000-0400-00002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4" name="Picture 2" descr="España">
          <a:hlinkClick xmlns:r="http://schemas.openxmlformats.org/officeDocument/2006/relationships" r:id="rId90"/>
          <a:extLst>
            <a:ext uri="{FF2B5EF4-FFF2-40B4-BE49-F238E27FC236}">
              <a16:creationId xmlns:a16="http://schemas.microsoft.com/office/drawing/2014/main" id="{00000000-0008-0000-0400-00002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5" name="Picture 3" descr="USA">
          <a:hlinkClick xmlns:r="http://schemas.openxmlformats.org/officeDocument/2006/relationships" r:id="rId91"/>
          <a:extLst>
            <a:ext uri="{FF2B5EF4-FFF2-40B4-BE49-F238E27FC236}">
              <a16:creationId xmlns:a16="http://schemas.microsoft.com/office/drawing/2014/main" id="{00000000-0008-0000-0400-00002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6" name="Picture 5" descr="España">
          <a:hlinkClick xmlns:r="http://schemas.openxmlformats.org/officeDocument/2006/relationships" r:id="rId90"/>
          <a:extLst>
            <a:ext uri="{FF2B5EF4-FFF2-40B4-BE49-F238E27FC236}">
              <a16:creationId xmlns:a16="http://schemas.microsoft.com/office/drawing/2014/main" id="{00000000-0008-0000-0400-00002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7" name="Picture 6" descr="España">
          <a:hlinkClick xmlns:r="http://schemas.openxmlformats.org/officeDocument/2006/relationships" r:id="rId90"/>
          <a:extLst>
            <a:ext uri="{FF2B5EF4-FFF2-40B4-BE49-F238E27FC236}">
              <a16:creationId xmlns:a16="http://schemas.microsoft.com/office/drawing/2014/main" id="{00000000-0008-0000-0400-00002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8" name="Picture 8" descr="Česká republika">
          <a:hlinkClick xmlns:r="http://schemas.openxmlformats.org/officeDocument/2006/relationships" r:id="rId92"/>
          <a:extLst>
            <a:ext uri="{FF2B5EF4-FFF2-40B4-BE49-F238E27FC236}">
              <a16:creationId xmlns:a16="http://schemas.microsoft.com/office/drawing/2014/main" id="{00000000-0008-0000-0400-00002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9" name="Picture 9" descr="Sverige">
          <a:hlinkClick xmlns:r="http://schemas.openxmlformats.org/officeDocument/2006/relationships" r:id="rId93"/>
          <a:extLst>
            <a:ext uri="{FF2B5EF4-FFF2-40B4-BE49-F238E27FC236}">
              <a16:creationId xmlns:a16="http://schemas.microsoft.com/office/drawing/2014/main" id="{00000000-0008-0000-0400-00002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0" name="Picture 11" descr="Suomi">
          <a:hlinkClick xmlns:r="http://schemas.openxmlformats.org/officeDocument/2006/relationships" r:id="rId94"/>
          <a:extLst>
            <a:ext uri="{FF2B5EF4-FFF2-40B4-BE49-F238E27FC236}">
              <a16:creationId xmlns:a16="http://schemas.microsoft.com/office/drawing/2014/main" id="{00000000-0008-0000-0400-00003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1" name="Picture 12" descr="España">
          <a:hlinkClick xmlns:r="http://schemas.openxmlformats.org/officeDocument/2006/relationships" r:id="rId90"/>
          <a:extLst>
            <a:ext uri="{FF2B5EF4-FFF2-40B4-BE49-F238E27FC236}">
              <a16:creationId xmlns:a16="http://schemas.microsoft.com/office/drawing/2014/main" id="{00000000-0008-0000-0400-00003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2" name="Picture 13" descr="Nederland">
          <a:hlinkClick xmlns:r="http://schemas.openxmlformats.org/officeDocument/2006/relationships" r:id="rId95"/>
          <a:extLst>
            <a:ext uri="{FF2B5EF4-FFF2-40B4-BE49-F238E27FC236}">
              <a16:creationId xmlns:a16="http://schemas.microsoft.com/office/drawing/2014/main" id="{00000000-0008-0000-0400-00003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3" name="Picture 14" descr="Italia">
          <a:hlinkClick xmlns:r="http://schemas.openxmlformats.org/officeDocument/2006/relationships" r:id="rId96"/>
          <a:extLst>
            <a:ext uri="{FF2B5EF4-FFF2-40B4-BE49-F238E27FC236}">
              <a16:creationId xmlns:a16="http://schemas.microsoft.com/office/drawing/2014/main" id="{00000000-0008-0000-0400-00003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4" name="Picture 16" descr="España">
          <a:hlinkClick xmlns:r="http://schemas.openxmlformats.org/officeDocument/2006/relationships" r:id="rId90"/>
          <a:extLst>
            <a:ext uri="{FF2B5EF4-FFF2-40B4-BE49-F238E27FC236}">
              <a16:creationId xmlns:a16="http://schemas.microsoft.com/office/drawing/2014/main" id="{00000000-0008-0000-0400-00003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5" name="Picture 18" descr="France">
          <a:hlinkClick xmlns:r="http://schemas.openxmlformats.org/officeDocument/2006/relationships" r:id="rId97"/>
          <a:extLst>
            <a:ext uri="{FF2B5EF4-FFF2-40B4-BE49-F238E27FC236}">
              <a16:creationId xmlns:a16="http://schemas.microsoft.com/office/drawing/2014/main" id="{00000000-0008-0000-0400-00003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6" name="Picture 19" descr="France">
          <a:hlinkClick xmlns:r="http://schemas.openxmlformats.org/officeDocument/2006/relationships" r:id="rId97"/>
          <a:extLst>
            <a:ext uri="{FF2B5EF4-FFF2-40B4-BE49-F238E27FC236}">
              <a16:creationId xmlns:a16="http://schemas.microsoft.com/office/drawing/2014/main" id="{00000000-0008-0000-0400-00003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7" name="Picture 21" descr="Argentina">
          <a:hlinkClick xmlns:r="http://schemas.openxmlformats.org/officeDocument/2006/relationships" r:id="rId98"/>
          <a:extLst>
            <a:ext uri="{FF2B5EF4-FFF2-40B4-BE49-F238E27FC236}">
              <a16:creationId xmlns:a16="http://schemas.microsoft.com/office/drawing/2014/main" id="{00000000-0008-0000-0400-00003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8" name="Picture 23" descr="España">
          <a:hlinkClick xmlns:r="http://schemas.openxmlformats.org/officeDocument/2006/relationships" r:id="rId90"/>
          <a:extLst>
            <a:ext uri="{FF2B5EF4-FFF2-40B4-BE49-F238E27FC236}">
              <a16:creationId xmlns:a16="http://schemas.microsoft.com/office/drawing/2014/main" id="{00000000-0008-0000-0400-00003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9" name="Picture 25" descr="Lubnan">
          <a:hlinkClick xmlns:r="http://schemas.openxmlformats.org/officeDocument/2006/relationships" r:id="rId99"/>
          <a:extLst>
            <a:ext uri="{FF2B5EF4-FFF2-40B4-BE49-F238E27FC236}">
              <a16:creationId xmlns:a16="http://schemas.microsoft.com/office/drawing/2014/main" id="{00000000-0008-0000-0400-00003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0" name="Picture 27" descr="Magyarország">
          <a:hlinkClick xmlns:r="http://schemas.openxmlformats.org/officeDocument/2006/relationships" r:id="rId100"/>
          <a:extLst>
            <a:ext uri="{FF2B5EF4-FFF2-40B4-BE49-F238E27FC236}">
              <a16:creationId xmlns:a16="http://schemas.microsoft.com/office/drawing/2014/main" id="{00000000-0008-0000-0400-00003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1" name="Picture 29" descr="Uruguay">
          <a:hlinkClick xmlns:r="http://schemas.openxmlformats.org/officeDocument/2006/relationships" r:id="rId101"/>
          <a:extLst>
            <a:ext uri="{FF2B5EF4-FFF2-40B4-BE49-F238E27FC236}">
              <a16:creationId xmlns:a16="http://schemas.microsoft.com/office/drawing/2014/main" id="{00000000-0008-0000-0400-00003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2" name="Picture 30" descr="Italia">
          <a:hlinkClick xmlns:r="http://schemas.openxmlformats.org/officeDocument/2006/relationships" r:id="rId96"/>
          <a:extLst>
            <a:ext uri="{FF2B5EF4-FFF2-40B4-BE49-F238E27FC236}">
              <a16:creationId xmlns:a16="http://schemas.microsoft.com/office/drawing/2014/main" id="{00000000-0008-0000-0400-00003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3" name="Picture 31" descr="Nederland">
          <a:hlinkClick xmlns:r="http://schemas.openxmlformats.org/officeDocument/2006/relationships" r:id="rId95"/>
          <a:extLst>
            <a:ext uri="{FF2B5EF4-FFF2-40B4-BE49-F238E27FC236}">
              <a16:creationId xmlns:a16="http://schemas.microsoft.com/office/drawing/2014/main" id="{00000000-0008-0000-0400-00003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4" name="Picture 32" descr="Italia">
          <a:hlinkClick xmlns:r="http://schemas.openxmlformats.org/officeDocument/2006/relationships" r:id="rId96"/>
          <a:extLst>
            <a:ext uri="{FF2B5EF4-FFF2-40B4-BE49-F238E27FC236}">
              <a16:creationId xmlns:a16="http://schemas.microsoft.com/office/drawing/2014/main" id="{00000000-0008-0000-0400-00003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5" name="Picture 34" descr="Deutschland">
          <a:hlinkClick xmlns:r="http://schemas.openxmlformats.org/officeDocument/2006/relationships" r:id="rId102"/>
          <a:extLst>
            <a:ext uri="{FF2B5EF4-FFF2-40B4-BE49-F238E27FC236}">
              <a16:creationId xmlns:a16="http://schemas.microsoft.com/office/drawing/2014/main" id="{00000000-0008-0000-0400-00003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6" name="Picture 36" descr="Israel">
          <a:hlinkClick xmlns:r="http://schemas.openxmlformats.org/officeDocument/2006/relationships" r:id="rId103"/>
          <a:extLst>
            <a:ext uri="{FF2B5EF4-FFF2-40B4-BE49-F238E27FC236}">
              <a16:creationId xmlns:a16="http://schemas.microsoft.com/office/drawing/2014/main" id="{00000000-0008-0000-0400-00004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7" name="Picture 37" descr="Slovensko">
          <a:hlinkClick xmlns:r="http://schemas.openxmlformats.org/officeDocument/2006/relationships" r:id="rId104"/>
          <a:extLst>
            <a:ext uri="{FF2B5EF4-FFF2-40B4-BE49-F238E27FC236}">
              <a16:creationId xmlns:a16="http://schemas.microsoft.com/office/drawing/2014/main" id="{00000000-0008-0000-0400-00004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8" name="Picture 2" descr="España">
          <a:hlinkClick xmlns:r="http://schemas.openxmlformats.org/officeDocument/2006/relationships" r:id="rId90"/>
          <a:extLst>
            <a:ext uri="{FF2B5EF4-FFF2-40B4-BE49-F238E27FC236}">
              <a16:creationId xmlns:a16="http://schemas.microsoft.com/office/drawing/2014/main" id="{00000000-0008-0000-0400-00004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9" name="Picture 3" descr="USA">
          <a:hlinkClick xmlns:r="http://schemas.openxmlformats.org/officeDocument/2006/relationships" r:id="rId91"/>
          <a:extLst>
            <a:ext uri="{FF2B5EF4-FFF2-40B4-BE49-F238E27FC236}">
              <a16:creationId xmlns:a16="http://schemas.microsoft.com/office/drawing/2014/main" id="{00000000-0008-0000-0400-00004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0" name="Picture 5" descr="España">
          <a:hlinkClick xmlns:r="http://schemas.openxmlformats.org/officeDocument/2006/relationships" r:id="rId90"/>
          <a:extLst>
            <a:ext uri="{FF2B5EF4-FFF2-40B4-BE49-F238E27FC236}">
              <a16:creationId xmlns:a16="http://schemas.microsoft.com/office/drawing/2014/main" id="{00000000-0008-0000-0400-00004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1" name="Picture 6" descr="España">
          <a:hlinkClick xmlns:r="http://schemas.openxmlformats.org/officeDocument/2006/relationships" r:id="rId90"/>
          <a:extLst>
            <a:ext uri="{FF2B5EF4-FFF2-40B4-BE49-F238E27FC236}">
              <a16:creationId xmlns:a16="http://schemas.microsoft.com/office/drawing/2014/main" id="{00000000-0008-0000-0400-00004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2" name="Picture 8" descr="Česká republika">
          <a:hlinkClick xmlns:r="http://schemas.openxmlformats.org/officeDocument/2006/relationships" r:id="rId92"/>
          <a:extLst>
            <a:ext uri="{FF2B5EF4-FFF2-40B4-BE49-F238E27FC236}">
              <a16:creationId xmlns:a16="http://schemas.microsoft.com/office/drawing/2014/main" id="{00000000-0008-0000-0400-00004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3" name="Picture 9" descr="Sverige">
          <a:hlinkClick xmlns:r="http://schemas.openxmlformats.org/officeDocument/2006/relationships" r:id="rId93"/>
          <a:extLst>
            <a:ext uri="{FF2B5EF4-FFF2-40B4-BE49-F238E27FC236}">
              <a16:creationId xmlns:a16="http://schemas.microsoft.com/office/drawing/2014/main" id="{00000000-0008-0000-0400-00004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4" name="Picture 11" descr="Suomi">
          <a:hlinkClick xmlns:r="http://schemas.openxmlformats.org/officeDocument/2006/relationships" r:id="rId94"/>
          <a:extLst>
            <a:ext uri="{FF2B5EF4-FFF2-40B4-BE49-F238E27FC236}">
              <a16:creationId xmlns:a16="http://schemas.microsoft.com/office/drawing/2014/main" id="{00000000-0008-0000-0400-00004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5" name="Picture 12" descr="España">
          <a:hlinkClick xmlns:r="http://schemas.openxmlformats.org/officeDocument/2006/relationships" r:id="rId90"/>
          <a:extLst>
            <a:ext uri="{FF2B5EF4-FFF2-40B4-BE49-F238E27FC236}">
              <a16:creationId xmlns:a16="http://schemas.microsoft.com/office/drawing/2014/main" id="{00000000-0008-0000-0400-00004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6" name="Picture 13" descr="Nederland">
          <a:hlinkClick xmlns:r="http://schemas.openxmlformats.org/officeDocument/2006/relationships" r:id="rId95"/>
          <a:extLst>
            <a:ext uri="{FF2B5EF4-FFF2-40B4-BE49-F238E27FC236}">
              <a16:creationId xmlns:a16="http://schemas.microsoft.com/office/drawing/2014/main" id="{00000000-0008-0000-0400-00004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7" name="Picture 14" descr="Italia">
          <a:hlinkClick xmlns:r="http://schemas.openxmlformats.org/officeDocument/2006/relationships" r:id="rId96"/>
          <a:extLst>
            <a:ext uri="{FF2B5EF4-FFF2-40B4-BE49-F238E27FC236}">
              <a16:creationId xmlns:a16="http://schemas.microsoft.com/office/drawing/2014/main" id="{00000000-0008-0000-0400-00004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8" name="Picture 16" descr="España">
          <a:hlinkClick xmlns:r="http://schemas.openxmlformats.org/officeDocument/2006/relationships" r:id="rId90"/>
          <a:extLst>
            <a:ext uri="{FF2B5EF4-FFF2-40B4-BE49-F238E27FC236}">
              <a16:creationId xmlns:a16="http://schemas.microsoft.com/office/drawing/2014/main" id="{00000000-0008-0000-0400-00004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9" name="Picture 18" descr="France">
          <a:hlinkClick xmlns:r="http://schemas.openxmlformats.org/officeDocument/2006/relationships" r:id="rId97"/>
          <a:extLst>
            <a:ext uri="{FF2B5EF4-FFF2-40B4-BE49-F238E27FC236}">
              <a16:creationId xmlns:a16="http://schemas.microsoft.com/office/drawing/2014/main" id="{00000000-0008-0000-0400-00004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0" name="Picture 19" descr="France">
          <a:hlinkClick xmlns:r="http://schemas.openxmlformats.org/officeDocument/2006/relationships" r:id="rId97"/>
          <a:extLst>
            <a:ext uri="{FF2B5EF4-FFF2-40B4-BE49-F238E27FC236}">
              <a16:creationId xmlns:a16="http://schemas.microsoft.com/office/drawing/2014/main" id="{00000000-0008-0000-0400-00004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1" name="Picture 21" descr="Argentina">
          <a:hlinkClick xmlns:r="http://schemas.openxmlformats.org/officeDocument/2006/relationships" r:id="rId98"/>
          <a:extLst>
            <a:ext uri="{FF2B5EF4-FFF2-40B4-BE49-F238E27FC236}">
              <a16:creationId xmlns:a16="http://schemas.microsoft.com/office/drawing/2014/main" id="{00000000-0008-0000-0400-00004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2" name="Picture 23" descr="España">
          <a:hlinkClick xmlns:r="http://schemas.openxmlformats.org/officeDocument/2006/relationships" r:id="rId90"/>
          <a:extLst>
            <a:ext uri="{FF2B5EF4-FFF2-40B4-BE49-F238E27FC236}">
              <a16:creationId xmlns:a16="http://schemas.microsoft.com/office/drawing/2014/main" id="{00000000-0008-0000-0400-00005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3" name="Picture 25" descr="Lubnan">
          <a:hlinkClick xmlns:r="http://schemas.openxmlformats.org/officeDocument/2006/relationships" r:id="rId99"/>
          <a:extLst>
            <a:ext uri="{FF2B5EF4-FFF2-40B4-BE49-F238E27FC236}">
              <a16:creationId xmlns:a16="http://schemas.microsoft.com/office/drawing/2014/main" id="{00000000-0008-0000-0400-00005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4" name="Picture 27" descr="Magyarország">
          <a:hlinkClick xmlns:r="http://schemas.openxmlformats.org/officeDocument/2006/relationships" r:id="rId100"/>
          <a:extLst>
            <a:ext uri="{FF2B5EF4-FFF2-40B4-BE49-F238E27FC236}">
              <a16:creationId xmlns:a16="http://schemas.microsoft.com/office/drawing/2014/main" id="{00000000-0008-0000-0400-00005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5" name="Picture 29" descr="Uruguay">
          <a:hlinkClick xmlns:r="http://schemas.openxmlformats.org/officeDocument/2006/relationships" r:id="rId101"/>
          <a:extLst>
            <a:ext uri="{FF2B5EF4-FFF2-40B4-BE49-F238E27FC236}">
              <a16:creationId xmlns:a16="http://schemas.microsoft.com/office/drawing/2014/main" id="{00000000-0008-0000-0400-00005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6" name="Picture 30" descr="Italia">
          <a:hlinkClick xmlns:r="http://schemas.openxmlformats.org/officeDocument/2006/relationships" r:id="rId96"/>
          <a:extLst>
            <a:ext uri="{FF2B5EF4-FFF2-40B4-BE49-F238E27FC236}">
              <a16:creationId xmlns:a16="http://schemas.microsoft.com/office/drawing/2014/main" id="{00000000-0008-0000-0400-00005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7" name="Picture 31" descr="Nederland">
          <a:hlinkClick xmlns:r="http://schemas.openxmlformats.org/officeDocument/2006/relationships" r:id="rId95"/>
          <a:extLst>
            <a:ext uri="{FF2B5EF4-FFF2-40B4-BE49-F238E27FC236}">
              <a16:creationId xmlns:a16="http://schemas.microsoft.com/office/drawing/2014/main" id="{00000000-0008-0000-0400-00005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8" name="Picture 32" descr="Italia">
          <a:hlinkClick xmlns:r="http://schemas.openxmlformats.org/officeDocument/2006/relationships" r:id="rId96"/>
          <a:extLst>
            <a:ext uri="{FF2B5EF4-FFF2-40B4-BE49-F238E27FC236}">
              <a16:creationId xmlns:a16="http://schemas.microsoft.com/office/drawing/2014/main" id="{00000000-0008-0000-0400-00005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9" name="Picture 34" descr="Deutschland">
          <a:hlinkClick xmlns:r="http://schemas.openxmlformats.org/officeDocument/2006/relationships" r:id="rId102"/>
          <a:extLst>
            <a:ext uri="{FF2B5EF4-FFF2-40B4-BE49-F238E27FC236}">
              <a16:creationId xmlns:a16="http://schemas.microsoft.com/office/drawing/2014/main" id="{00000000-0008-0000-0400-00005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0" name="Picture 36" descr="Israel">
          <a:hlinkClick xmlns:r="http://schemas.openxmlformats.org/officeDocument/2006/relationships" r:id="rId103"/>
          <a:extLst>
            <a:ext uri="{FF2B5EF4-FFF2-40B4-BE49-F238E27FC236}">
              <a16:creationId xmlns:a16="http://schemas.microsoft.com/office/drawing/2014/main" id="{00000000-0008-0000-0400-00005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1" name="Picture 37" descr="Slovensko">
          <a:hlinkClick xmlns:r="http://schemas.openxmlformats.org/officeDocument/2006/relationships" r:id="rId104"/>
          <a:extLst>
            <a:ext uri="{FF2B5EF4-FFF2-40B4-BE49-F238E27FC236}">
              <a16:creationId xmlns:a16="http://schemas.microsoft.com/office/drawing/2014/main" id="{00000000-0008-0000-0400-00005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2" name="Picture 2" descr="España">
          <a:hlinkClick xmlns:r="http://schemas.openxmlformats.org/officeDocument/2006/relationships" r:id="rId90"/>
          <a:extLst>
            <a:ext uri="{FF2B5EF4-FFF2-40B4-BE49-F238E27FC236}">
              <a16:creationId xmlns:a16="http://schemas.microsoft.com/office/drawing/2014/main" id="{00000000-0008-0000-0400-00005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3" name="Picture 3" descr="USA">
          <a:hlinkClick xmlns:r="http://schemas.openxmlformats.org/officeDocument/2006/relationships" r:id="rId91"/>
          <a:extLst>
            <a:ext uri="{FF2B5EF4-FFF2-40B4-BE49-F238E27FC236}">
              <a16:creationId xmlns:a16="http://schemas.microsoft.com/office/drawing/2014/main" id="{00000000-0008-0000-0400-00005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4" name="Picture 5" descr="España">
          <a:hlinkClick xmlns:r="http://schemas.openxmlformats.org/officeDocument/2006/relationships" r:id="rId90"/>
          <a:extLst>
            <a:ext uri="{FF2B5EF4-FFF2-40B4-BE49-F238E27FC236}">
              <a16:creationId xmlns:a16="http://schemas.microsoft.com/office/drawing/2014/main" id="{00000000-0008-0000-0400-00005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5" name="Picture 6" descr="España">
          <a:hlinkClick xmlns:r="http://schemas.openxmlformats.org/officeDocument/2006/relationships" r:id="rId90"/>
          <a:extLst>
            <a:ext uri="{FF2B5EF4-FFF2-40B4-BE49-F238E27FC236}">
              <a16:creationId xmlns:a16="http://schemas.microsoft.com/office/drawing/2014/main" id="{00000000-0008-0000-0400-00005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6" name="Picture 8" descr="Česká republika">
          <a:hlinkClick xmlns:r="http://schemas.openxmlformats.org/officeDocument/2006/relationships" r:id="rId92"/>
          <a:extLst>
            <a:ext uri="{FF2B5EF4-FFF2-40B4-BE49-F238E27FC236}">
              <a16:creationId xmlns:a16="http://schemas.microsoft.com/office/drawing/2014/main" id="{00000000-0008-0000-0400-00005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7" name="Picture 9" descr="Sverige">
          <a:hlinkClick xmlns:r="http://schemas.openxmlformats.org/officeDocument/2006/relationships" r:id="rId93"/>
          <a:extLst>
            <a:ext uri="{FF2B5EF4-FFF2-40B4-BE49-F238E27FC236}">
              <a16:creationId xmlns:a16="http://schemas.microsoft.com/office/drawing/2014/main" id="{00000000-0008-0000-0400-00005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8" name="Picture 11" descr="Suomi">
          <a:hlinkClick xmlns:r="http://schemas.openxmlformats.org/officeDocument/2006/relationships" r:id="rId94"/>
          <a:extLst>
            <a:ext uri="{FF2B5EF4-FFF2-40B4-BE49-F238E27FC236}">
              <a16:creationId xmlns:a16="http://schemas.microsoft.com/office/drawing/2014/main" id="{00000000-0008-0000-0400-00006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9" name="Picture 12" descr="España">
          <a:hlinkClick xmlns:r="http://schemas.openxmlformats.org/officeDocument/2006/relationships" r:id="rId90"/>
          <a:extLst>
            <a:ext uri="{FF2B5EF4-FFF2-40B4-BE49-F238E27FC236}">
              <a16:creationId xmlns:a16="http://schemas.microsoft.com/office/drawing/2014/main" id="{00000000-0008-0000-0400-00006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0" name="Picture 13" descr="Nederland">
          <a:hlinkClick xmlns:r="http://schemas.openxmlformats.org/officeDocument/2006/relationships" r:id="rId95"/>
          <a:extLst>
            <a:ext uri="{FF2B5EF4-FFF2-40B4-BE49-F238E27FC236}">
              <a16:creationId xmlns:a16="http://schemas.microsoft.com/office/drawing/2014/main" id="{00000000-0008-0000-0400-00006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1" name="Picture 14" descr="Italia">
          <a:hlinkClick xmlns:r="http://schemas.openxmlformats.org/officeDocument/2006/relationships" r:id="rId96"/>
          <a:extLst>
            <a:ext uri="{FF2B5EF4-FFF2-40B4-BE49-F238E27FC236}">
              <a16:creationId xmlns:a16="http://schemas.microsoft.com/office/drawing/2014/main" id="{00000000-0008-0000-0400-00006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2" name="Picture 16" descr="España">
          <a:hlinkClick xmlns:r="http://schemas.openxmlformats.org/officeDocument/2006/relationships" r:id="rId90"/>
          <a:extLst>
            <a:ext uri="{FF2B5EF4-FFF2-40B4-BE49-F238E27FC236}">
              <a16:creationId xmlns:a16="http://schemas.microsoft.com/office/drawing/2014/main" id="{00000000-0008-0000-0400-00006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3" name="Picture 18" descr="France">
          <a:hlinkClick xmlns:r="http://schemas.openxmlformats.org/officeDocument/2006/relationships" r:id="rId97"/>
          <a:extLst>
            <a:ext uri="{FF2B5EF4-FFF2-40B4-BE49-F238E27FC236}">
              <a16:creationId xmlns:a16="http://schemas.microsoft.com/office/drawing/2014/main" id="{00000000-0008-0000-0400-00006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4" name="Picture 19" descr="France">
          <a:hlinkClick xmlns:r="http://schemas.openxmlformats.org/officeDocument/2006/relationships" r:id="rId97"/>
          <a:extLst>
            <a:ext uri="{FF2B5EF4-FFF2-40B4-BE49-F238E27FC236}">
              <a16:creationId xmlns:a16="http://schemas.microsoft.com/office/drawing/2014/main" id="{00000000-0008-0000-0400-00006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5" name="Picture 21" descr="Argentina">
          <a:hlinkClick xmlns:r="http://schemas.openxmlformats.org/officeDocument/2006/relationships" r:id="rId98"/>
          <a:extLst>
            <a:ext uri="{FF2B5EF4-FFF2-40B4-BE49-F238E27FC236}">
              <a16:creationId xmlns:a16="http://schemas.microsoft.com/office/drawing/2014/main" id="{00000000-0008-0000-0400-00006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6" name="Picture 23" descr="España">
          <a:hlinkClick xmlns:r="http://schemas.openxmlformats.org/officeDocument/2006/relationships" r:id="rId90"/>
          <a:extLst>
            <a:ext uri="{FF2B5EF4-FFF2-40B4-BE49-F238E27FC236}">
              <a16:creationId xmlns:a16="http://schemas.microsoft.com/office/drawing/2014/main" id="{00000000-0008-0000-0400-00006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7" name="Picture 25" descr="Lubnan">
          <a:hlinkClick xmlns:r="http://schemas.openxmlformats.org/officeDocument/2006/relationships" r:id="rId99"/>
          <a:extLst>
            <a:ext uri="{FF2B5EF4-FFF2-40B4-BE49-F238E27FC236}">
              <a16:creationId xmlns:a16="http://schemas.microsoft.com/office/drawing/2014/main" id="{00000000-0008-0000-0400-00006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8" name="Picture 27" descr="Magyarország">
          <a:hlinkClick xmlns:r="http://schemas.openxmlformats.org/officeDocument/2006/relationships" r:id="rId100"/>
          <a:extLst>
            <a:ext uri="{FF2B5EF4-FFF2-40B4-BE49-F238E27FC236}">
              <a16:creationId xmlns:a16="http://schemas.microsoft.com/office/drawing/2014/main" id="{00000000-0008-0000-0400-00006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9" name="Picture 29" descr="Uruguay">
          <a:hlinkClick xmlns:r="http://schemas.openxmlformats.org/officeDocument/2006/relationships" r:id="rId101"/>
          <a:extLst>
            <a:ext uri="{FF2B5EF4-FFF2-40B4-BE49-F238E27FC236}">
              <a16:creationId xmlns:a16="http://schemas.microsoft.com/office/drawing/2014/main" id="{00000000-0008-0000-0400-00006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0" name="Picture 30" descr="Italia">
          <a:hlinkClick xmlns:r="http://schemas.openxmlformats.org/officeDocument/2006/relationships" r:id="rId96"/>
          <a:extLst>
            <a:ext uri="{FF2B5EF4-FFF2-40B4-BE49-F238E27FC236}">
              <a16:creationId xmlns:a16="http://schemas.microsoft.com/office/drawing/2014/main" id="{00000000-0008-0000-0400-00006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1" name="Picture 31" descr="Nederland">
          <a:hlinkClick xmlns:r="http://schemas.openxmlformats.org/officeDocument/2006/relationships" r:id="rId95"/>
          <a:extLst>
            <a:ext uri="{FF2B5EF4-FFF2-40B4-BE49-F238E27FC236}">
              <a16:creationId xmlns:a16="http://schemas.microsoft.com/office/drawing/2014/main" id="{00000000-0008-0000-0400-00006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2" name="Picture 32" descr="Italia">
          <a:hlinkClick xmlns:r="http://schemas.openxmlformats.org/officeDocument/2006/relationships" r:id="rId96"/>
          <a:extLst>
            <a:ext uri="{FF2B5EF4-FFF2-40B4-BE49-F238E27FC236}">
              <a16:creationId xmlns:a16="http://schemas.microsoft.com/office/drawing/2014/main" id="{00000000-0008-0000-0400-00006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3" name="Picture 34" descr="Deutschland">
          <a:hlinkClick xmlns:r="http://schemas.openxmlformats.org/officeDocument/2006/relationships" r:id="rId102"/>
          <a:extLst>
            <a:ext uri="{FF2B5EF4-FFF2-40B4-BE49-F238E27FC236}">
              <a16:creationId xmlns:a16="http://schemas.microsoft.com/office/drawing/2014/main" id="{00000000-0008-0000-0400-00006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4" name="Picture 36" descr="Israel">
          <a:hlinkClick xmlns:r="http://schemas.openxmlformats.org/officeDocument/2006/relationships" r:id="rId103"/>
          <a:extLst>
            <a:ext uri="{FF2B5EF4-FFF2-40B4-BE49-F238E27FC236}">
              <a16:creationId xmlns:a16="http://schemas.microsoft.com/office/drawing/2014/main" id="{00000000-0008-0000-0400-00007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5" name="Picture 37" descr="Slovensko">
          <a:hlinkClick xmlns:r="http://schemas.openxmlformats.org/officeDocument/2006/relationships" r:id="rId104"/>
          <a:extLst>
            <a:ext uri="{FF2B5EF4-FFF2-40B4-BE49-F238E27FC236}">
              <a16:creationId xmlns:a16="http://schemas.microsoft.com/office/drawing/2014/main" id="{00000000-0008-0000-0400-00007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6" name="Picture 2" descr="España">
          <a:hlinkClick xmlns:r="http://schemas.openxmlformats.org/officeDocument/2006/relationships" r:id="rId90"/>
          <a:extLst>
            <a:ext uri="{FF2B5EF4-FFF2-40B4-BE49-F238E27FC236}">
              <a16:creationId xmlns:a16="http://schemas.microsoft.com/office/drawing/2014/main" id="{00000000-0008-0000-0400-00007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7" name="Picture 3" descr="USA">
          <a:hlinkClick xmlns:r="http://schemas.openxmlformats.org/officeDocument/2006/relationships" r:id="rId91"/>
          <a:extLst>
            <a:ext uri="{FF2B5EF4-FFF2-40B4-BE49-F238E27FC236}">
              <a16:creationId xmlns:a16="http://schemas.microsoft.com/office/drawing/2014/main" id="{00000000-0008-0000-0400-00007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8" name="Picture 5" descr="España">
          <a:hlinkClick xmlns:r="http://schemas.openxmlformats.org/officeDocument/2006/relationships" r:id="rId90"/>
          <a:extLst>
            <a:ext uri="{FF2B5EF4-FFF2-40B4-BE49-F238E27FC236}">
              <a16:creationId xmlns:a16="http://schemas.microsoft.com/office/drawing/2014/main" id="{00000000-0008-0000-0400-00007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9" name="Picture 6" descr="España">
          <a:hlinkClick xmlns:r="http://schemas.openxmlformats.org/officeDocument/2006/relationships" r:id="rId90"/>
          <a:extLst>
            <a:ext uri="{FF2B5EF4-FFF2-40B4-BE49-F238E27FC236}">
              <a16:creationId xmlns:a16="http://schemas.microsoft.com/office/drawing/2014/main" id="{00000000-0008-0000-0400-00007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0" name="Picture 8" descr="Česká republika">
          <a:hlinkClick xmlns:r="http://schemas.openxmlformats.org/officeDocument/2006/relationships" r:id="rId92"/>
          <a:extLst>
            <a:ext uri="{FF2B5EF4-FFF2-40B4-BE49-F238E27FC236}">
              <a16:creationId xmlns:a16="http://schemas.microsoft.com/office/drawing/2014/main" id="{00000000-0008-0000-0400-00007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1" name="Picture 9" descr="Sverige">
          <a:hlinkClick xmlns:r="http://schemas.openxmlformats.org/officeDocument/2006/relationships" r:id="rId93"/>
          <a:extLst>
            <a:ext uri="{FF2B5EF4-FFF2-40B4-BE49-F238E27FC236}">
              <a16:creationId xmlns:a16="http://schemas.microsoft.com/office/drawing/2014/main" id="{00000000-0008-0000-0400-00007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2" name="Picture 11" descr="Suomi">
          <a:hlinkClick xmlns:r="http://schemas.openxmlformats.org/officeDocument/2006/relationships" r:id="rId94"/>
          <a:extLst>
            <a:ext uri="{FF2B5EF4-FFF2-40B4-BE49-F238E27FC236}">
              <a16:creationId xmlns:a16="http://schemas.microsoft.com/office/drawing/2014/main" id="{00000000-0008-0000-0400-00007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3" name="Picture 12" descr="España">
          <a:hlinkClick xmlns:r="http://schemas.openxmlformats.org/officeDocument/2006/relationships" r:id="rId90"/>
          <a:extLst>
            <a:ext uri="{FF2B5EF4-FFF2-40B4-BE49-F238E27FC236}">
              <a16:creationId xmlns:a16="http://schemas.microsoft.com/office/drawing/2014/main" id="{00000000-0008-0000-0400-00007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4" name="Picture 13" descr="Nederland">
          <a:hlinkClick xmlns:r="http://schemas.openxmlformats.org/officeDocument/2006/relationships" r:id="rId95"/>
          <a:extLst>
            <a:ext uri="{FF2B5EF4-FFF2-40B4-BE49-F238E27FC236}">
              <a16:creationId xmlns:a16="http://schemas.microsoft.com/office/drawing/2014/main" id="{00000000-0008-0000-0400-00007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5" name="Picture 14" descr="Italia">
          <a:hlinkClick xmlns:r="http://schemas.openxmlformats.org/officeDocument/2006/relationships" r:id="rId96"/>
          <a:extLst>
            <a:ext uri="{FF2B5EF4-FFF2-40B4-BE49-F238E27FC236}">
              <a16:creationId xmlns:a16="http://schemas.microsoft.com/office/drawing/2014/main" id="{00000000-0008-0000-0400-00007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6" name="Picture 16" descr="España">
          <a:hlinkClick xmlns:r="http://schemas.openxmlformats.org/officeDocument/2006/relationships" r:id="rId90"/>
          <a:extLst>
            <a:ext uri="{FF2B5EF4-FFF2-40B4-BE49-F238E27FC236}">
              <a16:creationId xmlns:a16="http://schemas.microsoft.com/office/drawing/2014/main" id="{00000000-0008-0000-0400-00007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7" name="Picture 18" descr="France">
          <a:hlinkClick xmlns:r="http://schemas.openxmlformats.org/officeDocument/2006/relationships" r:id="rId97"/>
          <a:extLst>
            <a:ext uri="{FF2B5EF4-FFF2-40B4-BE49-F238E27FC236}">
              <a16:creationId xmlns:a16="http://schemas.microsoft.com/office/drawing/2014/main" id="{00000000-0008-0000-0400-00007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8" name="Picture 19" descr="France">
          <a:hlinkClick xmlns:r="http://schemas.openxmlformats.org/officeDocument/2006/relationships" r:id="rId97"/>
          <a:extLst>
            <a:ext uri="{FF2B5EF4-FFF2-40B4-BE49-F238E27FC236}">
              <a16:creationId xmlns:a16="http://schemas.microsoft.com/office/drawing/2014/main" id="{00000000-0008-0000-0400-00007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9" name="Picture 21" descr="Argentina">
          <a:hlinkClick xmlns:r="http://schemas.openxmlformats.org/officeDocument/2006/relationships" r:id="rId98"/>
          <a:extLst>
            <a:ext uri="{FF2B5EF4-FFF2-40B4-BE49-F238E27FC236}">
              <a16:creationId xmlns:a16="http://schemas.microsoft.com/office/drawing/2014/main" id="{00000000-0008-0000-0400-00007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0" name="Picture 23" descr="España">
          <a:hlinkClick xmlns:r="http://schemas.openxmlformats.org/officeDocument/2006/relationships" r:id="rId90"/>
          <a:extLst>
            <a:ext uri="{FF2B5EF4-FFF2-40B4-BE49-F238E27FC236}">
              <a16:creationId xmlns:a16="http://schemas.microsoft.com/office/drawing/2014/main" id="{00000000-0008-0000-0400-00008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1" name="Picture 25" descr="Lubnan">
          <a:hlinkClick xmlns:r="http://schemas.openxmlformats.org/officeDocument/2006/relationships" r:id="rId99"/>
          <a:extLst>
            <a:ext uri="{FF2B5EF4-FFF2-40B4-BE49-F238E27FC236}">
              <a16:creationId xmlns:a16="http://schemas.microsoft.com/office/drawing/2014/main" id="{00000000-0008-0000-0400-00008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2" name="Picture 27" descr="Magyarország">
          <a:hlinkClick xmlns:r="http://schemas.openxmlformats.org/officeDocument/2006/relationships" r:id="rId100"/>
          <a:extLst>
            <a:ext uri="{FF2B5EF4-FFF2-40B4-BE49-F238E27FC236}">
              <a16:creationId xmlns:a16="http://schemas.microsoft.com/office/drawing/2014/main" id="{00000000-0008-0000-0400-00008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3" name="Picture 29" descr="Uruguay">
          <a:hlinkClick xmlns:r="http://schemas.openxmlformats.org/officeDocument/2006/relationships" r:id="rId101"/>
          <a:extLst>
            <a:ext uri="{FF2B5EF4-FFF2-40B4-BE49-F238E27FC236}">
              <a16:creationId xmlns:a16="http://schemas.microsoft.com/office/drawing/2014/main" id="{00000000-0008-0000-0400-00008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4" name="Picture 30" descr="Italia">
          <a:hlinkClick xmlns:r="http://schemas.openxmlformats.org/officeDocument/2006/relationships" r:id="rId96"/>
          <a:extLst>
            <a:ext uri="{FF2B5EF4-FFF2-40B4-BE49-F238E27FC236}">
              <a16:creationId xmlns:a16="http://schemas.microsoft.com/office/drawing/2014/main" id="{00000000-0008-0000-0400-00008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5" name="Picture 31" descr="Nederland">
          <a:hlinkClick xmlns:r="http://schemas.openxmlformats.org/officeDocument/2006/relationships" r:id="rId95"/>
          <a:extLst>
            <a:ext uri="{FF2B5EF4-FFF2-40B4-BE49-F238E27FC236}">
              <a16:creationId xmlns:a16="http://schemas.microsoft.com/office/drawing/2014/main" id="{00000000-0008-0000-0400-00008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6" name="Picture 32" descr="Italia">
          <a:hlinkClick xmlns:r="http://schemas.openxmlformats.org/officeDocument/2006/relationships" r:id="rId96"/>
          <a:extLst>
            <a:ext uri="{FF2B5EF4-FFF2-40B4-BE49-F238E27FC236}">
              <a16:creationId xmlns:a16="http://schemas.microsoft.com/office/drawing/2014/main" id="{00000000-0008-0000-0400-00008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7" name="Picture 34" descr="Deutschland">
          <a:hlinkClick xmlns:r="http://schemas.openxmlformats.org/officeDocument/2006/relationships" r:id="rId102"/>
          <a:extLst>
            <a:ext uri="{FF2B5EF4-FFF2-40B4-BE49-F238E27FC236}">
              <a16:creationId xmlns:a16="http://schemas.microsoft.com/office/drawing/2014/main" id="{00000000-0008-0000-0400-00008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8" name="Picture 36" descr="Israel">
          <a:hlinkClick xmlns:r="http://schemas.openxmlformats.org/officeDocument/2006/relationships" r:id="rId103"/>
          <a:extLst>
            <a:ext uri="{FF2B5EF4-FFF2-40B4-BE49-F238E27FC236}">
              <a16:creationId xmlns:a16="http://schemas.microsoft.com/office/drawing/2014/main" id="{00000000-0008-0000-0400-00008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9" name="Picture 37" descr="Slovensko">
          <a:hlinkClick xmlns:r="http://schemas.openxmlformats.org/officeDocument/2006/relationships" r:id="rId104"/>
          <a:extLst>
            <a:ext uri="{FF2B5EF4-FFF2-40B4-BE49-F238E27FC236}">
              <a16:creationId xmlns:a16="http://schemas.microsoft.com/office/drawing/2014/main" id="{00000000-0008-0000-0400-00008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0" name="Picture 2" descr="España">
          <a:hlinkClick xmlns:r="http://schemas.openxmlformats.org/officeDocument/2006/relationships" r:id="rId90"/>
          <a:extLst>
            <a:ext uri="{FF2B5EF4-FFF2-40B4-BE49-F238E27FC236}">
              <a16:creationId xmlns:a16="http://schemas.microsoft.com/office/drawing/2014/main" id="{00000000-0008-0000-0400-00008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1" name="Picture 3" descr="USA">
          <a:hlinkClick xmlns:r="http://schemas.openxmlformats.org/officeDocument/2006/relationships" r:id="rId91"/>
          <a:extLst>
            <a:ext uri="{FF2B5EF4-FFF2-40B4-BE49-F238E27FC236}">
              <a16:creationId xmlns:a16="http://schemas.microsoft.com/office/drawing/2014/main" id="{00000000-0008-0000-0400-00008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2" name="Picture 5" descr="España">
          <a:hlinkClick xmlns:r="http://schemas.openxmlformats.org/officeDocument/2006/relationships" r:id="rId90"/>
          <a:extLst>
            <a:ext uri="{FF2B5EF4-FFF2-40B4-BE49-F238E27FC236}">
              <a16:creationId xmlns:a16="http://schemas.microsoft.com/office/drawing/2014/main" id="{00000000-0008-0000-0400-00008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3" name="Picture 6" descr="España">
          <a:hlinkClick xmlns:r="http://schemas.openxmlformats.org/officeDocument/2006/relationships" r:id="rId90"/>
          <a:extLst>
            <a:ext uri="{FF2B5EF4-FFF2-40B4-BE49-F238E27FC236}">
              <a16:creationId xmlns:a16="http://schemas.microsoft.com/office/drawing/2014/main" id="{00000000-0008-0000-0400-00008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4" name="Picture 8" descr="Česká republika">
          <a:hlinkClick xmlns:r="http://schemas.openxmlformats.org/officeDocument/2006/relationships" r:id="rId92"/>
          <a:extLst>
            <a:ext uri="{FF2B5EF4-FFF2-40B4-BE49-F238E27FC236}">
              <a16:creationId xmlns:a16="http://schemas.microsoft.com/office/drawing/2014/main" id="{00000000-0008-0000-0400-00008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5" name="Picture 9" descr="Sverige">
          <a:hlinkClick xmlns:r="http://schemas.openxmlformats.org/officeDocument/2006/relationships" r:id="rId93"/>
          <a:extLst>
            <a:ext uri="{FF2B5EF4-FFF2-40B4-BE49-F238E27FC236}">
              <a16:creationId xmlns:a16="http://schemas.microsoft.com/office/drawing/2014/main" id="{00000000-0008-0000-0400-00008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6" name="Picture 11" descr="Suomi">
          <a:hlinkClick xmlns:r="http://schemas.openxmlformats.org/officeDocument/2006/relationships" r:id="rId94"/>
          <a:extLst>
            <a:ext uri="{FF2B5EF4-FFF2-40B4-BE49-F238E27FC236}">
              <a16:creationId xmlns:a16="http://schemas.microsoft.com/office/drawing/2014/main" id="{00000000-0008-0000-0400-00009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7" name="Picture 12" descr="España">
          <a:hlinkClick xmlns:r="http://schemas.openxmlformats.org/officeDocument/2006/relationships" r:id="rId90"/>
          <a:extLst>
            <a:ext uri="{FF2B5EF4-FFF2-40B4-BE49-F238E27FC236}">
              <a16:creationId xmlns:a16="http://schemas.microsoft.com/office/drawing/2014/main" id="{00000000-0008-0000-0400-00009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8" name="Picture 13" descr="Nederland">
          <a:hlinkClick xmlns:r="http://schemas.openxmlformats.org/officeDocument/2006/relationships" r:id="rId95"/>
          <a:extLst>
            <a:ext uri="{FF2B5EF4-FFF2-40B4-BE49-F238E27FC236}">
              <a16:creationId xmlns:a16="http://schemas.microsoft.com/office/drawing/2014/main" id="{00000000-0008-0000-0400-00009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9" name="Picture 14" descr="Italia">
          <a:hlinkClick xmlns:r="http://schemas.openxmlformats.org/officeDocument/2006/relationships" r:id="rId96"/>
          <a:extLst>
            <a:ext uri="{FF2B5EF4-FFF2-40B4-BE49-F238E27FC236}">
              <a16:creationId xmlns:a16="http://schemas.microsoft.com/office/drawing/2014/main" id="{00000000-0008-0000-0400-00009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0" name="Picture 16" descr="España">
          <a:hlinkClick xmlns:r="http://schemas.openxmlformats.org/officeDocument/2006/relationships" r:id="rId90"/>
          <a:extLst>
            <a:ext uri="{FF2B5EF4-FFF2-40B4-BE49-F238E27FC236}">
              <a16:creationId xmlns:a16="http://schemas.microsoft.com/office/drawing/2014/main" id="{00000000-0008-0000-0400-00009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1" name="Picture 18" descr="France">
          <a:hlinkClick xmlns:r="http://schemas.openxmlformats.org/officeDocument/2006/relationships" r:id="rId97"/>
          <a:extLst>
            <a:ext uri="{FF2B5EF4-FFF2-40B4-BE49-F238E27FC236}">
              <a16:creationId xmlns:a16="http://schemas.microsoft.com/office/drawing/2014/main" id="{00000000-0008-0000-0400-00009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2" name="Picture 19" descr="France">
          <a:hlinkClick xmlns:r="http://schemas.openxmlformats.org/officeDocument/2006/relationships" r:id="rId97"/>
          <a:extLst>
            <a:ext uri="{FF2B5EF4-FFF2-40B4-BE49-F238E27FC236}">
              <a16:creationId xmlns:a16="http://schemas.microsoft.com/office/drawing/2014/main" id="{00000000-0008-0000-0400-00009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3" name="Picture 21" descr="Argentina">
          <a:hlinkClick xmlns:r="http://schemas.openxmlformats.org/officeDocument/2006/relationships" r:id="rId98"/>
          <a:extLst>
            <a:ext uri="{FF2B5EF4-FFF2-40B4-BE49-F238E27FC236}">
              <a16:creationId xmlns:a16="http://schemas.microsoft.com/office/drawing/2014/main" id="{00000000-0008-0000-0400-00009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4" name="Picture 23" descr="España">
          <a:hlinkClick xmlns:r="http://schemas.openxmlformats.org/officeDocument/2006/relationships" r:id="rId90"/>
          <a:extLst>
            <a:ext uri="{FF2B5EF4-FFF2-40B4-BE49-F238E27FC236}">
              <a16:creationId xmlns:a16="http://schemas.microsoft.com/office/drawing/2014/main" id="{00000000-0008-0000-0400-00009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5" name="Picture 25" descr="Lubnan">
          <a:hlinkClick xmlns:r="http://schemas.openxmlformats.org/officeDocument/2006/relationships" r:id="rId99"/>
          <a:extLst>
            <a:ext uri="{FF2B5EF4-FFF2-40B4-BE49-F238E27FC236}">
              <a16:creationId xmlns:a16="http://schemas.microsoft.com/office/drawing/2014/main" id="{00000000-0008-0000-0400-00009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6" name="Picture 27" descr="Magyarország">
          <a:hlinkClick xmlns:r="http://schemas.openxmlformats.org/officeDocument/2006/relationships" r:id="rId100"/>
          <a:extLst>
            <a:ext uri="{FF2B5EF4-FFF2-40B4-BE49-F238E27FC236}">
              <a16:creationId xmlns:a16="http://schemas.microsoft.com/office/drawing/2014/main" id="{00000000-0008-0000-0400-00009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7" name="Picture 29" descr="Uruguay">
          <a:hlinkClick xmlns:r="http://schemas.openxmlformats.org/officeDocument/2006/relationships" r:id="rId101"/>
          <a:extLst>
            <a:ext uri="{FF2B5EF4-FFF2-40B4-BE49-F238E27FC236}">
              <a16:creationId xmlns:a16="http://schemas.microsoft.com/office/drawing/2014/main" id="{00000000-0008-0000-0400-00009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8" name="Picture 30" descr="Italia">
          <a:hlinkClick xmlns:r="http://schemas.openxmlformats.org/officeDocument/2006/relationships" r:id="rId96"/>
          <a:extLst>
            <a:ext uri="{FF2B5EF4-FFF2-40B4-BE49-F238E27FC236}">
              <a16:creationId xmlns:a16="http://schemas.microsoft.com/office/drawing/2014/main" id="{00000000-0008-0000-0400-00009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9" name="Picture 31" descr="Nederland">
          <a:hlinkClick xmlns:r="http://schemas.openxmlformats.org/officeDocument/2006/relationships" r:id="rId95"/>
          <a:extLst>
            <a:ext uri="{FF2B5EF4-FFF2-40B4-BE49-F238E27FC236}">
              <a16:creationId xmlns:a16="http://schemas.microsoft.com/office/drawing/2014/main" id="{00000000-0008-0000-0400-00009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0" name="Picture 32" descr="Italia">
          <a:hlinkClick xmlns:r="http://schemas.openxmlformats.org/officeDocument/2006/relationships" r:id="rId96"/>
          <a:extLst>
            <a:ext uri="{FF2B5EF4-FFF2-40B4-BE49-F238E27FC236}">
              <a16:creationId xmlns:a16="http://schemas.microsoft.com/office/drawing/2014/main" id="{00000000-0008-0000-0400-00009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1" name="Picture 34" descr="Deutschland">
          <a:hlinkClick xmlns:r="http://schemas.openxmlformats.org/officeDocument/2006/relationships" r:id="rId102"/>
          <a:extLst>
            <a:ext uri="{FF2B5EF4-FFF2-40B4-BE49-F238E27FC236}">
              <a16:creationId xmlns:a16="http://schemas.microsoft.com/office/drawing/2014/main" id="{00000000-0008-0000-0400-00009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2" name="Picture 36" descr="Israel">
          <a:hlinkClick xmlns:r="http://schemas.openxmlformats.org/officeDocument/2006/relationships" r:id="rId103"/>
          <a:extLst>
            <a:ext uri="{FF2B5EF4-FFF2-40B4-BE49-F238E27FC236}">
              <a16:creationId xmlns:a16="http://schemas.microsoft.com/office/drawing/2014/main" id="{00000000-0008-0000-0400-0000A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3" name="Picture 37" descr="Slovensko">
          <a:hlinkClick xmlns:r="http://schemas.openxmlformats.org/officeDocument/2006/relationships" r:id="rId104"/>
          <a:extLst>
            <a:ext uri="{FF2B5EF4-FFF2-40B4-BE49-F238E27FC236}">
              <a16:creationId xmlns:a16="http://schemas.microsoft.com/office/drawing/2014/main" id="{00000000-0008-0000-0400-0000A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4" name="Picture 2" descr="España">
          <a:hlinkClick xmlns:r="http://schemas.openxmlformats.org/officeDocument/2006/relationships" r:id="rId90"/>
          <a:extLst>
            <a:ext uri="{FF2B5EF4-FFF2-40B4-BE49-F238E27FC236}">
              <a16:creationId xmlns:a16="http://schemas.microsoft.com/office/drawing/2014/main" id="{00000000-0008-0000-0400-0000A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5" name="Picture 3" descr="USA">
          <a:hlinkClick xmlns:r="http://schemas.openxmlformats.org/officeDocument/2006/relationships" r:id="rId91"/>
          <a:extLst>
            <a:ext uri="{FF2B5EF4-FFF2-40B4-BE49-F238E27FC236}">
              <a16:creationId xmlns:a16="http://schemas.microsoft.com/office/drawing/2014/main" id="{00000000-0008-0000-0400-0000A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6" name="Picture 5" descr="España">
          <a:hlinkClick xmlns:r="http://schemas.openxmlformats.org/officeDocument/2006/relationships" r:id="rId90"/>
          <a:extLst>
            <a:ext uri="{FF2B5EF4-FFF2-40B4-BE49-F238E27FC236}">
              <a16:creationId xmlns:a16="http://schemas.microsoft.com/office/drawing/2014/main" id="{00000000-0008-0000-0400-0000A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7" name="Picture 6" descr="España">
          <a:hlinkClick xmlns:r="http://schemas.openxmlformats.org/officeDocument/2006/relationships" r:id="rId90"/>
          <a:extLst>
            <a:ext uri="{FF2B5EF4-FFF2-40B4-BE49-F238E27FC236}">
              <a16:creationId xmlns:a16="http://schemas.microsoft.com/office/drawing/2014/main" id="{00000000-0008-0000-0400-0000A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8" name="Picture 8" descr="Česká republika">
          <a:hlinkClick xmlns:r="http://schemas.openxmlformats.org/officeDocument/2006/relationships" r:id="rId92"/>
          <a:extLst>
            <a:ext uri="{FF2B5EF4-FFF2-40B4-BE49-F238E27FC236}">
              <a16:creationId xmlns:a16="http://schemas.microsoft.com/office/drawing/2014/main" id="{00000000-0008-0000-0400-0000A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9" name="Picture 9" descr="Sverige">
          <a:hlinkClick xmlns:r="http://schemas.openxmlformats.org/officeDocument/2006/relationships" r:id="rId93"/>
          <a:extLst>
            <a:ext uri="{FF2B5EF4-FFF2-40B4-BE49-F238E27FC236}">
              <a16:creationId xmlns:a16="http://schemas.microsoft.com/office/drawing/2014/main" id="{00000000-0008-0000-0400-0000A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0" name="Picture 11" descr="Suomi">
          <a:hlinkClick xmlns:r="http://schemas.openxmlformats.org/officeDocument/2006/relationships" r:id="rId94"/>
          <a:extLst>
            <a:ext uri="{FF2B5EF4-FFF2-40B4-BE49-F238E27FC236}">
              <a16:creationId xmlns:a16="http://schemas.microsoft.com/office/drawing/2014/main" id="{00000000-0008-0000-0400-0000A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1" name="Picture 12" descr="España">
          <a:hlinkClick xmlns:r="http://schemas.openxmlformats.org/officeDocument/2006/relationships" r:id="rId90"/>
          <a:extLst>
            <a:ext uri="{FF2B5EF4-FFF2-40B4-BE49-F238E27FC236}">
              <a16:creationId xmlns:a16="http://schemas.microsoft.com/office/drawing/2014/main" id="{00000000-0008-0000-0400-0000A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2" name="Picture 13" descr="Nederland">
          <a:hlinkClick xmlns:r="http://schemas.openxmlformats.org/officeDocument/2006/relationships" r:id="rId95"/>
          <a:extLst>
            <a:ext uri="{FF2B5EF4-FFF2-40B4-BE49-F238E27FC236}">
              <a16:creationId xmlns:a16="http://schemas.microsoft.com/office/drawing/2014/main" id="{00000000-0008-0000-0400-0000A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3" name="Picture 14" descr="Italia">
          <a:hlinkClick xmlns:r="http://schemas.openxmlformats.org/officeDocument/2006/relationships" r:id="rId96"/>
          <a:extLst>
            <a:ext uri="{FF2B5EF4-FFF2-40B4-BE49-F238E27FC236}">
              <a16:creationId xmlns:a16="http://schemas.microsoft.com/office/drawing/2014/main" id="{00000000-0008-0000-0400-0000A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4" name="Picture 16" descr="España">
          <a:hlinkClick xmlns:r="http://schemas.openxmlformats.org/officeDocument/2006/relationships" r:id="rId90"/>
          <a:extLst>
            <a:ext uri="{FF2B5EF4-FFF2-40B4-BE49-F238E27FC236}">
              <a16:creationId xmlns:a16="http://schemas.microsoft.com/office/drawing/2014/main" id="{00000000-0008-0000-0400-0000A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5" name="Picture 18" descr="France">
          <a:hlinkClick xmlns:r="http://schemas.openxmlformats.org/officeDocument/2006/relationships" r:id="rId97"/>
          <a:extLst>
            <a:ext uri="{FF2B5EF4-FFF2-40B4-BE49-F238E27FC236}">
              <a16:creationId xmlns:a16="http://schemas.microsoft.com/office/drawing/2014/main" id="{00000000-0008-0000-0400-0000A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6" name="Picture 19" descr="France">
          <a:hlinkClick xmlns:r="http://schemas.openxmlformats.org/officeDocument/2006/relationships" r:id="rId97"/>
          <a:extLst>
            <a:ext uri="{FF2B5EF4-FFF2-40B4-BE49-F238E27FC236}">
              <a16:creationId xmlns:a16="http://schemas.microsoft.com/office/drawing/2014/main" id="{00000000-0008-0000-0400-0000A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7" name="Picture 21" descr="Argentina">
          <a:hlinkClick xmlns:r="http://schemas.openxmlformats.org/officeDocument/2006/relationships" r:id="rId98"/>
          <a:extLst>
            <a:ext uri="{FF2B5EF4-FFF2-40B4-BE49-F238E27FC236}">
              <a16:creationId xmlns:a16="http://schemas.microsoft.com/office/drawing/2014/main" id="{00000000-0008-0000-0400-0000A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8" name="Picture 23" descr="España">
          <a:hlinkClick xmlns:r="http://schemas.openxmlformats.org/officeDocument/2006/relationships" r:id="rId90"/>
          <a:extLst>
            <a:ext uri="{FF2B5EF4-FFF2-40B4-BE49-F238E27FC236}">
              <a16:creationId xmlns:a16="http://schemas.microsoft.com/office/drawing/2014/main" id="{00000000-0008-0000-0400-0000B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9" name="Picture 25" descr="Lubnan">
          <a:hlinkClick xmlns:r="http://schemas.openxmlformats.org/officeDocument/2006/relationships" r:id="rId99"/>
          <a:extLst>
            <a:ext uri="{FF2B5EF4-FFF2-40B4-BE49-F238E27FC236}">
              <a16:creationId xmlns:a16="http://schemas.microsoft.com/office/drawing/2014/main" id="{00000000-0008-0000-0400-0000B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0" name="Picture 27" descr="Magyarország">
          <a:hlinkClick xmlns:r="http://schemas.openxmlformats.org/officeDocument/2006/relationships" r:id="rId100"/>
          <a:extLst>
            <a:ext uri="{FF2B5EF4-FFF2-40B4-BE49-F238E27FC236}">
              <a16:creationId xmlns:a16="http://schemas.microsoft.com/office/drawing/2014/main" id="{00000000-0008-0000-0400-0000B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1" name="Picture 29" descr="Uruguay">
          <a:hlinkClick xmlns:r="http://schemas.openxmlformats.org/officeDocument/2006/relationships" r:id="rId101"/>
          <a:extLst>
            <a:ext uri="{FF2B5EF4-FFF2-40B4-BE49-F238E27FC236}">
              <a16:creationId xmlns:a16="http://schemas.microsoft.com/office/drawing/2014/main" id="{00000000-0008-0000-0400-0000B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2" name="Picture 30" descr="Italia">
          <a:hlinkClick xmlns:r="http://schemas.openxmlformats.org/officeDocument/2006/relationships" r:id="rId96"/>
          <a:extLst>
            <a:ext uri="{FF2B5EF4-FFF2-40B4-BE49-F238E27FC236}">
              <a16:creationId xmlns:a16="http://schemas.microsoft.com/office/drawing/2014/main" id="{00000000-0008-0000-0400-0000B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3" name="Picture 31" descr="Nederland">
          <a:hlinkClick xmlns:r="http://schemas.openxmlformats.org/officeDocument/2006/relationships" r:id="rId95"/>
          <a:extLst>
            <a:ext uri="{FF2B5EF4-FFF2-40B4-BE49-F238E27FC236}">
              <a16:creationId xmlns:a16="http://schemas.microsoft.com/office/drawing/2014/main" id="{00000000-0008-0000-0400-0000B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4" name="Picture 32" descr="Italia">
          <a:hlinkClick xmlns:r="http://schemas.openxmlformats.org/officeDocument/2006/relationships" r:id="rId96"/>
          <a:extLst>
            <a:ext uri="{FF2B5EF4-FFF2-40B4-BE49-F238E27FC236}">
              <a16:creationId xmlns:a16="http://schemas.microsoft.com/office/drawing/2014/main" id="{00000000-0008-0000-0400-0000B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5" name="Picture 34" descr="Deutschland">
          <a:hlinkClick xmlns:r="http://schemas.openxmlformats.org/officeDocument/2006/relationships" r:id="rId102"/>
          <a:extLst>
            <a:ext uri="{FF2B5EF4-FFF2-40B4-BE49-F238E27FC236}">
              <a16:creationId xmlns:a16="http://schemas.microsoft.com/office/drawing/2014/main" id="{00000000-0008-0000-0400-0000B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6" name="Picture 36" descr="Israel">
          <a:hlinkClick xmlns:r="http://schemas.openxmlformats.org/officeDocument/2006/relationships" r:id="rId103"/>
          <a:extLst>
            <a:ext uri="{FF2B5EF4-FFF2-40B4-BE49-F238E27FC236}">
              <a16:creationId xmlns:a16="http://schemas.microsoft.com/office/drawing/2014/main" id="{00000000-0008-0000-0400-0000B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7" name="Picture 37" descr="Slovensko">
          <a:hlinkClick xmlns:r="http://schemas.openxmlformats.org/officeDocument/2006/relationships" r:id="rId104"/>
          <a:extLst>
            <a:ext uri="{FF2B5EF4-FFF2-40B4-BE49-F238E27FC236}">
              <a16:creationId xmlns:a16="http://schemas.microsoft.com/office/drawing/2014/main" id="{00000000-0008-0000-0400-0000B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8" name="Picture 2" descr="España">
          <a:hlinkClick xmlns:r="http://schemas.openxmlformats.org/officeDocument/2006/relationships" r:id="rId90"/>
          <a:extLst>
            <a:ext uri="{FF2B5EF4-FFF2-40B4-BE49-F238E27FC236}">
              <a16:creationId xmlns:a16="http://schemas.microsoft.com/office/drawing/2014/main" id="{00000000-0008-0000-0400-0000B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9" name="Picture 3" descr="USA">
          <a:hlinkClick xmlns:r="http://schemas.openxmlformats.org/officeDocument/2006/relationships" r:id="rId91"/>
          <a:extLst>
            <a:ext uri="{FF2B5EF4-FFF2-40B4-BE49-F238E27FC236}">
              <a16:creationId xmlns:a16="http://schemas.microsoft.com/office/drawing/2014/main" id="{00000000-0008-0000-0400-0000B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0" name="Picture 5" descr="España">
          <a:hlinkClick xmlns:r="http://schemas.openxmlformats.org/officeDocument/2006/relationships" r:id="rId90"/>
          <a:extLst>
            <a:ext uri="{FF2B5EF4-FFF2-40B4-BE49-F238E27FC236}">
              <a16:creationId xmlns:a16="http://schemas.microsoft.com/office/drawing/2014/main" id="{00000000-0008-0000-0400-0000B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1" name="Picture 6" descr="España">
          <a:hlinkClick xmlns:r="http://schemas.openxmlformats.org/officeDocument/2006/relationships" r:id="rId90"/>
          <a:extLst>
            <a:ext uri="{FF2B5EF4-FFF2-40B4-BE49-F238E27FC236}">
              <a16:creationId xmlns:a16="http://schemas.microsoft.com/office/drawing/2014/main" id="{00000000-0008-0000-0400-0000B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2" name="Picture 8" descr="Česká republika">
          <a:hlinkClick xmlns:r="http://schemas.openxmlformats.org/officeDocument/2006/relationships" r:id="rId92"/>
          <a:extLst>
            <a:ext uri="{FF2B5EF4-FFF2-40B4-BE49-F238E27FC236}">
              <a16:creationId xmlns:a16="http://schemas.microsoft.com/office/drawing/2014/main" id="{00000000-0008-0000-0400-0000B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3" name="Picture 9" descr="Sverige">
          <a:hlinkClick xmlns:r="http://schemas.openxmlformats.org/officeDocument/2006/relationships" r:id="rId93"/>
          <a:extLst>
            <a:ext uri="{FF2B5EF4-FFF2-40B4-BE49-F238E27FC236}">
              <a16:creationId xmlns:a16="http://schemas.microsoft.com/office/drawing/2014/main" id="{00000000-0008-0000-0400-0000B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4" name="Picture 11" descr="Suomi">
          <a:hlinkClick xmlns:r="http://schemas.openxmlformats.org/officeDocument/2006/relationships" r:id="rId94"/>
          <a:extLst>
            <a:ext uri="{FF2B5EF4-FFF2-40B4-BE49-F238E27FC236}">
              <a16:creationId xmlns:a16="http://schemas.microsoft.com/office/drawing/2014/main" id="{00000000-0008-0000-0400-0000C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5" name="Picture 12" descr="España">
          <a:hlinkClick xmlns:r="http://schemas.openxmlformats.org/officeDocument/2006/relationships" r:id="rId90"/>
          <a:extLst>
            <a:ext uri="{FF2B5EF4-FFF2-40B4-BE49-F238E27FC236}">
              <a16:creationId xmlns:a16="http://schemas.microsoft.com/office/drawing/2014/main" id="{00000000-0008-0000-0400-0000C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6" name="Picture 13" descr="Nederland">
          <a:hlinkClick xmlns:r="http://schemas.openxmlformats.org/officeDocument/2006/relationships" r:id="rId95"/>
          <a:extLst>
            <a:ext uri="{FF2B5EF4-FFF2-40B4-BE49-F238E27FC236}">
              <a16:creationId xmlns:a16="http://schemas.microsoft.com/office/drawing/2014/main" id="{00000000-0008-0000-0400-0000C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7" name="Picture 14" descr="Italia">
          <a:hlinkClick xmlns:r="http://schemas.openxmlformats.org/officeDocument/2006/relationships" r:id="rId96"/>
          <a:extLst>
            <a:ext uri="{FF2B5EF4-FFF2-40B4-BE49-F238E27FC236}">
              <a16:creationId xmlns:a16="http://schemas.microsoft.com/office/drawing/2014/main" id="{00000000-0008-0000-0400-0000C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8" name="Picture 16" descr="España">
          <a:hlinkClick xmlns:r="http://schemas.openxmlformats.org/officeDocument/2006/relationships" r:id="rId90"/>
          <a:extLst>
            <a:ext uri="{FF2B5EF4-FFF2-40B4-BE49-F238E27FC236}">
              <a16:creationId xmlns:a16="http://schemas.microsoft.com/office/drawing/2014/main" id="{00000000-0008-0000-0400-0000C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9" name="Picture 18" descr="France">
          <a:hlinkClick xmlns:r="http://schemas.openxmlformats.org/officeDocument/2006/relationships" r:id="rId97"/>
          <a:extLst>
            <a:ext uri="{FF2B5EF4-FFF2-40B4-BE49-F238E27FC236}">
              <a16:creationId xmlns:a16="http://schemas.microsoft.com/office/drawing/2014/main" id="{00000000-0008-0000-0400-0000C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0" name="Picture 19" descr="France">
          <a:hlinkClick xmlns:r="http://schemas.openxmlformats.org/officeDocument/2006/relationships" r:id="rId97"/>
          <a:extLst>
            <a:ext uri="{FF2B5EF4-FFF2-40B4-BE49-F238E27FC236}">
              <a16:creationId xmlns:a16="http://schemas.microsoft.com/office/drawing/2014/main" id="{00000000-0008-0000-0400-0000C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1" name="Picture 21" descr="Argentina">
          <a:hlinkClick xmlns:r="http://schemas.openxmlformats.org/officeDocument/2006/relationships" r:id="rId98"/>
          <a:extLst>
            <a:ext uri="{FF2B5EF4-FFF2-40B4-BE49-F238E27FC236}">
              <a16:creationId xmlns:a16="http://schemas.microsoft.com/office/drawing/2014/main" id="{00000000-0008-0000-0400-0000C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2" name="Picture 23" descr="España">
          <a:hlinkClick xmlns:r="http://schemas.openxmlformats.org/officeDocument/2006/relationships" r:id="rId90"/>
          <a:extLst>
            <a:ext uri="{FF2B5EF4-FFF2-40B4-BE49-F238E27FC236}">
              <a16:creationId xmlns:a16="http://schemas.microsoft.com/office/drawing/2014/main" id="{00000000-0008-0000-0400-0000C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3" name="Picture 25" descr="Lubnan">
          <a:hlinkClick xmlns:r="http://schemas.openxmlformats.org/officeDocument/2006/relationships" r:id="rId99"/>
          <a:extLst>
            <a:ext uri="{FF2B5EF4-FFF2-40B4-BE49-F238E27FC236}">
              <a16:creationId xmlns:a16="http://schemas.microsoft.com/office/drawing/2014/main" id="{00000000-0008-0000-0400-0000C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4" name="Picture 27" descr="Magyarország">
          <a:hlinkClick xmlns:r="http://schemas.openxmlformats.org/officeDocument/2006/relationships" r:id="rId100"/>
          <a:extLst>
            <a:ext uri="{FF2B5EF4-FFF2-40B4-BE49-F238E27FC236}">
              <a16:creationId xmlns:a16="http://schemas.microsoft.com/office/drawing/2014/main" id="{00000000-0008-0000-0400-0000C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5" name="Picture 29" descr="Uruguay">
          <a:hlinkClick xmlns:r="http://schemas.openxmlformats.org/officeDocument/2006/relationships" r:id="rId101"/>
          <a:extLst>
            <a:ext uri="{FF2B5EF4-FFF2-40B4-BE49-F238E27FC236}">
              <a16:creationId xmlns:a16="http://schemas.microsoft.com/office/drawing/2014/main" id="{00000000-0008-0000-0400-0000C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6" name="Picture 30" descr="Italia">
          <a:hlinkClick xmlns:r="http://schemas.openxmlformats.org/officeDocument/2006/relationships" r:id="rId96"/>
          <a:extLst>
            <a:ext uri="{FF2B5EF4-FFF2-40B4-BE49-F238E27FC236}">
              <a16:creationId xmlns:a16="http://schemas.microsoft.com/office/drawing/2014/main" id="{00000000-0008-0000-0400-0000C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7" name="Picture 31" descr="Nederland">
          <a:hlinkClick xmlns:r="http://schemas.openxmlformats.org/officeDocument/2006/relationships" r:id="rId95"/>
          <a:extLst>
            <a:ext uri="{FF2B5EF4-FFF2-40B4-BE49-F238E27FC236}">
              <a16:creationId xmlns:a16="http://schemas.microsoft.com/office/drawing/2014/main" id="{00000000-0008-0000-0400-0000C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8" name="Picture 32" descr="Italia">
          <a:hlinkClick xmlns:r="http://schemas.openxmlformats.org/officeDocument/2006/relationships" r:id="rId96"/>
          <a:extLst>
            <a:ext uri="{FF2B5EF4-FFF2-40B4-BE49-F238E27FC236}">
              <a16:creationId xmlns:a16="http://schemas.microsoft.com/office/drawing/2014/main" id="{00000000-0008-0000-0400-0000C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9" name="Picture 34" descr="Deutschland">
          <a:hlinkClick xmlns:r="http://schemas.openxmlformats.org/officeDocument/2006/relationships" r:id="rId102"/>
          <a:extLst>
            <a:ext uri="{FF2B5EF4-FFF2-40B4-BE49-F238E27FC236}">
              <a16:creationId xmlns:a16="http://schemas.microsoft.com/office/drawing/2014/main" id="{00000000-0008-0000-0400-0000C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0" name="Picture 36" descr="Israel">
          <a:hlinkClick xmlns:r="http://schemas.openxmlformats.org/officeDocument/2006/relationships" r:id="rId103"/>
          <a:extLst>
            <a:ext uri="{FF2B5EF4-FFF2-40B4-BE49-F238E27FC236}">
              <a16:creationId xmlns:a16="http://schemas.microsoft.com/office/drawing/2014/main" id="{00000000-0008-0000-0400-0000D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1" name="Picture 37" descr="Slovensko">
          <a:hlinkClick xmlns:r="http://schemas.openxmlformats.org/officeDocument/2006/relationships" r:id="rId104"/>
          <a:extLst>
            <a:ext uri="{FF2B5EF4-FFF2-40B4-BE49-F238E27FC236}">
              <a16:creationId xmlns:a16="http://schemas.microsoft.com/office/drawing/2014/main" id="{00000000-0008-0000-0400-0000D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2" name="Picture 2" descr="España">
          <a:hlinkClick xmlns:r="http://schemas.openxmlformats.org/officeDocument/2006/relationships" r:id="rId90"/>
          <a:extLst>
            <a:ext uri="{FF2B5EF4-FFF2-40B4-BE49-F238E27FC236}">
              <a16:creationId xmlns:a16="http://schemas.microsoft.com/office/drawing/2014/main" id="{00000000-0008-0000-0400-0000D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3" name="Picture 3" descr="USA">
          <a:hlinkClick xmlns:r="http://schemas.openxmlformats.org/officeDocument/2006/relationships" r:id="rId91"/>
          <a:extLst>
            <a:ext uri="{FF2B5EF4-FFF2-40B4-BE49-F238E27FC236}">
              <a16:creationId xmlns:a16="http://schemas.microsoft.com/office/drawing/2014/main" id="{00000000-0008-0000-0400-0000D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4" name="Picture 5" descr="España">
          <a:hlinkClick xmlns:r="http://schemas.openxmlformats.org/officeDocument/2006/relationships" r:id="rId90"/>
          <a:extLst>
            <a:ext uri="{FF2B5EF4-FFF2-40B4-BE49-F238E27FC236}">
              <a16:creationId xmlns:a16="http://schemas.microsoft.com/office/drawing/2014/main" id="{00000000-0008-0000-0400-0000D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5" name="Picture 6" descr="España">
          <a:hlinkClick xmlns:r="http://schemas.openxmlformats.org/officeDocument/2006/relationships" r:id="rId90"/>
          <a:extLst>
            <a:ext uri="{FF2B5EF4-FFF2-40B4-BE49-F238E27FC236}">
              <a16:creationId xmlns:a16="http://schemas.microsoft.com/office/drawing/2014/main" id="{00000000-0008-0000-0400-0000D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6" name="Picture 8" descr="Česká republika">
          <a:hlinkClick xmlns:r="http://schemas.openxmlformats.org/officeDocument/2006/relationships" r:id="rId92"/>
          <a:extLst>
            <a:ext uri="{FF2B5EF4-FFF2-40B4-BE49-F238E27FC236}">
              <a16:creationId xmlns:a16="http://schemas.microsoft.com/office/drawing/2014/main" id="{00000000-0008-0000-0400-0000D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7" name="Picture 9" descr="Sverige">
          <a:hlinkClick xmlns:r="http://schemas.openxmlformats.org/officeDocument/2006/relationships" r:id="rId93"/>
          <a:extLst>
            <a:ext uri="{FF2B5EF4-FFF2-40B4-BE49-F238E27FC236}">
              <a16:creationId xmlns:a16="http://schemas.microsoft.com/office/drawing/2014/main" id="{00000000-0008-0000-0400-0000D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8" name="Picture 11" descr="Suomi">
          <a:hlinkClick xmlns:r="http://schemas.openxmlformats.org/officeDocument/2006/relationships" r:id="rId94"/>
          <a:extLst>
            <a:ext uri="{FF2B5EF4-FFF2-40B4-BE49-F238E27FC236}">
              <a16:creationId xmlns:a16="http://schemas.microsoft.com/office/drawing/2014/main" id="{00000000-0008-0000-0400-0000D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9" name="Picture 12" descr="España">
          <a:hlinkClick xmlns:r="http://schemas.openxmlformats.org/officeDocument/2006/relationships" r:id="rId90"/>
          <a:extLst>
            <a:ext uri="{FF2B5EF4-FFF2-40B4-BE49-F238E27FC236}">
              <a16:creationId xmlns:a16="http://schemas.microsoft.com/office/drawing/2014/main" id="{00000000-0008-0000-0400-0000D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0" name="Picture 13" descr="Nederland">
          <a:hlinkClick xmlns:r="http://schemas.openxmlformats.org/officeDocument/2006/relationships" r:id="rId95"/>
          <a:extLst>
            <a:ext uri="{FF2B5EF4-FFF2-40B4-BE49-F238E27FC236}">
              <a16:creationId xmlns:a16="http://schemas.microsoft.com/office/drawing/2014/main" id="{00000000-0008-0000-0400-0000D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1" name="Picture 14" descr="Italia">
          <a:hlinkClick xmlns:r="http://schemas.openxmlformats.org/officeDocument/2006/relationships" r:id="rId96"/>
          <a:extLst>
            <a:ext uri="{FF2B5EF4-FFF2-40B4-BE49-F238E27FC236}">
              <a16:creationId xmlns:a16="http://schemas.microsoft.com/office/drawing/2014/main" id="{00000000-0008-0000-0400-0000D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2" name="Picture 16" descr="España">
          <a:hlinkClick xmlns:r="http://schemas.openxmlformats.org/officeDocument/2006/relationships" r:id="rId90"/>
          <a:extLst>
            <a:ext uri="{FF2B5EF4-FFF2-40B4-BE49-F238E27FC236}">
              <a16:creationId xmlns:a16="http://schemas.microsoft.com/office/drawing/2014/main" id="{00000000-0008-0000-0400-0000D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3" name="Picture 18" descr="France">
          <a:hlinkClick xmlns:r="http://schemas.openxmlformats.org/officeDocument/2006/relationships" r:id="rId97"/>
          <a:extLst>
            <a:ext uri="{FF2B5EF4-FFF2-40B4-BE49-F238E27FC236}">
              <a16:creationId xmlns:a16="http://schemas.microsoft.com/office/drawing/2014/main" id="{00000000-0008-0000-0400-0000D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4" name="Picture 19" descr="France">
          <a:hlinkClick xmlns:r="http://schemas.openxmlformats.org/officeDocument/2006/relationships" r:id="rId97"/>
          <a:extLst>
            <a:ext uri="{FF2B5EF4-FFF2-40B4-BE49-F238E27FC236}">
              <a16:creationId xmlns:a16="http://schemas.microsoft.com/office/drawing/2014/main" id="{00000000-0008-0000-0400-0000D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5" name="Picture 21" descr="Argentina">
          <a:hlinkClick xmlns:r="http://schemas.openxmlformats.org/officeDocument/2006/relationships" r:id="rId98"/>
          <a:extLst>
            <a:ext uri="{FF2B5EF4-FFF2-40B4-BE49-F238E27FC236}">
              <a16:creationId xmlns:a16="http://schemas.microsoft.com/office/drawing/2014/main" id="{00000000-0008-0000-0400-0000D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6" name="Picture 23" descr="España">
          <a:hlinkClick xmlns:r="http://schemas.openxmlformats.org/officeDocument/2006/relationships" r:id="rId90"/>
          <a:extLst>
            <a:ext uri="{FF2B5EF4-FFF2-40B4-BE49-F238E27FC236}">
              <a16:creationId xmlns:a16="http://schemas.microsoft.com/office/drawing/2014/main" id="{00000000-0008-0000-0400-0000E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7" name="Picture 25" descr="Lubnan">
          <a:hlinkClick xmlns:r="http://schemas.openxmlformats.org/officeDocument/2006/relationships" r:id="rId99"/>
          <a:extLst>
            <a:ext uri="{FF2B5EF4-FFF2-40B4-BE49-F238E27FC236}">
              <a16:creationId xmlns:a16="http://schemas.microsoft.com/office/drawing/2014/main" id="{00000000-0008-0000-0400-0000E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8" name="Picture 27" descr="Magyarország">
          <a:hlinkClick xmlns:r="http://schemas.openxmlformats.org/officeDocument/2006/relationships" r:id="rId100"/>
          <a:extLst>
            <a:ext uri="{FF2B5EF4-FFF2-40B4-BE49-F238E27FC236}">
              <a16:creationId xmlns:a16="http://schemas.microsoft.com/office/drawing/2014/main" id="{00000000-0008-0000-0400-0000E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9" name="Picture 29" descr="Uruguay">
          <a:hlinkClick xmlns:r="http://schemas.openxmlformats.org/officeDocument/2006/relationships" r:id="rId101"/>
          <a:extLst>
            <a:ext uri="{FF2B5EF4-FFF2-40B4-BE49-F238E27FC236}">
              <a16:creationId xmlns:a16="http://schemas.microsoft.com/office/drawing/2014/main" id="{00000000-0008-0000-0400-0000E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0" name="Picture 30" descr="Italia">
          <a:hlinkClick xmlns:r="http://schemas.openxmlformats.org/officeDocument/2006/relationships" r:id="rId96"/>
          <a:extLst>
            <a:ext uri="{FF2B5EF4-FFF2-40B4-BE49-F238E27FC236}">
              <a16:creationId xmlns:a16="http://schemas.microsoft.com/office/drawing/2014/main" id="{00000000-0008-0000-0400-0000E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1" name="Picture 31" descr="Nederland">
          <a:hlinkClick xmlns:r="http://schemas.openxmlformats.org/officeDocument/2006/relationships" r:id="rId95"/>
          <a:extLst>
            <a:ext uri="{FF2B5EF4-FFF2-40B4-BE49-F238E27FC236}">
              <a16:creationId xmlns:a16="http://schemas.microsoft.com/office/drawing/2014/main" id="{00000000-0008-0000-0400-0000E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2" name="Picture 32" descr="Italia">
          <a:hlinkClick xmlns:r="http://schemas.openxmlformats.org/officeDocument/2006/relationships" r:id="rId96"/>
          <a:extLst>
            <a:ext uri="{FF2B5EF4-FFF2-40B4-BE49-F238E27FC236}">
              <a16:creationId xmlns:a16="http://schemas.microsoft.com/office/drawing/2014/main" id="{00000000-0008-0000-0400-0000E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3" name="Picture 34" descr="Deutschland">
          <a:hlinkClick xmlns:r="http://schemas.openxmlformats.org/officeDocument/2006/relationships" r:id="rId102"/>
          <a:extLst>
            <a:ext uri="{FF2B5EF4-FFF2-40B4-BE49-F238E27FC236}">
              <a16:creationId xmlns:a16="http://schemas.microsoft.com/office/drawing/2014/main" id="{00000000-0008-0000-0400-0000E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4" name="Picture 36" descr="Israel">
          <a:hlinkClick xmlns:r="http://schemas.openxmlformats.org/officeDocument/2006/relationships" r:id="rId103"/>
          <a:extLst>
            <a:ext uri="{FF2B5EF4-FFF2-40B4-BE49-F238E27FC236}">
              <a16:creationId xmlns:a16="http://schemas.microsoft.com/office/drawing/2014/main" id="{00000000-0008-0000-0400-0000E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5" name="Picture 37" descr="Slovensko">
          <a:hlinkClick xmlns:r="http://schemas.openxmlformats.org/officeDocument/2006/relationships" r:id="rId104"/>
          <a:extLst>
            <a:ext uri="{FF2B5EF4-FFF2-40B4-BE49-F238E27FC236}">
              <a16:creationId xmlns:a16="http://schemas.microsoft.com/office/drawing/2014/main" id="{00000000-0008-0000-0400-0000E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6" name="Picture 2" descr="España">
          <a:hlinkClick xmlns:r="http://schemas.openxmlformats.org/officeDocument/2006/relationships" r:id="rId90"/>
          <a:extLst>
            <a:ext uri="{FF2B5EF4-FFF2-40B4-BE49-F238E27FC236}">
              <a16:creationId xmlns:a16="http://schemas.microsoft.com/office/drawing/2014/main" id="{00000000-0008-0000-0400-0000E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7" name="Picture 3" descr="USA">
          <a:hlinkClick xmlns:r="http://schemas.openxmlformats.org/officeDocument/2006/relationships" r:id="rId91"/>
          <a:extLst>
            <a:ext uri="{FF2B5EF4-FFF2-40B4-BE49-F238E27FC236}">
              <a16:creationId xmlns:a16="http://schemas.microsoft.com/office/drawing/2014/main" id="{00000000-0008-0000-0400-0000E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8" name="Picture 5" descr="España">
          <a:hlinkClick xmlns:r="http://schemas.openxmlformats.org/officeDocument/2006/relationships" r:id="rId90"/>
          <a:extLst>
            <a:ext uri="{FF2B5EF4-FFF2-40B4-BE49-F238E27FC236}">
              <a16:creationId xmlns:a16="http://schemas.microsoft.com/office/drawing/2014/main" id="{00000000-0008-0000-0400-0000E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9" name="Picture 6" descr="España">
          <a:hlinkClick xmlns:r="http://schemas.openxmlformats.org/officeDocument/2006/relationships" r:id="rId90"/>
          <a:extLst>
            <a:ext uri="{FF2B5EF4-FFF2-40B4-BE49-F238E27FC236}">
              <a16:creationId xmlns:a16="http://schemas.microsoft.com/office/drawing/2014/main" id="{00000000-0008-0000-0400-0000E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0" name="Picture 8" descr="Česká republika">
          <a:hlinkClick xmlns:r="http://schemas.openxmlformats.org/officeDocument/2006/relationships" r:id="rId92"/>
          <a:extLst>
            <a:ext uri="{FF2B5EF4-FFF2-40B4-BE49-F238E27FC236}">
              <a16:creationId xmlns:a16="http://schemas.microsoft.com/office/drawing/2014/main" id="{00000000-0008-0000-0400-0000E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1" name="Picture 9" descr="Sverige">
          <a:hlinkClick xmlns:r="http://schemas.openxmlformats.org/officeDocument/2006/relationships" r:id="rId93"/>
          <a:extLst>
            <a:ext uri="{FF2B5EF4-FFF2-40B4-BE49-F238E27FC236}">
              <a16:creationId xmlns:a16="http://schemas.microsoft.com/office/drawing/2014/main" id="{00000000-0008-0000-0400-0000E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2" name="Picture 11" descr="Suomi">
          <a:hlinkClick xmlns:r="http://schemas.openxmlformats.org/officeDocument/2006/relationships" r:id="rId94"/>
          <a:extLst>
            <a:ext uri="{FF2B5EF4-FFF2-40B4-BE49-F238E27FC236}">
              <a16:creationId xmlns:a16="http://schemas.microsoft.com/office/drawing/2014/main" id="{00000000-0008-0000-0400-0000F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3" name="Picture 12" descr="España">
          <a:hlinkClick xmlns:r="http://schemas.openxmlformats.org/officeDocument/2006/relationships" r:id="rId90"/>
          <a:extLst>
            <a:ext uri="{FF2B5EF4-FFF2-40B4-BE49-F238E27FC236}">
              <a16:creationId xmlns:a16="http://schemas.microsoft.com/office/drawing/2014/main" id="{00000000-0008-0000-0400-0000F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4" name="Picture 13" descr="Nederland">
          <a:hlinkClick xmlns:r="http://schemas.openxmlformats.org/officeDocument/2006/relationships" r:id="rId95"/>
          <a:extLst>
            <a:ext uri="{FF2B5EF4-FFF2-40B4-BE49-F238E27FC236}">
              <a16:creationId xmlns:a16="http://schemas.microsoft.com/office/drawing/2014/main" id="{00000000-0008-0000-0400-0000F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5" name="Picture 14" descr="Italia">
          <a:hlinkClick xmlns:r="http://schemas.openxmlformats.org/officeDocument/2006/relationships" r:id="rId96"/>
          <a:extLst>
            <a:ext uri="{FF2B5EF4-FFF2-40B4-BE49-F238E27FC236}">
              <a16:creationId xmlns:a16="http://schemas.microsoft.com/office/drawing/2014/main" id="{00000000-0008-0000-0400-0000F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6" name="Picture 16" descr="España">
          <a:hlinkClick xmlns:r="http://schemas.openxmlformats.org/officeDocument/2006/relationships" r:id="rId90"/>
          <a:extLst>
            <a:ext uri="{FF2B5EF4-FFF2-40B4-BE49-F238E27FC236}">
              <a16:creationId xmlns:a16="http://schemas.microsoft.com/office/drawing/2014/main" id="{00000000-0008-0000-0400-0000F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7" name="Picture 18" descr="France">
          <a:hlinkClick xmlns:r="http://schemas.openxmlformats.org/officeDocument/2006/relationships" r:id="rId97"/>
          <a:extLst>
            <a:ext uri="{FF2B5EF4-FFF2-40B4-BE49-F238E27FC236}">
              <a16:creationId xmlns:a16="http://schemas.microsoft.com/office/drawing/2014/main" id="{00000000-0008-0000-0400-0000F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8" name="Picture 19" descr="France">
          <a:hlinkClick xmlns:r="http://schemas.openxmlformats.org/officeDocument/2006/relationships" r:id="rId97"/>
          <a:extLst>
            <a:ext uri="{FF2B5EF4-FFF2-40B4-BE49-F238E27FC236}">
              <a16:creationId xmlns:a16="http://schemas.microsoft.com/office/drawing/2014/main" id="{00000000-0008-0000-0400-0000F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9" name="Picture 21" descr="Argentina">
          <a:hlinkClick xmlns:r="http://schemas.openxmlformats.org/officeDocument/2006/relationships" r:id="rId98"/>
          <a:extLst>
            <a:ext uri="{FF2B5EF4-FFF2-40B4-BE49-F238E27FC236}">
              <a16:creationId xmlns:a16="http://schemas.microsoft.com/office/drawing/2014/main" id="{00000000-0008-0000-0400-0000F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0" name="Picture 23" descr="España">
          <a:hlinkClick xmlns:r="http://schemas.openxmlformats.org/officeDocument/2006/relationships" r:id="rId90"/>
          <a:extLst>
            <a:ext uri="{FF2B5EF4-FFF2-40B4-BE49-F238E27FC236}">
              <a16:creationId xmlns:a16="http://schemas.microsoft.com/office/drawing/2014/main" id="{00000000-0008-0000-0400-0000F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1" name="Picture 25" descr="Lubnan">
          <a:hlinkClick xmlns:r="http://schemas.openxmlformats.org/officeDocument/2006/relationships" r:id="rId99"/>
          <a:extLst>
            <a:ext uri="{FF2B5EF4-FFF2-40B4-BE49-F238E27FC236}">
              <a16:creationId xmlns:a16="http://schemas.microsoft.com/office/drawing/2014/main" id="{00000000-0008-0000-0400-0000F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2" name="Picture 27" descr="Magyarország">
          <a:hlinkClick xmlns:r="http://schemas.openxmlformats.org/officeDocument/2006/relationships" r:id="rId100"/>
          <a:extLst>
            <a:ext uri="{FF2B5EF4-FFF2-40B4-BE49-F238E27FC236}">
              <a16:creationId xmlns:a16="http://schemas.microsoft.com/office/drawing/2014/main" id="{00000000-0008-0000-0400-0000F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3" name="Picture 29" descr="Uruguay">
          <a:hlinkClick xmlns:r="http://schemas.openxmlformats.org/officeDocument/2006/relationships" r:id="rId101"/>
          <a:extLst>
            <a:ext uri="{FF2B5EF4-FFF2-40B4-BE49-F238E27FC236}">
              <a16:creationId xmlns:a16="http://schemas.microsoft.com/office/drawing/2014/main" id="{00000000-0008-0000-0400-0000F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4" name="Picture 30" descr="Italia">
          <a:hlinkClick xmlns:r="http://schemas.openxmlformats.org/officeDocument/2006/relationships" r:id="rId96"/>
          <a:extLst>
            <a:ext uri="{FF2B5EF4-FFF2-40B4-BE49-F238E27FC236}">
              <a16:creationId xmlns:a16="http://schemas.microsoft.com/office/drawing/2014/main" id="{00000000-0008-0000-0400-0000F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5" name="Picture 31" descr="Nederland">
          <a:hlinkClick xmlns:r="http://schemas.openxmlformats.org/officeDocument/2006/relationships" r:id="rId95"/>
          <a:extLst>
            <a:ext uri="{FF2B5EF4-FFF2-40B4-BE49-F238E27FC236}">
              <a16:creationId xmlns:a16="http://schemas.microsoft.com/office/drawing/2014/main" id="{00000000-0008-0000-0400-0000F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6" name="Picture 32" descr="Italia">
          <a:hlinkClick xmlns:r="http://schemas.openxmlformats.org/officeDocument/2006/relationships" r:id="rId96"/>
          <a:extLst>
            <a:ext uri="{FF2B5EF4-FFF2-40B4-BE49-F238E27FC236}">
              <a16:creationId xmlns:a16="http://schemas.microsoft.com/office/drawing/2014/main" id="{00000000-0008-0000-0400-0000F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7" name="Picture 34" descr="Deutschland">
          <a:hlinkClick xmlns:r="http://schemas.openxmlformats.org/officeDocument/2006/relationships" r:id="rId102"/>
          <a:extLst>
            <a:ext uri="{FF2B5EF4-FFF2-40B4-BE49-F238E27FC236}">
              <a16:creationId xmlns:a16="http://schemas.microsoft.com/office/drawing/2014/main" id="{00000000-0008-0000-0400-0000F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8" name="Picture 36" descr="Israel">
          <a:hlinkClick xmlns:r="http://schemas.openxmlformats.org/officeDocument/2006/relationships" r:id="rId103"/>
          <a:extLst>
            <a:ext uri="{FF2B5EF4-FFF2-40B4-BE49-F238E27FC236}">
              <a16:creationId xmlns:a16="http://schemas.microsoft.com/office/drawing/2014/main" id="{00000000-0008-0000-0400-00000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9" name="Picture 37" descr="Slovensko">
          <a:hlinkClick xmlns:r="http://schemas.openxmlformats.org/officeDocument/2006/relationships" r:id="rId104"/>
          <a:extLst>
            <a:ext uri="{FF2B5EF4-FFF2-40B4-BE49-F238E27FC236}">
              <a16:creationId xmlns:a16="http://schemas.microsoft.com/office/drawing/2014/main" id="{00000000-0008-0000-0400-00000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0" name="Picture 2" descr="España">
          <a:hlinkClick xmlns:r="http://schemas.openxmlformats.org/officeDocument/2006/relationships" r:id="rId90"/>
          <a:extLst>
            <a:ext uri="{FF2B5EF4-FFF2-40B4-BE49-F238E27FC236}">
              <a16:creationId xmlns:a16="http://schemas.microsoft.com/office/drawing/2014/main" id="{00000000-0008-0000-0400-00000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1" name="Picture 3" descr="USA">
          <a:hlinkClick xmlns:r="http://schemas.openxmlformats.org/officeDocument/2006/relationships" r:id="rId91"/>
          <a:extLst>
            <a:ext uri="{FF2B5EF4-FFF2-40B4-BE49-F238E27FC236}">
              <a16:creationId xmlns:a16="http://schemas.microsoft.com/office/drawing/2014/main" id="{00000000-0008-0000-0400-00000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2" name="Picture 5" descr="España">
          <a:hlinkClick xmlns:r="http://schemas.openxmlformats.org/officeDocument/2006/relationships" r:id="rId90"/>
          <a:extLst>
            <a:ext uri="{FF2B5EF4-FFF2-40B4-BE49-F238E27FC236}">
              <a16:creationId xmlns:a16="http://schemas.microsoft.com/office/drawing/2014/main" id="{00000000-0008-0000-0400-00000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3" name="Picture 6" descr="España">
          <a:hlinkClick xmlns:r="http://schemas.openxmlformats.org/officeDocument/2006/relationships" r:id="rId90"/>
          <a:extLst>
            <a:ext uri="{FF2B5EF4-FFF2-40B4-BE49-F238E27FC236}">
              <a16:creationId xmlns:a16="http://schemas.microsoft.com/office/drawing/2014/main" id="{00000000-0008-0000-0400-00000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4" name="Picture 7" descr="Sverige">
          <a:hlinkClick xmlns:r="http://schemas.openxmlformats.org/officeDocument/2006/relationships" r:id="rId93"/>
          <a:extLst>
            <a:ext uri="{FF2B5EF4-FFF2-40B4-BE49-F238E27FC236}">
              <a16:creationId xmlns:a16="http://schemas.microsoft.com/office/drawing/2014/main" id="{00000000-0008-0000-0400-00000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5" name="Picture 9" descr="Suomi">
          <a:hlinkClick xmlns:r="http://schemas.openxmlformats.org/officeDocument/2006/relationships" r:id="rId94"/>
          <a:extLst>
            <a:ext uri="{FF2B5EF4-FFF2-40B4-BE49-F238E27FC236}">
              <a16:creationId xmlns:a16="http://schemas.microsoft.com/office/drawing/2014/main" id="{00000000-0008-0000-0400-00000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6" name="Picture 10" descr="España">
          <a:hlinkClick xmlns:r="http://schemas.openxmlformats.org/officeDocument/2006/relationships" r:id="rId90"/>
          <a:extLst>
            <a:ext uri="{FF2B5EF4-FFF2-40B4-BE49-F238E27FC236}">
              <a16:creationId xmlns:a16="http://schemas.microsoft.com/office/drawing/2014/main" id="{00000000-0008-0000-0400-00000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7" name="Picture 11" descr="Nederland">
          <a:hlinkClick xmlns:r="http://schemas.openxmlformats.org/officeDocument/2006/relationships" r:id="rId95"/>
          <a:extLst>
            <a:ext uri="{FF2B5EF4-FFF2-40B4-BE49-F238E27FC236}">
              <a16:creationId xmlns:a16="http://schemas.microsoft.com/office/drawing/2014/main" id="{00000000-0008-0000-0400-00000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8" name="Picture 13" descr="Deutschland">
          <a:hlinkClick xmlns:r="http://schemas.openxmlformats.org/officeDocument/2006/relationships" r:id="rId102"/>
          <a:extLst>
            <a:ext uri="{FF2B5EF4-FFF2-40B4-BE49-F238E27FC236}">
              <a16:creationId xmlns:a16="http://schemas.microsoft.com/office/drawing/2014/main" id="{00000000-0008-0000-0400-00000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9" name="Picture 14" descr="España">
          <a:hlinkClick xmlns:r="http://schemas.openxmlformats.org/officeDocument/2006/relationships" r:id="rId90"/>
          <a:extLst>
            <a:ext uri="{FF2B5EF4-FFF2-40B4-BE49-F238E27FC236}">
              <a16:creationId xmlns:a16="http://schemas.microsoft.com/office/drawing/2014/main" id="{00000000-0008-0000-0400-00000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0" name="Picture 16" descr="France">
          <a:hlinkClick xmlns:r="http://schemas.openxmlformats.org/officeDocument/2006/relationships" r:id="rId97"/>
          <a:extLst>
            <a:ext uri="{FF2B5EF4-FFF2-40B4-BE49-F238E27FC236}">
              <a16:creationId xmlns:a16="http://schemas.microsoft.com/office/drawing/2014/main" id="{00000000-0008-0000-0400-00000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1" name="Picture 18" descr="France">
          <a:hlinkClick xmlns:r="http://schemas.openxmlformats.org/officeDocument/2006/relationships" r:id="rId97"/>
          <a:extLst>
            <a:ext uri="{FF2B5EF4-FFF2-40B4-BE49-F238E27FC236}">
              <a16:creationId xmlns:a16="http://schemas.microsoft.com/office/drawing/2014/main" id="{00000000-0008-0000-0400-00000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2" name="Picture 19" descr="Argentina">
          <a:hlinkClick xmlns:r="http://schemas.openxmlformats.org/officeDocument/2006/relationships" r:id="rId98"/>
          <a:extLst>
            <a:ext uri="{FF2B5EF4-FFF2-40B4-BE49-F238E27FC236}">
              <a16:creationId xmlns:a16="http://schemas.microsoft.com/office/drawing/2014/main" id="{00000000-0008-0000-0400-00000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3" name="Picture 20" descr="España">
          <a:hlinkClick xmlns:r="http://schemas.openxmlformats.org/officeDocument/2006/relationships" r:id="rId90"/>
          <a:extLst>
            <a:ext uri="{FF2B5EF4-FFF2-40B4-BE49-F238E27FC236}">
              <a16:creationId xmlns:a16="http://schemas.microsoft.com/office/drawing/2014/main" id="{00000000-0008-0000-0400-00000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4" name="Picture 21" descr="Lubnan">
          <a:hlinkClick xmlns:r="http://schemas.openxmlformats.org/officeDocument/2006/relationships" r:id="rId99"/>
          <a:extLst>
            <a:ext uri="{FF2B5EF4-FFF2-40B4-BE49-F238E27FC236}">
              <a16:creationId xmlns:a16="http://schemas.microsoft.com/office/drawing/2014/main" id="{00000000-0008-0000-0400-00001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5" name="Picture 23" descr="Magyarország">
          <a:hlinkClick xmlns:r="http://schemas.openxmlformats.org/officeDocument/2006/relationships" r:id="rId100"/>
          <a:extLst>
            <a:ext uri="{FF2B5EF4-FFF2-40B4-BE49-F238E27FC236}">
              <a16:creationId xmlns:a16="http://schemas.microsoft.com/office/drawing/2014/main" id="{00000000-0008-0000-0400-00001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6" name="Picture 25" descr="Uruguay">
          <a:hlinkClick xmlns:r="http://schemas.openxmlformats.org/officeDocument/2006/relationships" r:id="rId101"/>
          <a:extLst>
            <a:ext uri="{FF2B5EF4-FFF2-40B4-BE49-F238E27FC236}">
              <a16:creationId xmlns:a16="http://schemas.microsoft.com/office/drawing/2014/main" id="{00000000-0008-0000-0400-00001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7" name="Picture 26" descr="Italia">
          <a:hlinkClick xmlns:r="http://schemas.openxmlformats.org/officeDocument/2006/relationships" r:id="rId96"/>
          <a:extLst>
            <a:ext uri="{FF2B5EF4-FFF2-40B4-BE49-F238E27FC236}">
              <a16:creationId xmlns:a16="http://schemas.microsoft.com/office/drawing/2014/main" id="{00000000-0008-0000-0400-00001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8" name="Picture 27" descr="España">
          <a:hlinkClick xmlns:r="http://schemas.openxmlformats.org/officeDocument/2006/relationships" r:id="rId90"/>
          <a:extLst>
            <a:ext uri="{FF2B5EF4-FFF2-40B4-BE49-F238E27FC236}">
              <a16:creationId xmlns:a16="http://schemas.microsoft.com/office/drawing/2014/main" id="{00000000-0008-0000-0400-00001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9" name="Picture 28" descr="Nederland">
          <a:hlinkClick xmlns:r="http://schemas.openxmlformats.org/officeDocument/2006/relationships" r:id="rId95"/>
          <a:extLst>
            <a:ext uri="{FF2B5EF4-FFF2-40B4-BE49-F238E27FC236}">
              <a16:creationId xmlns:a16="http://schemas.microsoft.com/office/drawing/2014/main" id="{00000000-0008-0000-0400-00001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0" name="Picture 29" descr="Italia">
          <a:hlinkClick xmlns:r="http://schemas.openxmlformats.org/officeDocument/2006/relationships" r:id="rId96"/>
          <a:extLst>
            <a:ext uri="{FF2B5EF4-FFF2-40B4-BE49-F238E27FC236}">
              <a16:creationId xmlns:a16="http://schemas.microsoft.com/office/drawing/2014/main" id="{00000000-0008-0000-0400-00001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1" name="Picture 30" descr="Deutschland">
          <a:hlinkClick xmlns:r="http://schemas.openxmlformats.org/officeDocument/2006/relationships" r:id="rId102"/>
          <a:extLst>
            <a:ext uri="{FF2B5EF4-FFF2-40B4-BE49-F238E27FC236}">
              <a16:creationId xmlns:a16="http://schemas.microsoft.com/office/drawing/2014/main" id="{00000000-0008-0000-0400-00001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2" name="Picture 32" descr="Israel">
          <a:hlinkClick xmlns:r="http://schemas.openxmlformats.org/officeDocument/2006/relationships" r:id="rId103"/>
          <a:extLst>
            <a:ext uri="{FF2B5EF4-FFF2-40B4-BE49-F238E27FC236}">
              <a16:creationId xmlns:a16="http://schemas.microsoft.com/office/drawing/2014/main" id="{00000000-0008-0000-0400-00001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3" name="Picture 33" descr="Slovensko">
          <a:hlinkClick xmlns:r="http://schemas.openxmlformats.org/officeDocument/2006/relationships" r:id="rId104"/>
          <a:extLst>
            <a:ext uri="{FF2B5EF4-FFF2-40B4-BE49-F238E27FC236}">
              <a16:creationId xmlns:a16="http://schemas.microsoft.com/office/drawing/2014/main" id="{00000000-0008-0000-0400-00001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4" name="Picture 36" descr="España">
          <a:hlinkClick xmlns:r="http://schemas.openxmlformats.org/officeDocument/2006/relationships" r:id="rId77"/>
          <a:extLst>
            <a:ext uri="{FF2B5EF4-FFF2-40B4-BE49-F238E27FC236}">
              <a16:creationId xmlns:a16="http://schemas.microsoft.com/office/drawing/2014/main" id="{00000000-0008-0000-0400-00001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5" name="Picture 36" descr="España">
          <a:hlinkClick xmlns:r="http://schemas.openxmlformats.org/officeDocument/2006/relationships" r:id="rId77"/>
          <a:extLst>
            <a:ext uri="{FF2B5EF4-FFF2-40B4-BE49-F238E27FC236}">
              <a16:creationId xmlns:a16="http://schemas.microsoft.com/office/drawing/2014/main" id="{00000000-0008-0000-0400-00001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6" name="Picture 18" descr="Nederland">
          <a:hlinkClick xmlns:r="http://schemas.openxmlformats.org/officeDocument/2006/relationships" r:id="rId10"/>
          <a:extLst>
            <a:ext uri="{FF2B5EF4-FFF2-40B4-BE49-F238E27FC236}">
              <a16:creationId xmlns:a16="http://schemas.microsoft.com/office/drawing/2014/main" id="{00000000-0008-0000-0400-00001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7" name="Picture 29" descr="Belgium">
          <a:hlinkClick xmlns:r="http://schemas.openxmlformats.org/officeDocument/2006/relationships" r:id="rId15"/>
          <a:extLst>
            <a:ext uri="{FF2B5EF4-FFF2-40B4-BE49-F238E27FC236}">
              <a16:creationId xmlns:a16="http://schemas.microsoft.com/office/drawing/2014/main" id="{00000000-0008-0000-0400-00001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8" name="Picture 16" descr="Colombia">
          <a:hlinkClick xmlns:r="http://schemas.openxmlformats.org/officeDocument/2006/relationships" r:id="rId21"/>
          <a:extLst>
            <a:ext uri="{FF2B5EF4-FFF2-40B4-BE49-F238E27FC236}">
              <a16:creationId xmlns:a16="http://schemas.microsoft.com/office/drawing/2014/main" id="{00000000-0008-0000-0400-00001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9" name="Picture 30" descr="España">
          <a:hlinkClick xmlns:r="http://schemas.openxmlformats.org/officeDocument/2006/relationships" r:id="rId17"/>
          <a:extLst>
            <a:ext uri="{FF2B5EF4-FFF2-40B4-BE49-F238E27FC236}">
              <a16:creationId xmlns:a16="http://schemas.microsoft.com/office/drawing/2014/main" id="{00000000-0008-0000-0400-00001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0" name="Picture 36" descr="España">
          <a:hlinkClick xmlns:r="http://schemas.openxmlformats.org/officeDocument/2006/relationships" r:id="rId17"/>
          <a:extLst>
            <a:ext uri="{FF2B5EF4-FFF2-40B4-BE49-F238E27FC236}">
              <a16:creationId xmlns:a16="http://schemas.microsoft.com/office/drawing/2014/main" id="{00000000-0008-0000-0400-00002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1" name="Picture 42" descr="Portugal">
          <a:hlinkClick xmlns:r="http://schemas.openxmlformats.org/officeDocument/2006/relationships" r:id="rId22"/>
          <a:extLst>
            <a:ext uri="{FF2B5EF4-FFF2-40B4-BE49-F238E27FC236}">
              <a16:creationId xmlns:a16="http://schemas.microsoft.com/office/drawing/2014/main" id="{00000000-0008-0000-0400-00002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2" name="Picture 11" descr="Deutschland">
          <a:hlinkClick xmlns:r="http://schemas.openxmlformats.org/officeDocument/2006/relationships" r:id="rId34"/>
          <a:extLst>
            <a:ext uri="{FF2B5EF4-FFF2-40B4-BE49-F238E27FC236}">
              <a16:creationId xmlns:a16="http://schemas.microsoft.com/office/drawing/2014/main" id="{00000000-0008-0000-0400-00002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3" name="Picture 22" descr="Deutschland">
          <a:hlinkClick xmlns:r="http://schemas.openxmlformats.org/officeDocument/2006/relationships" r:id="rId34"/>
          <a:extLst>
            <a:ext uri="{FF2B5EF4-FFF2-40B4-BE49-F238E27FC236}">
              <a16:creationId xmlns:a16="http://schemas.microsoft.com/office/drawing/2014/main" id="{00000000-0008-0000-0400-00002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4" name="Picture 28" descr="España">
          <a:hlinkClick xmlns:r="http://schemas.openxmlformats.org/officeDocument/2006/relationships" r:id="rId31"/>
          <a:extLst>
            <a:ext uri="{FF2B5EF4-FFF2-40B4-BE49-F238E27FC236}">
              <a16:creationId xmlns:a16="http://schemas.microsoft.com/office/drawing/2014/main" id="{00000000-0008-0000-0400-00002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5" name="Picture 34" descr="România">
          <a:hlinkClick xmlns:r="http://schemas.openxmlformats.org/officeDocument/2006/relationships" r:id="rId44"/>
          <a:extLst>
            <a:ext uri="{FF2B5EF4-FFF2-40B4-BE49-F238E27FC236}">
              <a16:creationId xmlns:a16="http://schemas.microsoft.com/office/drawing/2014/main" id="{00000000-0008-0000-0400-00002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6" name="Picture 11" descr="Deutschland">
          <a:hlinkClick xmlns:r="http://schemas.openxmlformats.org/officeDocument/2006/relationships" r:id="rId48"/>
          <a:extLst>
            <a:ext uri="{FF2B5EF4-FFF2-40B4-BE49-F238E27FC236}">
              <a16:creationId xmlns:a16="http://schemas.microsoft.com/office/drawing/2014/main" id="{00000000-0008-0000-0400-00002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7" name="Picture 23" descr="España">
          <a:hlinkClick xmlns:r="http://schemas.openxmlformats.org/officeDocument/2006/relationships" r:id="rId45"/>
          <a:extLst>
            <a:ext uri="{FF2B5EF4-FFF2-40B4-BE49-F238E27FC236}">
              <a16:creationId xmlns:a16="http://schemas.microsoft.com/office/drawing/2014/main" id="{00000000-0008-0000-0400-00002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8" name="Picture 29" descr="España">
          <a:hlinkClick xmlns:r="http://schemas.openxmlformats.org/officeDocument/2006/relationships" r:id="rId45"/>
          <a:extLst>
            <a:ext uri="{FF2B5EF4-FFF2-40B4-BE49-F238E27FC236}">
              <a16:creationId xmlns:a16="http://schemas.microsoft.com/office/drawing/2014/main" id="{00000000-0008-0000-0400-00002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9" name="Picture 35" descr="España">
          <a:hlinkClick xmlns:r="http://schemas.openxmlformats.org/officeDocument/2006/relationships" r:id="rId45"/>
          <a:extLst>
            <a:ext uri="{FF2B5EF4-FFF2-40B4-BE49-F238E27FC236}">
              <a16:creationId xmlns:a16="http://schemas.microsoft.com/office/drawing/2014/main" id="{00000000-0008-0000-0400-00002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0" name="Picture 11" descr="Deutschland">
          <a:hlinkClick xmlns:r="http://schemas.openxmlformats.org/officeDocument/2006/relationships" r:id="rId12"/>
          <a:extLst>
            <a:ext uri="{FF2B5EF4-FFF2-40B4-BE49-F238E27FC236}">
              <a16:creationId xmlns:a16="http://schemas.microsoft.com/office/drawing/2014/main" id="{00000000-0008-0000-0400-00002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1" name="Picture 23" descr="España">
          <a:hlinkClick xmlns:r="http://schemas.openxmlformats.org/officeDocument/2006/relationships" r:id="rId1"/>
          <a:extLst>
            <a:ext uri="{FF2B5EF4-FFF2-40B4-BE49-F238E27FC236}">
              <a16:creationId xmlns:a16="http://schemas.microsoft.com/office/drawing/2014/main" id="{00000000-0008-0000-0400-00002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2" name="Picture 27" descr="España">
          <a:hlinkClick xmlns:r="http://schemas.openxmlformats.org/officeDocument/2006/relationships" r:id="rId1"/>
          <a:extLst>
            <a:ext uri="{FF2B5EF4-FFF2-40B4-BE49-F238E27FC236}">
              <a16:creationId xmlns:a16="http://schemas.microsoft.com/office/drawing/2014/main" id="{00000000-0008-0000-0400-00002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3" name="Picture 34" descr="España">
          <a:hlinkClick xmlns:r="http://schemas.openxmlformats.org/officeDocument/2006/relationships" r:id="rId1"/>
          <a:extLst>
            <a:ext uri="{FF2B5EF4-FFF2-40B4-BE49-F238E27FC236}">
              <a16:creationId xmlns:a16="http://schemas.microsoft.com/office/drawing/2014/main" id="{00000000-0008-0000-0400-00002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4" name="Picture 11" descr="Deutschland">
          <a:hlinkClick xmlns:r="http://schemas.openxmlformats.org/officeDocument/2006/relationships" r:id="rId66"/>
          <a:extLst>
            <a:ext uri="{FF2B5EF4-FFF2-40B4-BE49-F238E27FC236}">
              <a16:creationId xmlns:a16="http://schemas.microsoft.com/office/drawing/2014/main" id="{00000000-0008-0000-0400-00002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5" name="Picture 24" descr="España">
          <a:hlinkClick xmlns:r="http://schemas.openxmlformats.org/officeDocument/2006/relationships" r:id="rId63"/>
          <a:extLst>
            <a:ext uri="{FF2B5EF4-FFF2-40B4-BE49-F238E27FC236}">
              <a16:creationId xmlns:a16="http://schemas.microsoft.com/office/drawing/2014/main" id="{00000000-0008-0000-0400-00002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6" name="Picture 29" descr="España">
          <a:hlinkClick xmlns:r="http://schemas.openxmlformats.org/officeDocument/2006/relationships" r:id="rId63"/>
          <a:extLst>
            <a:ext uri="{FF2B5EF4-FFF2-40B4-BE49-F238E27FC236}">
              <a16:creationId xmlns:a16="http://schemas.microsoft.com/office/drawing/2014/main" id="{00000000-0008-0000-0400-00003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7" name="Picture 36" descr="España">
          <a:hlinkClick xmlns:r="http://schemas.openxmlformats.org/officeDocument/2006/relationships" r:id="rId63"/>
          <a:extLst>
            <a:ext uri="{FF2B5EF4-FFF2-40B4-BE49-F238E27FC236}">
              <a16:creationId xmlns:a16="http://schemas.microsoft.com/office/drawing/2014/main" id="{00000000-0008-0000-0400-00003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8" name="Picture 11" descr="Deutschland">
          <a:hlinkClick xmlns:r="http://schemas.openxmlformats.org/officeDocument/2006/relationships" r:id="rId79"/>
          <a:extLst>
            <a:ext uri="{FF2B5EF4-FFF2-40B4-BE49-F238E27FC236}">
              <a16:creationId xmlns:a16="http://schemas.microsoft.com/office/drawing/2014/main" id="{00000000-0008-0000-0400-00003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9" name="Picture 23" descr="Slovenija">
          <a:hlinkClick xmlns:r="http://schemas.openxmlformats.org/officeDocument/2006/relationships" r:id="rId87"/>
          <a:extLst>
            <a:ext uri="{FF2B5EF4-FFF2-40B4-BE49-F238E27FC236}">
              <a16:creationId xmlns:a16="http://schemas.microsoft.com/office/drawing/2014/main" id="{00000000-0008-0000-0400-00003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0" name="Picture 27" descr="Polska">
          <a:hlinkClick xmlns:r="http://schemas.openxmlformats.org/officeDocument/2006/relationships" r:id="rId85"/>
          <a:extLst>
            <a:ext uri="{FF2B5EF4-FFF2-40B4-BE49-F238E27FC236}">
              <a16:creationId xmlns:a16="http://schemas.microsoft.com/office/drawing/2014/main" id="{00000000-0008-0000-0400-00003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1" name="Picture 32" descr="España">
          <a:hlinkClick xmlns:r="http://schemas.openxmlformats.org/officeDocument/2006/relationships" r:id="rId77"/>
          <a:extLst>
            <a:ext uri="{FF2B5EF4-FFF2-40B4-BE49-F238E27FC236}">
              <a16:creationId xmlns:a16="http://schemas.microsoft.com/office/drawing/2014/main" id="{00000000-0008-0000-0400-00003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2" name="Picture 14" descr="España">
          <a:hlinkClick xmlns:r="http://schemas.openxmlformats.org/officeDocument/2006/relationships" r:id="rId1"/>
          <a:extLst>
            <a:ext uri="{FF2B5EF4-FFF2-40B4-BE49-F238E27FC236}">
              <a16:creationId xmlns:a16="http://schemas.microsoft.com/office/drawing/2014/main" id="{00000000-0008-0000-0400-00003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3" name="Picture 16" descr="Nederland">
          <a:hlinkClick xmlns:r="http://schemas.openxmlformats.org/officeDocument/2006/relationships" r:id="rId10"/>
          <a:extLst>
            <a:ext uri="{FF2B5EF4-FFF2-40B4-BE49-F238E27FC236}">
              <a16:creationId xmlns:a16="http://schemas.microsoft.com/office/drawing/2014/main" id="{00000000-0008-0000-0400-00003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4" name="Picture 17" descr="Polska">
          <a:hlinkClick xmlns:r="http://schemas.openxmlformats.org/officeDocument/2006/relationships" r:id="rId5"/>
          <a:extLst>
            <a:ext uri="{FF2B5EF4-FFF2-40B4-BE49-F238E27FC236}">
              <a16:creationId xmlns:a16="http://schemas.microsoft.com/office/drawing/2014/main" id="{00000000-0008-0000-0400-00003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5" name="Picture 19" descr="Danmark">
          <a:hlinkClick xmlns:r="http://schemas.openxmlformats.org/officeDocument/2006/relationships" r:id="rId11"/>
          <a:extLst>
            <a:ext uri="{FF2B5EF4-FFF2-40B4-BE49-F238E27FC236}">
              <a16:creationId xmlns:a16="http://schemas.microsoft.com/office/drawing/2014/main" id="{00000000-0008-0000-0400-00003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6" name="Picture 20" descr="España">
          <a:hlinkClick xmlns:r="http://schemas.openxmlformats.org/officeDocument/2006/relationships" r:id="rId1"/>
          <a:extLst>
            <a:ext uri="{FF2B5EF4-FFF2-40B4-BE49-F238E27FC236}">
              <a16:creationId xmlns:a16="http://schemas.microsoft.com/office/drawing/2014/main" id="{00000000-0008-0000-0400-00003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7" name="Picture 21" descr="Deutschland">
          <a:hlinkClick xmlns:r="http://schemas.openxmlformats.org/officeDocument/2006/relationships" r:id="rId12"/>
          <a:extLst>
            <a:ext uri="{FF2B5EF4-FFF2-40B4-BE49-F238E27FC236}">
              <a16:creationId xmlns:a16="http://schemas.microsoft.com/office/drawing/2014/main" id="{00000000-0008-0000-0400-00003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8" name="Picture 22" descr="España">
          <a:hlinkClick xmlns:r="http://schemas.openxmlformats.org/officeDocument/2006/relationships" r:id="rId1"/>
          <a:extLst>
            <a:ext uri="{FF2B5EF4-FFF2-40B4-BE49-F238E27FC236}">
              <a16:creationId xmlns:a16="http://schemas.microsoft.com/office/drawing/2014/main" id="{00000000-0008-0000-0400-00003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9" name="Picture 23" descr="España">
          <a:hlinkClick xmlns:r="http://schemas.openxmlformats.org/officeDocument/2006/relationships" r:id="rId1"/>
          <a:extLst>
            <a:ext uri="{FF2B5EF4-FFF2-40B4-BE49-F238E27FC236}">
              <a16:creationId xmlns:a16="http://schemas.microsoft.com/office/drawing/2014/main" id="{00000000-0008-0000-0400-00003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0" name="Picture 24" descr="España">
          <a:hlinkClick xmlns:r="http://schemas.openxmlformats.org/officeDocument/2006/relationships" r:id="rId1"/>
          <a:extLst>
            <a:ext uri="{FF2B5EF4-FFF2-40B4-BE49-F238E27FC236}">
              <a16:creationId xmlns:a16="http://schemas.microsoft.com/office/drawing/2014/main" id="{00000000-0008-0000-0400-00003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1" name="Picture 25" descr="Israel">
          <a:hlinkClick xmlns:r="http://schemas.openxmlformats.org/officeDocument/2006/relationships" r:id="rId13"/>
          <a:extLst>
            <a:ext uri="{FF2B5EF4-FFF2-40B4-BE49-F238E27FC236}">
              <a16:creationId xmlns:a16="http://schemas.microsoft.com/office/drawing/2014/main" id="{00000000-0008-0000-0400-00003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2" name="Picture 26" descr="España">
          <a:hlinkClick xmlns:r="http://schemas.openxmlformats.org/officeDocument/2006/relationships" r:id="rId1"/>
          <a:extLst>
            <a:ext uri="{FF2B5EF4-FFF2-40B4-BE49-F238E27FC236}">
              <a16:creationId xmlns:a16="http://schemas.microsoft.com/office/drawing/2014/main" id="{00000000-0008-0000-0400-00004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3" name="Picture 27" descr="Việt Nam">
          <a:hlinkClick xmlns:r="http://schemas.openxmlformats.org/officeDocument/2006/relationships" r:id="rId14"/>
          <a:extLst>
            <a:ext uri="{FF2B5EF4-FFF2-40B4-BE49-F238E27FC236}">
              <a16:creationId xmlns:a16="http://schemas.microsoft.com/office/drawing/2014/main" id="{00000000-0008-0000-0400-00004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4" name="Picture 28" descr="Italia">
          <a:hlinkClick xmlns:r="http://schemas.openxmlformats.org/officeDocument/2006/relationships" r:id="rId4"/>
          <a:extLst>
            <a:ext uri="{FF2B5EF4-FFF2-40B4-BE49-F238E27FC236}">
              <a16:creationId xmlns:a16="http://schemas.microsoft.com/office/drawing/2014/main" id="{00000000-0008-0000-0400-00004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5" name="Picture 30" descr="España">
          <a:hlinkClick xmlns:r="http://schemas.openxmlformats.org/officeDocument/2006/relationships" r:id="rId1"/>
          <a:extLst>
            <a:ext uri="{FF2B5EF4-FFF2-40B4-BE49-F238E27FC236}">
              <a16:creationId xmlns:a16="http://schemas.microsoft.com/office/drawing/2014/main" id="{00000000-0008-0000-0400-00004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6" name="Picture 32" descr="Portugal">
          <a:hlinkClick xmlns:r="http://schemas.openxmlformats.org/officeDocument/2006/relationships" r:id="rId16"/>
          <a:extLst>
            <a:ext uri="{FF2B5EF4-FFF2-40B4-BE49-F238E27FC236}">
              <a16:creationId xmlns:a16="http://schemas.microsoft.com/office/drawing/2014/main" id="{00000000-0008-0000-0400-00004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7" name="Picture 12" descr="Suomi">
          <a:hlinkClick xmlns:r="http://schemas.openxmlformats.org/officeDocument/2006/relationships" r:id="rId19"/>
          <a:extLst>
            <a:ext uri="{FF2B5EF4-FFF2-40B4-BE49-F238E27FC236}">
              <a16:creationId xmlns:a16="http://schemas.microsoft.com/office/drawing/2014/main" id="{00000000-0008-0000-0400-00004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8" name="Picture 14" descr="Deutschland">
          <a:hlinkClick xmlns:r="http://schemas.openxmlformats.org/officeDocument/2006/relationships" r:id="rId20"/>
          <a:extLst>
            <a:ext uri="{FF2B5EF4-FFF2-40B4-BE49-F238E27FC236}">
              <a16:creationId xmlns:a16="http://schemas.microsoft.com/office/drawing/2014/main" id="{00000000-0008-0000-0400-00004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9" name="Picture 15" descr="España">
          <a:hlinkClick xmlns:r="http://schemas.openxmlformats.org/officeDocument/2006/relationships" r:id="rId17"/>
          <a:extLst>
            <a:ext uri="{FF2B5EF4-FFF2-40B4-BE49-F238E27FC236}">
              <a16:creationId xmlns:a16="http://schemas.microsoft.com/office/drawing/2014/main" id="{00000000-0008-0000-0400-00004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0" name="Picture 17" descr="Portugal">
          <a:hlinkClick xmlns:r="http://schemas.openxmlformats.org/officeDocument/2006/relationships" r:id="rId22"/>
          <a:extLst>
            <a:ext uri="{FF2B5EF4-FFF2-40B4-BE49-F238E27FC236}">
              <a16:creationId xmlns:a16="http://schemas.microsoft.com/office/drawing/2014/main" id="{00000000-0008-0000-0400-00004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1" name="Picture 18" descr="Nederland">
          <a:hlinkClick xmlns:r="http://schemas.openxmlformats.org/officeDocument/2006/relationships" r:id="rId23"/>
          <a:extLst>
            <a:ext uri="{FF2B5EF4-FFF2-40B4-BE49-F238E27FC236}">
              <a16:creationId xmlns:a16="http://schemas.microsoft.com/office/drawing/2014/main" id="{00000000-0008-0000-0400-00004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2" name="Picture 19" descr="Northern Ireland">
          <a:hlinkClick xmlns:r="http://schemas.openxmlformats.org/officeDocument/2006/relationships" r:id="rId24"/>
          <a:extLst>
            <a:ext uri="{FF2B5EF4-FFF2-40B4-BE49-F238E27FC236}">
              <a16:creationId xmlns:a16="http://schemas.microsoft.com/office/drawing/2014/main" id="{00000000-0008-0000-0400-00004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3" name="Picture 20" descr="China">
          <a:hlinkClick xmlns:r="http://schemas.openxmlformats.org/officeDocument/2006/relationships" r:id="rId25"/>
          <a:extLst>
            <a:ext uri="{FF2B5EF4-FFF2-40B4-BE49-F238E27FC236}">
              <a16:creationId xmlns:a16="http://schemas.microsoft.com/office/drawing/2014/main" id="{00000000-0008-0000-0400-00004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4" name="Picture 21" descr="Polska">
          <a:hlinkClick xmlns:r="http://schemas.openxmlformats.org/officeDocument/2006/relationships" r:id="rId26"/>
          <a:extLst>
            <a:ext uri="{FF2B5EF4-FFF2-40B4-BE49-F238E27FC236}">
              <a16:creationId xmlns:a16="http://schemas.microsoft.com/office/drawing/2014/main" id="{00000000-0008-0000-0400-00004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5" name="Picture 23" descr="Nederland">
          <a:hlinkClick xmlns:r="http://schemas.openxmlformats.org/officeDocument/2006/relationships" r:id="rId23"/>
          <a:extLst>
            <a:ext uri="{FF2B5EF4-FFF2-40B4-BE49-F238E27FC236}">
              <a16:creationId xmlns:a16="http://schemas.microsoft.com/office/drawing/2014/main" id="{00000000-0008-0000-0400-00004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6" name="Picture 25" descr="Danmark">
          <a:hlinkClick xmlns:r="http://schemas.openxmlformats.org/officeDocument/2006/relationships" r:id="rId27"/>
          <a:extLst>
            <a:ext uri="{FF2B5EF4-FFF2-40B4-BE49-F238E27FC236}">
              <a16:creationId xmlns:a16="http://schemas.microsoft.com/office/drawing/2014/main" id="{00000000-0008-0000-0400-00004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7" name="Picture 26" descr="España">
          <a:hlinkClick xmlns:r="http://schemas.openxmlformats.org/officeDocument/2006/relationships" r:id="rId17"/>
          <a:extLst>
            <a:ext uri="{FF2B5EF4-FFF2-40B4-BE49-F238E27FC236}">
              <a16:creationId xmlns:a16="http://schemas.microsoft.com/office/drawing/2014/main" id="{00000000-0008-0000-0400-00004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8" name="Picture 27" descr="Deutschland">
          <a:hlinkClick xmlns:r="http://schemas.openxmlformats.org/officeDocument/2006/relationships" r:id="rId20"/>
          <a:extLst>
            <a:ext uri="{FF2B5EF4-FFF2-40B4-BE49-F238E27FC236}">
              <a16:creationId xmlns:a16="http://schemas.microsoft.com/office/drawing/2014/main" id="{00000000-0008-0000-0400-00005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9" name="Picture 28" descr="Polska">
          <a:hlinkClick xmlns:r="http://schemas.openxmlformats.org/officeDocument/2006/relationships" r:id="rId26"/>
          <a:extLst>
            <a:ext uri="{FF2B5EF4-FFF2-40B4-BE49-F238E27FC236}">
              <a16:creationId xmlns:a16="http://schemas.microsoft.com/office/drawing/2014/main" id="{00000000-0008-0000-0400-00005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0" name="Picture 31" descr="España">
          <a:hlinkClick xmlns:r="http://schemas.openxmlformats.org/officeDocument/2006/relationships" r:id="rId17"/>
          <a:extLst>
            <a:ext uri="{FF2B5EF4-FFF2-40B4-BE49-F238E27FC236}">
              <a16:creationId xmlns:a16="http://schemas.microsoft.com/office/drawing/2014/main" id="{00000000-0008-0000-0400-00005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1" name="Picture 33" descr="España">
          <a:hlinkClick xmlns:r="http://schemas.openxmlformats.org/officeDocument/2006/relationships" r:id="rId17"/>
          <a:extLst>
            <a:ext uri="{FF2B5EF4-FFF2-40B4-BE49-F238E27FC236}">
              <a16:creationId xmlns:a16="http://schemas.microsoft.com/office/drawing/2014/main" id="{00000000-0008-0000-0400-00005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2" name="Picture 37" descr="Việt Nam">
          <a:hlinkClick xmlns:r="http://schemas.openxmlformats.org/officeDocument/2006/relationships" r:id="rId28"/>
          <a:extLst>
            <a:ext uri="{FF2B5EF4-FFF2-40B4-BE49-F238E27FC236}">
              <a16:creationId xmlns:a16="http://schemas.microsoft.com/office/drawing/2014/main" id="{00000000-0008-0000-0400-00005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3" name="Picture 38" descr="Italia">
          <a:hlinkClick xmlns:r="http://schemas.openxmlformats.org/officeDocument/2006/relationships" r:id="rId29"/>
          <a:extLst>
            <a:ext uri="{FF2B5EF4-FFF2-40B4-BE49-F238E27FC236}">
              <a16:creationId xmlns:a16="http://schemas.microsoft.com/office/drawing/2014/main" id="{00000000-0008-0000-0400-00005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4" name="Picture 39" descr="España">
          <a:hlinkClick xmlns:r="http://schemas.openxmlformats.org/officeDocument/2006/relationships" r:id="rId17"/>
          <a:extLst>
            <a:ext uri="{FF2B5EF4-FFF2-40B4-BE49-F238E27FC236}">
              <a16:creationId xmlns:a16="http://schemas.microsoft.com/office/drawing/2014/main" id="{00000000-0008-0000-0400-00005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5" name="Picture 7" descr="España">
          <a:hlinkClick xmlns:r="http://schemas.openxmlformats.org/officeDocument/2006/relationships" r:id="rId31"/>
          <a:extLst>
            <a:ext uri="{FF2B5EF4-FFF2-40B4-BE49-F238E27FC236}">
              <a16:creationId xmlns:a16="http://schemas.microsoft.com/office/drawing/2014/main" id="{00000000-0008-0000-0400-00005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6" name="Picture 9" descr="España">
          <a:hlinkClick xmlns:r="http://schemas.openxmlformats.org/officeDocument/2006/relationships" r:id="rId31"/>
          <a:extLst>
            <a:ext uri="{FF2B5EF4-FFF2-40B4-BE49-F238E27FC236}">
              <a16:creationId xmlns:a16="http://schemas.microsoft.com/office/drawing/2014/main" id="{00000000-0008-0000-0400-00005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7" name="Picture 10" descr="Suomi">
          <a:hlinkClick xmlns:r="http://schemas.openxmlformats.org/officeDocument/2006/relationships" r:id="rId33"/>
          <a:extLst>
            <a:ext uri="{FF2B5EF4-FFF2-40B4-BE49-F238E27FC236}">
              <a16:creationId xmlns:a16="http://schemas.microsoft.com/office/drawing/2014/main" id="{00000000-0008-0000-0400-00005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8" name="Picture 12" descr="Deutschland">
          <a:hlinkClick xmlns:r="http://schemas.openxmlformats.org/officeDocument/2006/relationships" r:id="rId34"/>
          <a:extLst>
            <a:ext uri="{FF2B5EF4-FFF2-40B4-BE49-F238E27FC236}">
              <a16:creationId xmlns:a16="http://schemas.microsoft.com/office/drawing/2014/main" id="{00000000-0008-0000-0400-00005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9" name="Picture 13" descr="España">
          <a:hlinkClick xmlns:r="http://schemas.openxmlformats.org/officeDocument/2006/relationships" r:id="rId31"/>
          <a:extLst>
            <a:ext uri="{FF2B5EF4-FFF2-40B4-BE49-F238E27FC236}">
              <a16:creationId xmlns:a16="http://schemas.microsoft.com/office/drawing/2014/main" id="{00000000-0008-0000-0400-00005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0" name="Picture 14" descr="Colombia">
          <a:hlinkClick xmlns:r="http://schemas.openxmlformats.org/officeDocument/2006/relationships" r:id="rId35"/>
          <a:extLst>
            <a:ext uri="{FF2B5EF4-FFF2-40B4-BE49-F238E27FC236}">
              <a16:creationId xmlns:a16="http://schemas.microsoft.com/office/drawing/2014/main" id="{00000000-0008-0000-0400-00005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1" name="Picture 15" descr="Portugal">
          <a:hlinkClick xmlns:r="http://schemas.openxmlformats.org/officeDocument/2006/relationships" r:id="rId36"/>
          <a:extLst>
            <a:ext uri="{FF2B5EF4-FFF2-40B4-BE49-F238E27FC236}">
              <a16:creationId xmlns:a16="http://schemas.microsoft.com/office/drawing/2014/main" id="{00000000-0008-0000-0400-00005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2" name="Picture 16" descr="Nederland">
          <a:hlinkClick xmlns:r="http://schemas.openxmlformats.org/officeDocument/2006/relationships" r:id="rId37"/>
          <a:extLst>
            <a:ext uri="{FF2B5EF4-FFF2-40B4-BE49-F238E27FC236}">
              <a16:creationId xmlns:a16="http://schemas.microsoft.com/office/drawing/2014/main" id="{00000000-0008-0000-0400-00005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3" name="Picture 17" descr="Northern Ireland">
          <a:hlinkClick xmlns:r="http://schemas.openxmlformats.org/officeDocument/2006/relationships" r:id="rId38"/>
          <a:extLst>
            <a:ext uri="{FF2B5EF4-FFF2-40B4-BE49-F238E27FC236}">
              <a16:creationId xmlns:a16="http://schemas.microsoft.com/office/drawing/2014/main" id="{00000000-0008-0000-0400-00005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4" name="Picture 18" descr="China">
          <a:hlinkClick xmlns:r="http://schemas.openxmlformats.org/officeDocument/2006/relationships" r:id="rId39"/>
          <a:extLst>
            <a:ext uri="{FF2B5EF4-FFF2-40B4-BE49-F238E27FC236}">
              <a16:creationId xmlns:a16="http://schemas.microsoft.com/office/drawing/2014/main" id="{00000000-0008-0000-0400-00006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5" name="Picture 19" descr="Polska">
          <a:hlinkClick xmlns:r="http://schemas.openxmlformats.org/officeDocument/2006/relationships" r:id="rId40"/>
          <a:extLst>
            <a:ext uri="{FF2B5EF4-FFF2-40B4-BE49-F238E27FC236}">
              <a16:creationId xmlns:a16="http://schemas.microsoft.com/office/drawing/2014/main" id="{00000000-0008-0000-0400-00006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6" name="Picture 20" descr="Danmark">
          <a:hlinkClick xmlns:r="http://schemas.openxmlformats.org/officeDocument/2006/relationships" r:id="rId41"/>
          <a:extLst>
            <a:ext uri="{FF2B5EF4-FFF2-40B4-BE49-F238E27FC236}">
              <a16:creationId xmlns:a16="http://schemas.microsoft.com/office/drawing/2014/main" id="{00000000-0008-0000-0400-00006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7" name="Picture 21" descr="España">
          <a:hlinkClick xmlns:r="http://schemas.openxmlformats.org/officeDocument/2006/relationships" r:id="rId31"/>
          <a:extLst>
            <a:ext uri="{FF2B5EF4-FFF2-40B4-BE49-F238E27FC236}">
              <a16:creationId xmlns:a16="http://schemas.microsoft.com/office/drawing/2014/main" id="{00000000-0008-0000-0400-00006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8" name="Picture 24" descr="Polska">
          <a:hlinkClick xmlns:r="http://schemas.openxmlformats.org/officeDocument/2006/relationships" r:id="rId40"/>
          <a:extLst>
            <a:ext uri="{FF2B5EF4-FFF2-40B4-BE49-F238E27FC236}">
              <a16:creationId xmlns:a16="http://schemas.microsoft.com/office/drawing/2014/main" id="{00000000-0008-0000-0400-00006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9" name="Picture 27" descr="España">
          <a:hlinkClick xmlns:r="http://schemas.openxmlformats.org/officeDocument/2006/relationships" r:id="rId31"/>
          <a:extLst>
            <a:ext uri="{FF2B5EF4-FFF2-40B4-BE49-F238E27FC236}">
              <a16:creationId xmlns:a16="http://schemas.microsoft.com/office/drawing/2014/main" id="{00000000-0008-0000-0400-00006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0" name="Picture 29" descr="España">
          <a:hlinkClick xmlns:r="http://schemas.openxmlformats.org/officeDocument/2006/relationships" r:id="rId31"/>
          <a:extLst>
            <a:ext uri="{FF2B5EF4-FFF2-40B4-BE49-F238E27FC236}">
              <a16:creationId xmlns:a16="http://schemas.microsoft.com/office/drawing/2014/main" id="{00000000-0008-0000-0400-00006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1" name="Picture 30" descr="Việt Nam">
          <a:hlinkClick xmlns:r="http://schemas.openxmlformats.org/officeDocument/2006/relationships" r:id="rId42"/>
          <a:extLst>
            <a:ext uri="{FF2B5EF4-FFF2-40B4-BE49-F238E27FC236}">
              <a16:creationId xmlns:a16="http://schemas.microsoft.com/office/drawing/2014/main" id="{00000000-0008-0000-0400-00006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2" name="Picture 31" descr="Italia">
          <a:hlinkClick xmlns:r="http://schemas.openxmlformats.org/officeDocument/2006/relationships" r:id="rId43"/>
          <a:extLst>
            <a:ext uri="{FF2B5EF4-FFF2-40B4-BE49-F238E27FC236}">
              <a16:creationId xmlns:a16="http://schemas.microsoft.com/office/drawing/2014/main" id="{00000000-0008-0000-0400-00006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3" name="Picture 35" descr="España">
          <a:hlinkClick xmlns:r="http://schemas.openxmlformats.org/officeDocument/2006/relationships" r:id="rId31"/>
          <a:extLst>
            <a:ext uri="{FF2B5EF4-FFF2-40B4-BE49-F238E27FC236}">
              <a16:creationId xmlns:a16="http://schemas.microsoft.com/office/drawing/2014/main" id="{00000000-0008-0000-0400-00006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4" name="Picture 7" descr="España">
          <a:hlinkClick xmlns:r="http://schemas.openxmlformats.org/officeDocument/2006/relationships" r:id="rId45"/>
          <a:extLst>
            <a:ext uri="{FF2B5EF4-FFF2-40B4-BE49-F238E27FC236}">
              <a16:creationId xmlns:a16="http://schemas.microsoft.com/office/drawing/2014/main" id="{00000000-0008-0000-0400-00006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5" name="Picture 9" descr="España">
          <a:hlinkClick xmlns:r="http://schemas.openxmlformats.org/officeDocument/2006/relationships" r:id="rId45"/>
          <a:extLst>
            <a:ext uri="{FF2B5EF4-FFF2-40B4-BE49-F238E27FC236}">
              <a16:creationId xmlns:a16="http://schemas.microsoft.com/office/drawing/2014/main" id="{00000000-0008-0000-0400-00006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6" name="Picture 10" descr="Suomi">
          <a:hlinkClick xmlns:r="http://schemas.openxmlformats.org/officeDocument/2006/relationships" r:id="rId47"/>
          <a:extLst>
            <a:ext uri="{FF2B5EF4-FFF2-40B4-BE49-F238E27FC236}">
              <a16:creationId xmlns:a16="http://schemas.microsoft.com/office/drawing/2014/main" id="{00000000-0008-0000-0400-00006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7" name="Picture 12" descr="Deutschland">
          <a:hlinkClick xmlns:r="http://schemas.openxmlformats.org/officeDocument/2006/relationships" r:id="rId48"/>
          <a:extLst>
            <a:ext uri="{FF2B5EF4-FFF2-40B4-BE49-F238E27FC236}">
              <a16:creationId xmlns:a16="http://schemas.microsoft.com/office/drawing/2014/main" id="{00000000-0008-0000-0400-00006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8" name="Picture 13" descr="España">
          <a:hlinkClick xmlns:r="http://schemas.openxmlformats.org/officeDocument/2006/relationships" r:id="rId45"/>
          <a:extLst>
            <a:ext uri="{FF2B5EF4-FFF2-40B4-BE49-F238E27FC236}">
              <a16:creationId xmlns:a16="http://schemas.microsoft.com/office/drawing/2014/main" id="{00000000-0008-0000-0400-00006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9" name="Picture 14" descr="Colombia">
          <a:hlinkClick xmlns:r="http://schemas.openxmlformats.org/officeDocument/2006/relationships" r:id="rId49"/>
          <a:extLst>
            <a:ext uri="{FF2B5EF4-FFF2-40B4-BE49-F238E27FC236}">
              <a16:creationId xmlns:a16="http://schemas.microsoft.com/office/drawing/2014/main" id="{00000000-0008-0000-0400-00006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0" name="Picture 15" descr="Portugal">
          <a:hlinkClick xmlns:r="http://schemas.openxmlformats.org/officeDocument/2006/relationships" r:id="rId50"/>
          <a:extLst>
            <a:ext uri="{FF2B5EF4-FFF2-40B4-BE49-F238E27FC236}">
              <a16:creationId xmlns:a16="http://schemas.microsoft.com/office/drawing/2014/main" id="{00000000-0008-0000-0400-00007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1" name="Picture 16" descr="Nederland">
          <a:hlinkClick xmlns:r="http://schemas.openxmlformats.org/officeDocument/2006/relationships" r:id="rId51"/>
          <a:extLst>
            <a:ext uri="{FF2B5EF4-FFF2-40B4-BE49-F238E27FC236}">
              <a16:creationId xmlns:a16="http://schemas.microsoft.com/office/drawing/2014/main" id="{00000000-0008-0000-0400-00007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2" name="Picture 17" descr="Northern Ireland">
          <a:hlinkClick xmlns:r="http://schemas.openxmlformats.org/officeDocument/2006/relationships" r:id="rId52"/>
          <a:extLst>
            <a:ext uri="{FF2B5EF4-FFF2-40B4-BE49-F238E27FC236}">
              <a16:creationId xmlns:a16="http://schemas.microsoft.com/office/drawing/2014/main" id="{00000000-0008-0000-0400-00007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3" name="Picture 18" descr="China">
          <a:hlinkClick xmlns:r="http://schemas.openxmlformats.org/officeDocument/2006/relationships" r:id="rId53"/>
          <a:extLst>
            <a:ext uri="{FF2B5EF4-FFF2-40B4-BE49-F238E27FC236}">
              <a16:creationId xmlns:a16="http://schemas.microsoft.com/office/drawing/2014/main" id="{00000000-0008-0000-0400-00007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4" name="Picture 19" descr="Polska">
          <a:hlinkClick xmlns:r="http://schemas.openxmlformats.org/officeDocument/2006/relationships" r:id="rId54"/>
          <a:extLst>
            <a:ext uri="{FF2B5EF4-FFF2-40B4-BE49-F238E27FC236}">
              <a16:creationId xmlns:a16="http://schemas.microsoft.com/office/drawing/2014/main" id="{00000000-0008-0000-0400-00007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5" name="Picture 20" descr="Deutschland">
          <a:hlinkClick xmlns:r="http://schemas.openxmlformats.org/officeDocument/2006/relationships" r:id="rId48"/>
          <a:extLst>
            <a:ext uri="{FF2B5EF4-FFF2-40B4-BE49-F238E27FC236}">
              <a16:creationId xmlns:a16="http://schemas.microsoft.com/office/drawing/2014/main" id="{00000000-0008-0000-0400-00007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6" name="Picture 22" descr="Danmark">
          <a:hlinkClick xmlns:r="http://schemas.openxmlformats.org/officeDocument/2006/relationships" r:id="rId55"/>
          <a:extLst>
            <a:ext uri="{FF2B5EF4-FFF2-40B4-BE49-F238E27FC236}">
              <a16:creationId xmlns:a16="http://schemas.microsoft.com/office/drawing/2014/main" id="{00000000-0008-0000-0400-00007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7" name="Picture 24" descr="Deutschland">
          <a:hlinkClick xmlns:r="http://schemas.openxmlformats.org/officeDocument/2006/relationships" r:id="rId48"/>
          <a:extLst>
            <a:ext uri="{FF2B5EF4-FFF2-40B4-BE49-F238E27FC236}">
              <a16:creationId xmlns:a16="http://schemas.microsoft.com/office/drawing/2014/main" id="{00000000-0008-0000-0400-00007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8" name="Picture 28" descr="España">
          <a:hlinkClick xmlns:r="http://schemas.openxmlformats.org/officeDocument/2006/relationships" r:id="rId45"/>
          <a:extLst>
            <a:ext uri="{FF2B5EF4-FFF2-40B4-BE49-F238E27FC236}">
              <a16:creationId xmlns:a16="http://schemas.microsoft.com/office/drawing/2014/main" id="{00000000-0008-0000-0400-00007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9" name="Picture 30" descr="España">
          <a:hlinkClick xmlns:r="http://schemas.openxmlformats.org/officeDocument/2006/relationships" r:id="rId45"/>
          <a:extLst>
            <a:ext uri="{FF2B5EF4-FFF2-40B4-BE49-F238E27FC236}">
              <a16:creationId xmlns:a16="http://schemas.microsoft.com/office/drawing/2014/main" id="{00000000-0008-0000-0400-00007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0" name="Picture 31" descr="España">
          <a:hlinkClick xmlns:r="http://schemas.openxmlformats.org/officeDocument/2006/relationships" r:id="rId45"/>
          <a:extLst>
            <a:ext uri="{FF2B5EF4-FFF2-40B4-BE49-F238E27FC236}">
              <a16:creationId xmlns:a16="http://schemas.microsoft.com/office/drawing/2014/main" id="{00000000-0008-0000-0400-00007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1" name="Picture 32" descr="Việt Nam">
          <a:hlinkClick xmlns:r="http://schemas.openxmlformats.org/officeDocument/2006/relationships" r:id="rId56"/>
          <a:extLst>
            <a:ext uri="{FF2B5EF4-FFF2-40B4-BE49-F238E27FC236}">
              <a16:creationId xmlns:a16="http://schemas.microsoft.com/office/drawing/2014/main" id="{00000000-0008-0000-0400-00007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2" name="Picture 36" descr="España">
          <a:hlinkClick xmlns:r="http://schemas.openxmlformats.org/officeDocument/2006/relationships" r:id="rId45"/>
          <a:extLst>
            <a:ext uri="{FF2B5EF4-FFF2-40B4-BE49-F238E27FC236}">
              <a16:creationId xmlns:a16="http://schemas.microsoft.com/office/drawing/2014/main" id="{00000000-0008-0000-0400-00007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3" name="Picture 7" descr="España">
          <a:hlinkClick xmlns:r="http://schemas.openxmlformats.org/officeDocument/2006/relationships" r:id="rId1"/>
          <a:extLst>
            <a:ext uri="{FF2B5EF4-FFF2-40B4-BE49-F238E27FC236}">
              <a16:creationId xmlns:a16="http://schemas.microsoft.com/office/drawing/2014/main" id="{00000000-0008-0000-0400-00007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4" name="Picture 9" descr="España">
          <a:hlinkClick xmlns:r="http://schemas.openxmlformats.org/officeDocument/2006/relationships" r:id="rId1"/>
          <a:extLst>
            <a:ext uri="{FF2B5EF4-FFF2-40B4-BE49-F238E27FC236}">
              <a16:creationId xmlns:a16="http://schemas.microsoft.com/office/drawing/2014/main" id="{00000000-0008-0000-0400-00007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5" name="Picture 10" descr="Suomi">
          <a:hlinkClick xmlns:r="http://schemas.openxmlformats.org/officeDocument/2006/relationships" r:id="rId59"/>
          <a:extLst>
            <a:ext uri="{FF2B5EF4-FFF2-40B4-BE49-F238E27FC236}">
              <a16:creationId xmlns:a16="http://schemas.microsoft.com/office/drawing/2014/main" id="{00000000-0008-0000-0400-00007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6" name="Picture 12" descr="Deutschland">
          <a:hlinkClick xmlns:r="http://schemas.openxmlformats.org/officeDocument/2006/relationships" r:id="rId12"/>
          <a:extLst>
            <a:ext uri="{FF2B5EF4-FFF2-40B4-BE49-F238E27FC236}">
              <a16:creationId xmlns:a16="http://schemas.microsoft.com/office/drawing/2014/main" id="{00000000-0008-0000-0400-00008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7" name="Picture 13" descr="España">
          <a:hlinkClick xmlns:r="http://schemas.openxmlformats.org/officeDocument/2006/relationships" r:id="rId1"/>
          <a:extLst>
            <a:ext uri="{FF2B5EF4-FFF2-40B4-BE49-F238E27FC236}">
              <a16:creationId xmlns:a16="http://schemas.microsoft.com/office/drawing/2014/main" id="{00000000-0008-0000-0400-00008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8" name="Picture 14" descr="Colombia">
          <a:hlinkClick xmlns:r="http://schemas.openxmlformats.org/officeDocument/2006/relationships" r:id="rId8"/>
          <a:extLst>
            <a:ext uri="{FF2B5EF4-FFF2-40B4-BE49-F238E27FC236}">
              <a16:creationId xmlns:a16="http://schemas.microsoft.com/office/drawing/2014/main" id="{00000000-0008-0000-0400-00008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9" name="Picture 15" descr="Portugal">
          <a:hlinkClick xmlns:r="http://schemas.openxmlformats.org/officeDocument/2006/relationships" r:id="rId16"/>
          <a:extLst>
            <a:ext uri="{FF2B5EF4-FFF2-40B4-BE49-F238E27FC236}">
              <a16:creationId xmlns:a16="http://schemas.microsoft.com/office/drawing/2014/main" id="{00000000-0008-0000-0400-00008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0" name="Picture 16" descr="Nederland">
          <a:hlinkClick xmlns:r="http://schemas.openxmlformats.org/officeDocument/2006/relationships" r:id="rId10"/>
          <a:extLst>
            <a:ext uri="{FF2B5EF4-FFF2-40B4-BE49-F238E27FC236}">
              <a16:creationId xmlns:a16="http://schemas.microsoft.com/office/drawing/2014/main" id="{00000000-0008-0000-0400-00008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1" name="Picture 17" descr="Northern Ireland">
          <a:hlinkClick xmlns:r="http://schemas.openxmlformats.org/officeDocument/2006/relationships" r:id="rId60"/>
          <a:extLst>
            <a:ext uri="{FF2B5EF4-FFF2-40B4-BE49-F238E27FC236}">
              <a16:creationId xmlns:a16="http://schemas.microsoft.com/office/drawing/2014/main" id="{00000000-0008-0000-0400-00008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2" name="Picture 18" descr="China">
          <a:hlinkClick xmlns:r="http://schemas.openxmlformats.org/officeDocument/2006/relationships" r:id="rId61"/>
          <a:extLst>
            <a:ext uri="{FF2B5EF4-FFF2-40B4-BE49-F238E27FC236}">
              <a16:creationId xmlns:a16="http://schemas.microsoft.com/office/drawing/2014/main" id="{00000000-0008-0000-0400-00008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3" name="Picture 19" descr="Polska">
          <a:hlinkClick xmlns:r="http://schemas.openxmlformats.org/officeDocument/2006/relationships" r:id="rId5"/>
          <a:extLst>
            <a:ext uri="{FF2B5EF4-FFF2-40B4-BE49-F238E27FC236}">
              <a16:creationId xmlns:a16="http://schemas.microsoft.com/office/drawing/2014/main" id="{00000000-0008-0000-0400-00008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4" name="Picture 20" descr="Deutschland">
          <a:hlinkClick xmlns:r="http://schemas.openxmlformats.org/officeDocument/2006/relationships" r:id="rId12"/>
          <a:extLst>
            <a:ext uri="{FF2B5EF4-FFF2-40B4-BE49-F238E27FC236}">
              <a16:creationId xmlns:a16="http://schemas.microsoft.com/office/drawing/2014/main" id="{00000000-0008-0000-0400-00008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5" name="Picture 22" descr="Danmark">
          <a:hlinkClick xmlns:r="http://schemas.openxmlformats.org/officeDocument/2006/relationships" r:id="rId11"/>
          <a:extLst>
            <a:ext uri="{FF2B5EF4-FFF2-40B4-BE49-F238E27FC236}">
              <a16:creationId xmlns:a16="http://schemas.microsoft.com/office/drawing/2014/main" id="{00000000-0008-0000-0400-00008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6" name="Picture 26" descr="España">
          <a:hlinkClick xmlns:r="http://schemas.openxmlformats.org/officeDocument/2006/relationships" r:id="rId1"/>
          <a:extLst>
            <a:ext uri="{FF2B5EF4-FFF2-40B4-BE49-F238E27FC236}">
              <a16:creationId xmlns:a16="http://schemas.microsoft.com/office/drawing/2014/main" id="{00000000-0008-0000-0400-00008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7" name="Picture 28" descr="España">
          <a:hlinkClick xmlns:r="http://schemas.openxmlformats.org/officeDocument/2006/relationships" r:id="rId1"/>
          <a:extLst>
            <a:ext uri="{FF2B5EF4-FFF2-40B4-BE49-F238E27FC236}">
              <a16:creationId xmlns:a16="http://schemas.microsoft.com/office/drawing/2014/main" id="{00000000-0008-0000-0400-00008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8" name="Picture 30" descr="España">
          <a:hlinkClick xmlns:r="http://schemas.openxmlformats.org/officeDocument/2006/relationships" r:id="rId1"/>
          <a:extLst>
            <a:ext uri="{FF2B5EF4-FFF2-40B4-BE49-F238E27FC236}">
              <a16:creationId xmlns:a16="http://schemas.microsoft.com/office/drawing/2014/main" id="{00000000-0008-0000-0400-00008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9" name="Picture 35" descr="España">
          <a:hlinkClick xmlns:r="http://schemas.openxmlformats.org/officeDocument/2006/relationships" r:id="rId1"/>
          <a:extLst>
            <a:ext uri="{FF2B5EF4-FFF2-40B4-BE49-F238E27FC236}">
              <a16:creationId xmlns:a16="http://schemas.microsoft.com/office/drawing/2014/main" id="{00000000-0008-0000-0400-00008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0" name="Picture 7" descr="España">
          <a:hlinkClick xmlns:r="http://schemas.openxmlformats.org/officeDocument/2006/relationships" r:id="rId63"/>
          <a:extLst>
            <a:ext uri="{FF2B5EF4-FFF2-40B4-BE49-F238E27FC236}">
              <a16:creationId xmlns:a16="http://schemas.microsoft.com/office/drawing/2014/main" id="{00000000-0008-0000-0400-00008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1" name="Picture 9" descr="España">
          <a:hlinkClick xmlns:r="http://schemas.openxmlformats.org/officeDocument/2006/relationships" r:id="rId63"/>
          <a:extLst>
            <a:ext uri="{FF2B5EF4-FFF2-40B4-BE49-F238E27FC236}">
              <a16:creationId xmlns:a16="http://schemas.microsoft.com/office/drawing/2014/main" id="{00000000-0008-0000-0400-00008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2" name="Picture 10" descr="Suomi">
          <a:hlinkClick xmlns:r="http://schemas.openxmlformats.org/officeDocument/2006/relationships" r:id="rId65"/>
          <a:extLst>
            <a:ext uri="{FF2B5EF4-FFF2-40B4-BE49-F238E27FC236}">
              <a16:creationId xmlns:a16="http://schemas.microsoft.com/office/drawing/2014/main" id="{00000000-0008-0000-0400-00009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3" name="Picture 12" descr="Deutschland">
          <a:hlinkClick xmlns:r="http://schemas.openxmlformats.org/officeDocument/2006/relationships" r:id="rId66"/>
          <a:extLst>
            <a:ext uri="{FF2B5EF4-FFF2-40B4-BE49-F238E27FC236}">
              <a16:creationId xmlns:a16="http://schemas.microsoft.com/office/drawing/2014/main" id="{00000000-0008-0000-0400-00009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4" name="Picture 13" descr="España">
          <a:hlinkClick xmlns:r="http://schemas.openxmlformats.org/officeDocument/2006/relationships" r:id="rId63"/>
          <a:extLst>
            <a:ext uri="{FF2B5EF4-FFF2-40B4-BE49-F238E27FC236}">
              <a16:creationId xmlns:a16="http://schemas.microsoft.com/office/drawing/2014/main" id="{00000000-0008-0000-0400-00009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5" name="Picture 14" descr="Colombia">
          <a:hlinkClick xmlns:r="http://schemas.openxmlformats.org/officeDocument/2006/relationships" r:id="rId67"/>
          <a:extLst>
            <a:ext uri="{FF2B5EF4-FFF2-40B4-BE49-F238E27FC236}">
              <a16:creationId xmlns:a16="http://schemas.microsoft.com/office/drawing/2014/main" id="{00000000-0008-0000-0400-00009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6" name="Picture 15" descr="Portugal">
          <a:hlinkClick xmlns:r="http://schemas.openxmlformats.org/officeDocument/2006/relationships" r:id="rId68"/>
          <a:extLst>
            <a:ext uri="{FF2B5EF4-FFF2-40B4-BE49-F238E27FC236}">
              <a16:creationId xmlns:a16="http://schemas.microsoft.com/office/drawing/2014/main" id="{00000000-0008-0000-0400-00009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7" name="Picture 16" descr="Nederland">
          <a:hlinkClick xmlns:r="http://schemas.openxmlformats.org/officeDocument/2006/relationships" r:id="rId69"/>
          <a:extLst>
            <a:ext uri="{FF2B5EF4-FFF2-40B4-BE49-F238E27FC236}">
              <a16:creationId xmlns:a16="http://schemas.microsoft.com/office/drawing/2014/main" id="{00000000-0008-0000-0400-00009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8" name="Picture 17" descr="Northern Ireland">
          <a:hlinkClick xmlns:r="http://schemas.openxmlformats.org/officeDocument/2006/relationships" r:id="rId70"/>
          <a:extLst>
            <a:ext uri="{FF2B5EF4-FFF2-40B4-BE49-F238E27FC236}">
              <a16:creationId xmlns:a16="http://schemas.microsoft.com/office/drawing/2014/main" id="{00000000-0008-0000-0400-00009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9" name="Picture 19" descr="China">
          <a:hlinkClick xmlns:r="http://schemas.openxmlformats.org/officeDocument/2006/relationships" r:id="rId71"/>
          <a:extLst>
            <a:ext uri="{FF2B5EF4-FFF2-40B4-BE49-F238E27FC236}">
              <a16:creationId xmlns:a16="http://schemas.microsoft.com/office/drawing/2014/main" id="{00000000-0008-0000-0400-00009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0" name="Picture 20" descr="Polska">
          <a:hlinkClick xmlns:r="http://schemas.openxmlformats.org/officeDocument/2006/relationships" r:id="rId72"/>
          <a:extLst>
            <a:ext uri="{FF2B5EF4-FFF2-40B4-BE49-F238E27FC236}">
              <a16:creationId xmlns:a16="http://schemas.microsoft.com/office/drawing/2014/main" id="{00000000-0008-0000-0400-00009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1" name="Picture 21" descr="Deutschland">
          <a:hlinkClick xmlns:r="http://schemas.openxmlformats.org/officeDocument/2006/relationships" r:id="rId66"/>
          <a:extLst>
            <a:ext uri="{FF2B5EF4-FFF2-40B4-BE49-F238E27FC236}">
              <a16:creationId xmlns:a16="http://schemas.microsoft.com/office/drawing/2014/main" id="{00000000-0008-0000-0400-00009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2" name="Picture 23" descr="Danmark">
          <a:hlinkClick xmlns:r="http://schemas.openxmlformats.org/officeDocument/2006/relationships" r:id="rId73"/>
          <a:extLst>
            <a:ext uri="{FF2B5EF4-FFF2-40B4-BE49-F238E27FC236}">
              <a16:creationId xmlns:a16="http://schemas.microsoft.com/office/drawing/2014/main" id="{00000000-0008-0000-0400-00009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3" name="Picture 25" descr="France">
          <a:hlinkClick xmlns:r="http://schemas.openxmlformats.org/officeDocument/2006/relationships" r:id="rId74"/>
          <a:extLst>
            <a:ext uri="{FF2B5EF4-FFF2-40B4-BE49-F238E27FC236}">
              <a16:creationId xmlns:a16="http://schemas.microsoft.com/office/drawing/2014/main" id="{00000000-0008-0000-0400-00009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4" name="Picture 28" descr="España">
          <a:hlinkClick xmlns:r="http://schemas.openxmlformats.org/officeDocument/2006/relationships" r:id="rId63"/>
          <a:extLst>
            <a:ext uri="{FF2B5EF4-FFF2-40B4-BE49-F238E27FC236}">
              <a16:creationId xmlns:a16="http://schemas.microsoft.com/office/drawing/2014/main" id="{00000000-0008-0000-0400-00009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5" name="Picture 30" descr="España">
          <a:hlinkClick xmlns:r="http://schemas.openxmlformats.org/officeDocument/2006/relationships" r:id="rId63"/>
          <a:extLst>
            <a:ext uri="{FF2B5EF4-FFF2-40B4-BE49-F238E27FC236}">
              <a16:creationId xmlns:a16="http://schemas.microsoft.com/office/drawing/2014/main" id="{00000000-0008-0000-0400-00009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6" name="Picture 31" descr="Nederland">
          <a:hlinkClick xmlns:r="http://schemas.openxmlformats.org/officeDocument/2006/relationships" r:id="rId69"/>
          <a:extLst>
            <a:ext uri="{FF2B5EF4-FFF2-40B4-BE49-F238E27FC236}">
              <a16:creationId xmlns:a16="http://schemas.microsoft.com/office/drawing/2014/main" id="{00000000-0008-0000-0400-00009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7" name="Picture 33" descr="España">
          <a:hlinkClick xmlns:r="http://schemas.openxmlformats.org/officeDocument/2006/relationships" r:id="rId63"/>
          <a:extLst>
            <a:ext uri="{FF2B5EF4-FFF2-40B4-BE49-F238E27FC236}">
              <a16:creationId xmlns:a16="http://schemas.microsoft.com/office/drawing/2014/main" id="{00000000-0008-0000-0400-00009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8" name="Picture 37" descr="România">
          <a:hlinkClick xmlns:r="http://schemas.openxmlformats.org/officeDocument/2006/relationships" r:id="rId76"/>
          <a:extLst>
            <a:ext uri="{FF2B5EF4-FFF2-40B4-BE49-F238E27FC236}">
              <a16:creationId xmlns:a16="http://schemas.microsoft.com/office/drawing/2014/main" id="{00000000-0008-0000-0400-0000A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9" name="Picture 7" descr="España">
          <a:hlinkClick xmlns:r="http://schemas.openxmlformats.org/officeDocument/2006/relationships" r:id="rId77"/>
          <a:extLst>
            <a:ext uri="{FF2B5EF4-FFF2-40B4-BE49-F238E27FC236}">
              <a16:creationId xmlns:a16="http://schemas.microsoft.com/office/drawing/2014/main" id="{00000000-0008-0000-0400-0000A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0" name="Picture 9" descr="España">
          <a:hlinkClick xmlns:r="http://schemas.openxmlformats.org/officeDocument/2006/relationships" r:id="rId77"/>
          <a:extLst>
            <a:ext uri="{FF2B5EF4-FFF2-40B4-BE49-F238E27FC236}">
              <a16:creationId xmlns:a16="http://schemas.microsoft.com/office/drawing/2014/main" id="{00000000-0008-0000-0400-0000A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1" name="Picture 10" descr="Suomi">
          <a:hlinkClick xmlns:r="http://schemas.openxmlformats.org/officeDocument/2006/relationships" r:id="rId78"/>
          <a:extLst>
            <a:ext uri="{FF2B5EF4-FFF2-40B4-BE49-F238E27FC236}">
              <a16:creationId xmlns:a16="http://schemas.microsoft.com/office/drawing/2014/main" id="{00000000-0008-0000-0400-0000A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2" name="Picture 12" descr="Deutschland">
          <a:hlinkClick xmlns:r="http://schemas.openxmlformats.org/officeDocument/2006/relationships" r:id="rId79"/>
          <a:extLst>
            <a:ext uri="{FF2B5EF4-FFF2-40B4-BE49-F238E27FC236}">
              <a16:creationId xmlns:a16="http://schemas.microsoft.com/office/drawing/2014/main" id="{00000000-0008-0000-0400-0000A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3" name="Picture 13" descr="España">
          <a:hlinkClick xmlns:r="http://schemas.openxmlformats.org/officeDocument/2006/relationships" r:id="rId77"/>
          <a:extLst>
            <a:ext uri="{FF2B5EF4-FFF2-40B4-BE49-F238E27FC236}">
              <a16:creationId xmlns:a16="http://schemas.microsoft.com/office/drawing/2014/main" id="{00000000-0008-0000-0400-0000A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4" name="Picture 15" descr="Colombia">
          <a:hlinkClick xmlns:r="http://schemas.openxmlformats.org/officeDocument/2006/relationships" r:id="rId80"/>
          <a:extLst>
            <a:ext uri="{FF2B5EF4-FFF2-40B4-BE49-F238E27FC236}">
              <a16:creationId xmlns:a16="http://schemas.microsoft.com/office/drawing/2014/main" id="{00000000-0008-0000-0400-0000A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5" name="Picture 16" descr="Portugal">
          <a:hlinkClick xmlns:r="http://schemas.openxmlformats.org/officeDocument/2006/relationships" r:id="rId81"/>
          <a:extLst>
            <a:ext uri="{FF2B5EF4-FFF2-40B4-BE49-F238E27FC236}">
              <a16:creationId xmlns:a16="http://schemas.microsoft.com/office/drawing/2014/main" id="{00000000-0008-0000-0400-0000A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6" name="Picture 17" descr="Nederland">
          <a:hlinkClick xmlns:r="http://schemas.openxmlformats.org/officeDocument/2006/relationships" r:id="rId82"/>
          <a:extLst>
            <a:ext uri="{FF2B5EF4-FFF2-40B4-BE49-F238E27FC236}">
              <a16:creationId xmlns:a16="http://schemas.microsoft.com/office/drawing/2014/main" id="{00000000-0008-0000-0400-0000A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7" name="Picture 18" descr="Northern Ireland">
          <a:hlinkClick xmlns:r="http://schemas.openxmlformats.org/officeDocument/2006/relationships" r:id="rId83"/>
          <a:extLst>
            <a:ext uri="{FF2B5EF4-FFF2-40B4-BE49-F238E27FC236}">
              <a16:creationId xmlns:a16="http://schemas.microsoft.com/office/drawing/2014/main" id="{00000000-0008-0000-0400-0000A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8" name="Picture 19" descr="China">
          <a:hlinkClick xmlns:r="http://schemas.openxmlformats.org/officeDocument/2006/relationships" r:id="rId84"/>
          <a:extLst>
            <a:ext uri="{FF2B5EF4-FFF2-40B4-BE49-F238E27FC236}">
              <a16:creationId xmlns:a16="http://schemas.microsoft.com/office/drawing/2014/main" id="{00000000-0008-0000-0400-0000A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9" name="Picture 20" descr="Polska">
          <a:hlinkClick xmlns:r="http://schemas.openxmlformats.org/officeDocument/2006/relationships" r:id="rId85"/>
          <a:extLst>
            <a:ext uri="{FF2B5EF4-FFF2-40B4-BE49-F238E27FC236}">
              <a16:creationId xmlns:a16="http://schemas.microsoft.com/office/drawing/2014/main" id="{00000000-0008-0000-0400-0000A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0" name="Picture 21" descr="Deutschland">
          <a:hlinkClick xmlns:r="http://schemas.openxmlformats.org/officeDocument/2006/relationships" r:id="rId79"/>
          <a:extLst>
            <a:ext uri="{FF2B5EF4-FFF2-40B4-BE49-F238E27FC236}">
              <a16:creationId xmlns:a16="http://schemas.microsoft.com/office/drawing/2014/main" id="{00000000-0008-0000-0400-0000A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1" name="Picture 22" descr="Danmark">
          <a:hlinkClick xmlns:r="http://schemas.openxmlformats.org/officeDocument/2006/relationships" r:id="rId86"/>
          <a:extLst>
            <a:ext uri="{FF2B5EF4-FFF2-40B4-BE49-F238E27FC236}">
              <a16:creationId xmlns:a16="http://schemas.microsoft.com/office/drawing/2014/main" id="{00000000-0008-0000-0400-0000A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2" name="Picture 24" descr="España">
          <a:hlinkClick xmlns:r="http://schemas.openxmlformats.org/officeDocument/2006/relationships" r:id="rId77"/>
          <a:extLst>
            <a:ext uri="{FF2B5EF4-FFF2-40B4-BE49-F238E27FC236}">
              <a16:creationId xmlns:a16="http://schemas.microsoft.com/office/drawing/2014/main" id="{00000000-0008-0000-0400-0000A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3" name="Picture 26" descr="România">
          <a:hlinkClick xmlns:r="http://schemas.openxmlformats.org/officeDocument/2006/relationships" r:id="rId89"/>
          <a:extLst>
            <a:ext uri="{FF2B5EF4-FFF2-40B4-BE49-F238E27FC236}">
              <a16:creationId xmlns:a16="http://schemas.microsoft.com/office/drawing/2014/main" id="{00000000-0008-0000-0400-0000A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4" name="Picture 28" descr="España">
          <a:hlinkClick xmlns:r="http://schemas.openxmlformats.org/officeDocument/2006/relationships" r:id="rId77"/>
          <a:extLst>
            <a:ext uri="{FF2B5EF4-FFF2-40B4-BE49-F238E27FC236}">
              <a16:creationId xmlns:a16="http://schemas.microsoft.com/office/drawing/2014/main" id="{00000000-0008-0000-0400-0000B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5" name="Picture 29" descr="España">
          <a:hlinkClick xmlns:r="http://schemas.openxmlformats.org/officeDocument/2006/relationships" r:id="rId77"/>
          <a:extLst>
            <a:ext uri="{FF2B5EF4-FFF2-40B4-BE49-F238E27FC236}">
              <a16:creationId xmlns:a16="http://schemas.microsoft.com/office/drawing/2014/main" id="{00000000-0008-0000-0400-0000B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6" name="Picture 30" descr="España">
          <a:hlinkClick xmlns:r="http://schemas.openxmlformats.org/officeDocument/2006/relationships" r:id="rId77"/>
          <a:extLst>
            <a:ext uri="{FF2B5EF4-FFF2-40B4-BE49-F238E27FC236}">
              <a16:creationId xmlns:a16="http://schemas.microsoft.com/office/drawing/2014/main" id="{00000000-0008-0000-0400-0000B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7" name="Picture 33" descr="Polska">
          <a:hlinkClick xmlns:r="http://schemas.openxmlformats.org/officeDocument/2006/relationships" r:id="rId85"/>
          <a:extLst>
            <a:ext uri="{FF2B5EF4-FFF2-40B4-BE49-F238E27FC236}">
              <a16:creationId xmlns:a16="http://schemas.microsoft.com/office/drawing/2014/main" id="{00000000-0008-0000-0400-0000B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8" name="Picture 37" descr="Portugal">
          <a:hlinkClick xmlns:r="http://schemas.openxmlformats.org/officeDocument/2006/relationships" r:id="rId81"/>
          <a:extLst>
            <a:ext uri="{FF2B5EF4-FFF2-40B4-BE49-F238E27FC236}">
              <a16:creationId xmlns:a16="http://schemas.microsoft.com/office/drawing/2014/main" id="{00000000-0008-0000-0400-0000B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9" name="Picture 2" descr="España">
          <a:hlinkClick xmlns:r="http://schemas.openxmlformats.org/officeDocument/2006/relationships" r:id="rId90"/>
          <a:extLst>
            <a:ext uri="{FF2B5EF4-FFF2-40B4-BE49-F238E27FC236}">
              <a16:creationId xmlns:a16="http://schemas.microsoft.com/office/drawing/2014/main" id="{00000000-0008-0000-0400-0000B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0" name="Picture 3" descr="USA">
          <a:hlinkClick xmlns:r="http://schemas.openxmlformats.org/officeDocument/2006/relationships" r:id="rId91"/>
          <a:extLst>
            <a:ext uri="{FF2B5EF4-FFF2-40B4-BE49-F238E27FC236}">
              <a16:creationId xmlns:a16="http://schemas.microsoft.com/office/drawing/2014/main" id="{00000000-0008-0000-0400-0000B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1" name="Picture 5" descr="España">
          <a:hlinkClick xmlns:r="http://schemas.openxmlformats.org/officeDocument/2006/relationships" r:id="rId90"/>
          <a:extLst>
            <a:ext uri="{FF2B5EF4-FFF2-40B4-BE49-F238E27FC236}">
              <a16:creationId xmlns:a16="http://schemas.microsoft.com/office/drawing/2014/main" id="{00000000-0008-0000-0400-0000B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2" name="Picture 6" descr="España">
          <a:hlinkClick xmlns:r="http://schemas.openxmlformats.org/officeDocument/2006/relationships" r:id="rId90"/>
          <a:extLst>
            <a:ext uri="{FF2B5EF4-FFF2-40B4-BE49-F238E27FC236}">
              <a16:creationId xmlns:a16="http://schemas.microsoft.com/office/drawing/2014/main" id="{00000000-0008-0000-0400-0000B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3" name="Picture 8" descr="Česká republika">
          <a:hlinkClick xmlns:r="http://schemas.openxmlformats.org/officeDocument/2006/relationships" r:id="rId92"/>
          <a:extLst>
            <a:ext uri="{FF2B5EF4-FFF2-40B4-BE49-F238E27FC236}">
              <a16:creationId xmlns:a16="http://schemas.microsoft.com/office/drawing/2014/main" id="{00000000-0008-0000-0400-0000B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4" name="Picture 9" descr="Sverige">
          <a:hlinkClick xmlns:r="http://schemas.openxmlformats.org/officeDocument/2006/relationships" r:id="rId93"/>
          <a:extLst>
            <a:ext uri="{FF2B5EF4-FFF2-40B4-BE49-F238E27FC236}">
              <a16:creationId xmlns:a16="http://schemas.microsoft.com/office/drawing/2014/main" id="{00000000-0008-0000-0400-0000B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5" name="Picture 11" descr="Suomi">
          <a:hlinkClick xmlns:r="http://schemas.openxmlformats.org/officeDocument/2006/relationships" r:id="rId94"/>
          <a:extLst>
            <a:ext uri="{FF2B5EF4-FFF2-40B4-BE49-F238E27FC236}">
              <a16:creationId xmlns:a16="http://schemas.microsoft.com/office/drawing/2014/main" id="{00000000-0008-0000-0400-0000B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6" name="Picture 12" descr="España">
          <a:hlinkClick xmlns:r="http://schemas.openxmlformats.org/officeDocument/2006/relationships" r:id="rId90"/>
          <a:extLst>
            <a:ext uri="{FF2B5EF4-FFF2-40B4-BE49-F238E27FC236}">
              <a16:creationId xmlns:a16="http://schemas.microsoft.com/office/drawing/2014/main" id="{00000000-0008-0000-0400-0000B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7" name="Picture 13" descr="Nederland">
          <a:hlinkClick xmlns:r="http://schemas.openxmlformats.org/officeDocument/2006/relationships" r:id="rId95"/>
          <a:extLst>
            <a:ext uri="{FF2B5EF4-FFF2-40B4-BE49-F238E27FC236}">
              <a16:creationId xmlns:a16="http://schemas.microsoft.com/office/drawing/2014/main" id="{00000000-0008-0000-0400-0000B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8" name="Picture 14" descr="Italia">
          <a:hlinkClick xmlns:r="http://schemas.openxmlformats.org/officeDocument/2006/relationships" r:id="rId96"/>
          <a:extLst>
            <a:ext uri="{FF2B5EF4-FFF2-40B4-BE49-F238E27FC236}">
              <a16:creationId xmlns:a16="http://schemas.microsoft.com/office/drawing/2014/main" id="{00000000-0008-0000-0400-0000B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9" name="Picture 16" descr="España">
          <a:hlinkClick xmlns:r="http://schemas.openxmlformats.org/officeDocument/2006/relationships" r:id="rId90"/>
          <a:extLst>
            <a:ext uri="{FF2B5EF4-FFF2-40B4-BE49-F238E27FC236}">
              <a16:creationId xmlns:a16="http://schemas.microsoft.com/office/drawing/2014/main" id="{00000000-0008-0000-0400-0000B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0" name="Picture 18" descr="France">
          <a:hlinkClick xmlns:r="http://schemas.openxmlformats.org/officeDocument/2006/relationships" r:id="rId97"/>
          <a:extLst>
            <a:ext uri="{FF2B5EF4-FFF2-40B4-BE49-F238E27FC236}">
              <a16:creationId xmlns:a16="http://schemas.microsoft.com/office/drawing/2014/main" id="{00000000-0008-0000-0400-0000C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1" name="Picture 19" descr="France">
          <a:hlinkClick xmlns:r="http://schemas.openxmlformats.org/officeDocument/2006/relationships" r:id="rId97"/>
          <a:extLst>
            <a:ext uri="{FF2B5EF4-FFF2-40B4-BE49-F238E27FC236}">
              <a16:creationId xmlns:a16="http://schemas.microsoft.com/office/drawing/2014/main" id="{00000000-0008-0000-0400-0000C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2" name="Picture 21" descr="Argentina">
          <a:hlinkClick xmlns:r="http://schemas.openxmlformats.org/officeDocument/2006/relationships" r:id="rId98"/>
          <a:extLst>
            <a:ext uri="{FF2B5EF4-FFF2-40B4-BE49-F238E27FC236}">
              <a16:creationId xmlns:a16="http://schemas.microsoft.com/office/drawing/2014/main" id="{00000000-0008-0000-0400-0000C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3" name="Picture 23" descr="España">
          <a:hlinkClick xmlns:r="http://schemas.openxmlformats.org/officeDocument/2006/relationships" r:id="rId90"/>
          <a:extLst>
            <a:ext uri="{FF2B5EF4-FFF2-40B4-BE49-F238E27FC236}">
              <a16:creationId xmlns:a16="http://schemas.microsoft.com/office/drawing/2014/main" id="{00000000-0008-0000-0400-0000C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4" name="Picture 25" descr="Lubnan">
          <a:hlinkClick xmlns:r="http://schemas.openxmlformats.org/officeDocument/2006/relationships" r:id="rId99"/>
          <a:extLst>
            <a:ext uri="{FF2B5EF4-FFF2-40B4-BE49-F238E27FC236}">
              <a16:creationId xmlns:a16="http://schemas.microsoft.com/office/drawing/2014/main" id="{00000000-0008-0000-0400-0000C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5" name="Picture 27" descr="Magyarország">
          <a:hlinkClick xmlns:r="http://schemas.openxmlformats.org/officeDocument/2006/relationships" r:id="rId100"/>
          <a:extLst>
            <a:ext uri="{FF2B5EF4-FFF2-40B4-BE49-F238E27FC236}">
              <a16:creationId xmlns:a16="http://schemas.microsoft.com/office/drawing/2014/main" id="{00000000-0008-0000-0400-0000C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6" name="Picture 29" descr="Uruguay">
          <a:hlinkClick xmlns:r="http://schemas.openxmlformats.org/officeDocument/2006/relationships" r:id="rId101"/>
          <a:extLst>
            <a:ext uri="{FF2B5EF4-FFF2-40B4-BE49-F238E27FC236}">
              <a16:creationId xmlns:a16="http://schemas.microsoft.com/office/drawing/2014/main" id="{00000000-0008-0000-0400-0000C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7" name="Picture 30" descr="Italia">
          <a:hlinkClick xmlns:r="http://schemas.openxmlformats.org/officeDocument/2006/relationships" r:id="rId96"/>
          <a:extLst>
            <a:ext uri="{FF2B5EF4-FFF2-40B4-BE49-F238E27FC236}">
              <a16:creationId xmlns:a16="http://schemas.microsoft.com/office/drawing/2014/main" id="{00000000-0008-0000-0400-0000C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8" name="Picture 31" descr="Nederland">
          <a:hlinkClick xmlns:r="http://schemas.openxmlformats.org/officeDocument/2006/relationships" r:id="rId95"/>
          <a:extLst>
            <a:ext uri="{FF2B5EF4-FFF2-40B4-BE49-F238E27FC236}">
              <a16:creationId xmlns:a16="http://schemas.microsoft.com/office/drawing/2014/main" id="{00000000-0008-0000-0400-0000C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9" name="Picture 32" descr="Italia">
          <a:hlinkClick xmlns:r="http://schemas.openxmlformats.org/officeDocument/2006/relationships" r:id="rId96"/>
          <a:extLst>
            <a:ext uri="{FF2B5EF4-FFF2-40B4-BE49-F238E27FC236}">
              <a16:creationId xmlns:a16="http://schemas.microsoft.com/office/drawing/2014/main" id="{00000000-0008-0000-0400-0000C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0" name="Picture 34" descr="Deutschland">
          <a:hlinkClick xmlns:r="http://schemas.openxmlformats.org/officeDocument/2006/relationships" r:id="rId102"/>
          <a:extLst>
            <a:ext uri="{FF2B5EF4-FFF2-40B4-BE49-F238E27FC236}">
              <a16:creationId xmlns:a16="http://schemas.microsoft.com/office/drawing/2014/main" id="{00000000-0008-0000-0400-0000C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1" name="Picture 36" descr="Israel">
          <a:hlinkClick xmlns:r="http://schemas.openxmlformats.org/officeDocument/2006/relationships" r:id="rId103"/>
          <a:extLst>
            <a:ext uri="{FF2B5EF4-FFF2-40B4-BE49-F238E27FC236}">
              <a16:creationId xmlns:a16="http://schemas.microsoft.com/office/drawing/2014/main" id="{00000000-0008-0000-0400-0000C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2" name="Picture 37" descr="Slovensko">
          <a:hlinkClick xmlns:r="http://schemas.openxmlformats.org/officeDocument/2006/relationships" r:id="rId104"/>
          <a:extLst>
            <a:ext uri="{FF2B5EF4-FFF2-40B4-BE49-F238E27FC236}">
              <a16:creationId xmlns:a16="http://schemas.microsoft.com/office/drawing/2014/main" id="{00000000-0008-0000-0400-0000C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3" name="Picture 2" descr="España">
          <a:hlinkClick xmlns:r="http://schemas.openxmlformats.org/officeDocument/2006/relationships" r:id="rId90"/>
          <a:extLst>
            <a:ext uri="{FF2B5EF4-FFF2-40B4-BE49-F238E27FC236}">
              <a16:creationId xmlns:a16="http://schemas.microsoft.com/office/drawing/2014/main" id="{00000000-0008-0000-0400-0000C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4" name="Picture 3" descr="USA">
          <a:hlinkClick xmlns:r="http://schemas.openxmlformats.org/officeDocument/2006/relationships" r:id="rId91"/>
          <a:extLst>
            <a:ext uri="{FF2B5EF4-FFF2-40B4-BE49-F238E27FC236}">
              <a16:creationId xmlns:a16="http://schemas.microsoft.com/office/drawing/2014/main" id="{00000000-0008-0000-0400-0000C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5" name="Picture 5" descr="España">
          <a:hlinkClick xmlns:r="http://schemas.openxmlformats.org/officeDocument/2006/relationships" r:id="rId90"/>
          <a:extLst>
            <a:ext uri="{FF2B5EF4-FFF2-40B4-BE49-F238E27FC236}">
              <a16:creationId xmlns:a16="http://schemas.microsoft.com/office/drawing/2014/main" id="{00000000-0008-0000-0400-0000C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6" name="Picture 6" descr="España">
          <a:hlinkClick xmlns:r="http://schemas.openxmlformats.org/officeDocument/2006/relationships" r:id="rId90"/>
          <a:extLst>
            <a:ext uri="{FF2B5EF4-FFF2-40B4-BE49-F238E27FC236}">
              <a16:creationId xmlns:a16="http://schemas.microsoft.com/office/drawing/2014/main" id="{00000000-0008-0000-0400-0000D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7" name="Picture 8" descr="Česká republika">
          <a:hlinkClick xmlns:r="http://schemas.openxmlformats.org/officeDocument/2006/relationships" r:id="rId92"/>
          <a:extLst>
            <a:ext uri="{FF2B5EF4-FFF2-40B4-BE49-F238E27FC236}">
              <a16:creationId xmlns:a16="http://schemas.microsoft.com/office/drawing/2014/main" id="{00000000-0008-0000-0400-0000D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8" name="Picture 9" descr="Sverige">
          <a:hlinkClick xmlns:r="http://schemas.openxmlformats.org/officeDocument/2006/relationships" r:id="rId93"/>
          <a:extLst>
            <a:ext uri="{FF2B5EF4-FFF2-40B4-BE49-F238E27FC236}">
              <a16:creationId xmlns:a16="http://schemas.microsoft.com/office/drawing/2014/main" id="{00000000-0008-0000-0400-0000D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9" name="Picture 11" descr="Suomi">
          <a:hlinkClick xmlns:r="http://schemas.openxmlformats.org/officeDocument/2006/relationships" r:id="rId94"/>
          <a:extLst>
            <a:ext uri="{FF2B5EF4-FFF2-40B4-BE49-F238E27FC236}">
              <a16:creationId xmlns:a16="http://schemas.microsoft.com/office/drawing/2014/main" id="{00000000-0008-0000-0400-0000D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0" name="Picture 12" descr="España">
          <a:hlinkClick xmlns:r="http://schemas.openxmlformats.org/officeDocument/2006/relationships" r:id="rId90"/>
          <a:extLst>
            <a:ext uri="{FF2B5EF4-FFF2-40B4-BE49-F238E27FC236}">
              <a16:creationId xmlns:a16="http://schemas.microsoft.com/office/drawing/2014/main" id="{00000000-0008-0000-0400-0000D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1" name="Picture 13" descr="Nederland">
          <a:hlinkClick xmlns:r="http://schemas.openxmlformats.org/officeDocument/2006/relationships" r:id="rId95"/>
          <a:extLst>
            <a:ext uri="{FF2B5EF4-FFF2-40B4-BE49-F238E27FC236}">
              <a16:creationId xmlns:a16="http://schemas.microsoft.com/office/drawing/2014/main" id="{00000000-0008-0000-0400-0000D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2" name="Picture 14" descr="Italia">
          <a:hlinkClick xmlns:r="http://schemas.openxmlformats.org/officeDocument/2006/relationships" r:id="rId96"/>
          <a:extLst>
            <a:ext uri="{FF2B5EF4-FFF2-40B4-BE49-F238E27FC236}">
              <a16:creationId xmlns:a16="http://schemas.microsoft.com/office/drawing/2014/main" id="{00000000-0008-0000-0400-0000D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3" name="Picture 16" descr="España">
          <a:hlinkClick xmlns:r="http://schemas.openxmlformats.org/officeDocument/2006/relationships" r:id="rId90"/>
          <a:extLst>
            <a:ext uri="{FF2B5EF4-FFF2-40B4-BE49-F238E27FC236}">
              <a16:creationId xmlns:a16="http://schemas.microsoft.com/office/drawing/2014/main" id="{00000000-0008-0000-0400-0000D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4" name="Picture 18" descr="France">
          <a:hlinkClick xmlns:r="http://schemas.openxmlformats.org/officeDocument/2006/relationships" r:id="rId97"/>
          <a:extLst>
            <a:ext uri="{FF2B5EF4-FFF2-40B4-BE49-F238E27FC236}">
              <a16:creationId xmlns:a16="http://schemas.microsoft.com/office/drawing/2014/main" id="{00000000-0008-0000-0400-0000D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5" name="Picture 19" descr="France">
          <a:hlinkClick xmlns:r="http://schemas.openxmlformats.org/officeDocument/2006/relationships" r:id="rId97"/>
          <a:extLst>
            <a:ext uri="{FF2B5EF4-FFF2-40B4-BE49-F238E27FC236}">
              <a16:creationId xmlns:a16="http://schemas.microsoft.com/office/drawing/2014/main" id="{00000000-0008-0000-0400-0000D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6" name="Picture 21" descr="Argentina">
          <a:hlinkClick xmlns:r="http://schemas.openxmlformats.org/officeDocument/2006/relationships" r:id="rId98"/>
          <a:extLst>
            <a:ext uri="{FF2B5EF4-FFF2-40B4-BE49-F238E27FC236}">
              <a16:creationId xmlns:a16="http://schemas.microsoft.com/office/drawing/2014/main" id="{00000000-0008-0000-0400-0000D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7" name="Picture 23" descr="España">
          <a:hlinkClick xmlns:r="http://schemas.openxmlformats.org/officeDocument/2006/relationships" r:id="rId90"/>
          <a:extLst>
            <a:ext uri="{FF2B5EF4-FFF2-40B4-BE49-F238E27FC236}">
              <a16:creationId xmlns:a16="http://schemas.microsoft.com/office/drawing/2014/main" id="{00000000-0008-0000-0400-0000D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8" name="Picture 25" descr="Lubnan">
          <a:hlinkClick xmlns:r="http://schemas.openxmlformats.org/officeDocument/2006/relationships" r:id="rId99"/>
          <a:extLst>
            <a:ext uri="{FF2B5EF4-FFF2-40B4-BE49-F238E27FC236}">
              <a16:creationId xmlns:a16="http://schemas.microsoft.com/office/drawing/2014/main" id="{00000000-0008-0000-0400-0000D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9" name="Picture 27" descr="Magyarország">
          <a:hlinkClick xmlns:r="http://schemas.openxmlformats.org/officeDocument/2006/relationships" r:id="rId100"/>
          <a:extLst>
            <a:ext uri="{FF2B5EF4-FFF2-40B4-BE49-F238E27FC236}">
              <a16:creationId xmlns:a16="http://schemas.microsoft.com/office/drawing/2014/main" id="{00000000-0008-0000-0400-0000D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0" name="Picture 29" descr="Uruguay">
          <a:hlinkClick xmlns:r="http://schemas.openxmlformats.org/officeDocument/2006/relationships" r:id="rId101"/>
          <a:extLst>
            <a:ext uri="{FF2B5EF4-FFF2-40B4-BE49-F238E27FC236}">
              <a16:creationId xmlns:a16="http://schemas.microsoft.com/office/drawing/2014/main" id="{00000000-0008-0000-0400-0000D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1" name="Picture 30" descr="Italia">
          <a:hlinkClick xmlns:r="http://schemas.openxmlformats.org/officeDocument/2006/relationships" r:id="rId96"/>
          <a:extLst>
            <a:ext uri="{FF2B5EF4-FFF2-40B4-BE49-F238E27FC236}">
              <a16:creationId xmlns:a16="http://schemas.microsoft.com/office/drawing/2014/main" id="{00000000-0008-0000-0400-0000D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2" name="Picture 31" descr="Nederland">
          <a:hlinkClick xmlns:r="http://schemas.openxmlformats.org/officeDocument/2006/relationships" r:id="rId95"/>
          <a:extLst>
            <a:ext uri="{FF2B5EF4-FFF2-40B4-BE49-F238E27FC236}">
              <a16:creationId xmlns:a16="http://schemas.microsoft.com/office/drawing/2014/main" id="{00000000-0008-0000-0400-0000E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3" name="Picture 32" descr="Italia">
          <a:hlinkClick xmlns:r="http://schemas.openxmlformats.org/officeDocument/2006/relationships" r:id="rId96"/>
          <a:extLst>
            <a:ext uri="{FF2B5EF4-FFF2-40B4-BE49-F238E27FC236}">
              <a16:creationId xmlns:a16="http://schemas.microsoft.com/office/drawing/2014/main" id="{00000000-0008-0000-0400-0000E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4" name="Picture 34" descr="Deutschland">
          <a:hlinkClick xmlns:r="http://schemas.openxmlformats.org/officeDocument/2006/relationships" r:id="rId102"/>
          <a:extLst>
            <a:ext uri="{FF2B5EF4-FFF2-40B4-BE49-F238E27FC236}">
              <a16:creationId xmlns:a16="http://schemas.microsoft.com/office/drawing/2014/main" id="{00000000-0008-0000-0400-0000E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5" name="Picture 36" descr="Israel">
          <a:hlinkClick xmlns:r="http://schemas.openxmlformats.org/officeDocument/2006/relationships" r:id="rId103"/>
          <a:extLst>
            <a:ext uri="{FF2B5EF4-FFF2-40B4-BE49-F238E27FC236}">
              <a16:creationId xmlns:a16="http://schemas.microsoft.com/office/drawing/2014/main" id="{00000000-0008-0000-0400-0000E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6" name="Picture 37" descr="Slovensko">
          <a:hlinkClick xmlns:r="http://schemas.openxmlformats.org/officeDocument/2006/relationships" r:id="rId104"/>
          <a:extLst>
            <a:ext uri="{FF2B5EF4-FFF2-40B4-BE49-F238E27FC236}">
              <a16:creationId xmlns:a16="http://schemas.microsoft.com/office/drawing/2014/main" id="{00000000-0008-0000-0400-0000E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7" name="Picture 2" descr="España">
          <a:hlinkClick xmlns:r="http://schemas.openxmlformats.org/officeDocument/2006/relationships" r:id="rId90"/>
          <a:extLst>
            <a:ext uri="{FF2B5EF4-FFF2-40B4-BE49-F238E27FC236}">
              <a16:creationId xmlns:a16="http://schemas.microsoft.com/office/drawing/2014/main" id="{00000000-0008-0000-0400-0000E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8" name="Picture 3" descr="USA">
          <a:hlinkClick xmlns:r="http://schemas.openxmlformats.org/officeDocument/2006/relationships" r:id="rId91"/>
          <a:extLst>
            <a:ext uri="{FF2B5EF4-FFF2-40B4-BE49-F238E27FC236}">
              <a16:creationId xmlns:a16="http://schemas.microsoft.com/office/drawing/2014/main" id="{00000000-0008-0000-0400-0000E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9" name="Picture 5" descr="España">
          <a:hlinkClick xmlns:r="http://schemas.openxmlformats.org/officeDocument/2006/relationships" r:id="rId90"/>
          <a:extLst>
            <a:ext uri="{FF2B5EF4-FFF2-40B4-BE49-F238E27FC236}">
              <a16:creationId xmlns:a16="http://schemas.microsoft.com/office/drawing/2014/main" id="{00000000-0008-0000-0400-0000E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0" name="Picture 6" descr="España">
          <a:hlinkClick xmlns:r="http://schemas.openxmlformats.org/officeDocument/2006/relationships" r:id="rId90"/>
          <a:extLst>
            <a:ext uri="{FF2B5EF4-FFF2-40B4-BE49-F238E27FC236}">
              <a16:creationId xmlns:a16="http://schemas.microsoft.com/office/drawing/2014/main" id="{00000000-0008-0000-0400-0000E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1" name="Picture 8" descr="Česká republika">
          <a:hlinkClick xmlns:r="http://schemas.openxmlformats.org/officeDocument/2006/relationships" r:id="rId92"/>
          <a:extLst>
            <a:ext uri="{FF2B5EF4-FFF2-40B4-BE49-F238E27FC236}">
              <a16:creationId xmlns:a16="http://schemas.microsoft.com/office/drawing/2014/main" id="{00000000-0008-0000-0400-0000E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2" name="Picture 9" descr="Sverige">
          <a:hlinkClick xmlns:r="http://schemas.openxmlformats.org/officeDocument/2006/relationships" r:id="rId93"/>
          <a:extLst>
            <a:ext uri="{FF2B5EF4-FFF2-40B4-BE49-F238E27FC236}">
              <a16:creationId xmlns:a16="http://schemas.microsoft.com/office/drawing/2014/main" id="{00000000-0008-0000-0400-0000E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3" name="Picture 11" descr="Suomi">
          <a:hlinkClick xmlns:r="http://schemas.openxmlformats.org/officeDocument/2006/relationships" r:id="rId94"/>
          <a:extLst>
            <a:ext uri="{FF2B5EF4-FFF2-40B4-BE49-F238E27FC236}">
              <a16:creationId xmlns:a16="http://schemas.microsoft.com/office/drawing/2014/main" id="{00000000-0008-0000-0400-0000E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4" name="Picture 12" descr="España">
          <a:hlinkClick xmlns:r="http://schemas.openxmlformats.org/officeDocument/2006/relationships" r:id="rId90"/>
          <a:extLst>
            <a:ext uri="{FF2B5EF4-FFF2-40B4-BE49-F238E27FC236}">
              <a16:creationId xmlns:a16="http://schemas.microsoft.com/office/drawing/2014/main" id="{00000000-0008-0000-0400-0000E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5" name="Picture 13" descr="Nederland">
          <a:hlinkClick xmlns:r="http://schemas.openxmlformats.org/officeDocument/2006/relationships" r:id="rId95"/>
          <a:extLst>
            <a:ext uri="{FF2B5EF4-FFF2-40B4-BE49-F238E27FC236}">
              <a16:creationId xmlns:a16="http://schemas.microsoft.com/office/drawing/2014/main" id="{00000000-0008-0000-0400-0000E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6" name="Picture 14" descr="Italia">
          <a:hlinkClick xmlns:r="http://schemas.openxmlformats.org/officeDocument/2006/relationships" r:id="rId96"/>
          <a:extLst>
            <a:ext uri="{FF2B5EF4-FFF2-40B4-BE49-F238E27FC236}">
              <a16:creationId xmlns:a16="http://schemas.microsoft.com/office/drawing/2014/main" id="{00000000-0008-0000-0400-0000E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7" name="Picture 16" descr="España">
          <a:hlinkClick xmlns:r="http://schemas.openxmlformats.org/officeDocument/2006/relationships" r:id="rId90"/>
          <a:extLst>
            <a:ext uri="{FF2B5EF4-FFF2-40B4-BE49-F238E27FC236}">
              <a16:creationId xmlns:a16="http://schemas.microsoft.com/office/drawing/2014/main" id="{00000000-0008-0000-0400-0000E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8" name="Picture 18" descr="France">
          <a:hlinkClick xmlns:r="http://schemas.openxmlformats.org/officeDocument/2006/relationships" r:id="rId97"/>
          <a:extLst>
            <a:ext uri="{FF2B5EF4-FFF2-40B4-BE49-F238E27FC236}">
              <a16:creationId xmlns:a16="http://schemas.microsoft.com/office/drawing/2014/main" id="{00000000-0008-0000-0400-0000F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9" name="Picture 19" descr="France">
          <a:hlinkClick xmlns:r="http://schemas.openxmlformats.org/officeDocument/2006/relationships" r:id="rId97"/>
          <a:extLst>
            <a:ext uri="{FF2B5EF4-FFF2-40B4-BE49-F238E27FC236}">
              <a16:creationId xmlns:a16="http://schemas.microsoft.com/office/drawing/2014/main" id="{00000000-0008-0000-0400-0000F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0" name="Picture 21" descr="Argentina">
          <a:hlinkClick xmlns:r="http://schemas.openxmlformats.org/officeDocument/2006/relationships" r:id="rId98"/>
          <a:extLst>
            <a:ext uri="{FF2B5EF4-FFF2-40B4-BE49-F238E27FC236}">
              <a16:creationId xmlns:a16="http://schemas.microsoft.com/office/drawing/2014/main" id="{00000000-0008-0000-0400-0000F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1" name="Picture 23" descr="España">
          <a:hlinkClick xmlns:r="http://schemas.openxmlformats.org/officeDocument/2006/relationships" r:id="rId90"/>
          <a:extLst>
            <a:ext uri="{FF2B5EF4-FFF2-40B4-BE49-F238E27FC236}">
              <a16:creationId xmlns:a16="http://schemas.microsoft.com/office/drawing/2014/main" id="{00000000-0008-0000-0400-0000F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2" name="Picture 25" descr="Lubnan">
          <a:hlinkClick xmlns:r="http://schemas.openxmlformats.org/officeDocument/2006/relationships" r:id="rId99"/>
          <a:extLst>
            <a:ext uri="{FF2B5EF4-FFF2-40B4-BE49-F238E27FC236}">
              <a16:creationId xmlns:a16="http://schemas.microsoft.com/office/drawing/2014/main" id="{00000000-0008-0000-0400-0000F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3" name="Picture 27" descr="Magyarország">
          <a:hlinkClick xmlns:r="http://schemas.openxmlformats.org/officeDocument/2006/relationships" r:id="rId100"/>
          <a:extLst>
            <a:ext uri="{FF2B5EF4-FFF2-40B4-BE49-F238E27FC236}">
              <a16:creationId xmlns:a16="http://schemas.microsoft.com/office/drawing/2014/main" id="{00000000-0008-0000-0400-0000F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4" name="Picture 29" descr="Uruguay">
          <a:hlinkClick xmlns:r="http://schemas.openxmlformats.org/officeDocument/2006/relationships" r:id="rId101"/>
          <a:extLst>
            <a:ext uri="{FF2B5EF4-FFF2-40B4-BE49-F238E27FC236}">
              <a16:creationId xmlns:a16="http://schemas.microsoft.com/office/drawing/2014/main" id="{00000000-0008-0000-0400-0000F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5" name="Picture 30" descr="Italia">
          <a:hlinkClick xmlns:r="http://schemas.openxmlformats.org/officeDocument/2006/relationships" r:id="rId96"/>
          <a:extLst>
            <a:ext uri="{FF2B5EF4-FFF2-40B4-BE49-F238E27FC236}">
              <a16:creationId xmlns:a16="http://schemas.microsoft.com/office/drawing/2014/main" id="{00000000-0008-0000-0400-0000F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6" name="Picture 31" descr="Nederland">
          <a:hlinkClick xmlns:r="http://schemas.openxmlformats.org/officeDocument/2006/relationships" r:id="rId95"/>
          <a:extLst>
            <a:ext uri="{FF2B5EF4-FFF2-40B4-BE49-F238E27FC236}">
              <a16:creationId xmlns:a16="http://schemas.microsoft.com/office/drawing/2014/main" id="{00000000-0008-0000-0400-0000F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7" name="Picture 32" descr="Italia">
          <a:hlinkClick xmlns:r="http://schemas.openxmlformats.org/officeDocument/2006/relationships" r:id="rId96"/>
          <a:extLst>
            <a:ext uri="{FF2B5EF4-FFF2-40B4-BE49-F238E27FC236}">
              <a16:creationId xmlns:a16="http://schemas.microsoft.com/office/drawing/2014/main" id="{00000000-0008-0000-0400-0000F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8" name="Picture 34" descr="Deutschland">
          <a:hlinkClick xmlns:r="http://schemas.openxmlformats.org/officeDocument/2006/relationships" r:id="rId102"/>
          <a:extLst>
            <a:ext uri="{FF2B5EF4-FFF2-40B4-BE49-F238E27FC236}">
              <a16:creationId xmlns:a16="http://schemas.microsoft.com/office/drawing/2014/main" id="{00000000-0008-0000-0400-0000F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9" name="Picture 36" descr="Israel">
          <a:hlinkClick xmlns:r="http://schemas.openxmlformats.org/officeDocument/2006/relationships" r:id="rId103"/>
          <a:extLst>
            <a:ext uri="{FF2B5EF4-FFF2-40B4-BE49-F238E27FC236}">
              <a16:creationId xmlns:a16="http://schemas.microsoft.com/office/drawing/2014/main" id="{00000000-0008-0000-0400-0000F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0" name="Picture 37" descr="Slovensko">
          <a:hlinkClick xmlns:r="http://schemas.openxmlformats.org/officeDocument/2006/relationships" r:id="rId104"/>
          <a:extLst>
            <a:ext uri="{FF2B5EF4-FFF2-40B4-BE49-F238E27FC236}">
              <a16:creationId xmlns:a16="http://schemas.microsoft.com/office/drawing/2014/main" id="{00000000-0008-0000-0400-0000F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1" name="Picture 2" descr="España">
          <a:hlinkClick xmlns:r="http://schemas.openxmlformats.org/officeDocument/2006/relationships" r:id="rId90"/>
          <a:extLst>
            <a:ext uri="{FF2B5EF4-FFF2-40B4-BE49-F238E27FC236}">
              <a16:creationId xmlns:a16="http://schemas.microsoft.com/office/drawing/2014/main" id="{00000000-0008-0000-0400-0000F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2" name="Picture 3" descr="USA">
          <a:hlinkClick xmlns:r="http://schemas.openxmlformats.org/officeDocument/2006/relationships" r:id="rId91"/>
          <a:extLst>
            <a:ext uri="{FF2B5EF4-FFF2-40B4-BE49-F238E27FC236}">
              <a16:creationId xmlns:a16="http://schemas.microsoft.com/office/drawing/2014/main" id="{00000000-0008-0000-0400-0000F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3" name="Picture 5" descr="España">
          <a:hlinkClick xmlns:r="http://schemas.openxmlformats.org/officeDocument/2006/relationships" r:id="rId90"/>
          <a:extLst>
            <a:ext uri="{FF2B5EF4-FFF2-40B4-BE49-F238E27FC236}">
              <a16:creationId xmlns:a16="http://schemas.microsoft.com/office/drawing/2014/main" id="{00000000-0008-0000-0400-0000F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4" name="Picture 6" descr="España">
          <a:hlinkClick xmlns:r="http://schemas.openxmlformats.org/officeDocument/2006/relationships" r:id="rId90"/>
          <a:extLst>
            <a:ext uri="{FF2B5EF4-FFF2-40B4-BE49-F238E27FC236}">
              <a16:creationId xmlns:a16="http://schemas.microsoft.com/office/drawing/2014/main" id="{00000000-0008-0000-0400-00000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5" name="Picture 8" descr="Česká republika">
          <a:hlinkClick xmlns:r="http://schemas.openxmlformats.org/officeDocument/2006/relationships" r:id="rId92"/>
          <a:extLst>
            <a:ext uri="{FF2B5EF4-FFF2-40B4-BE49-F238E27FC236}">
              <a16:creationId xmlns:a16="http://schemas.microsoft.com/office/drawing/2014/main" id="{00000000-0008-0000-0400-00000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6" name="Picture 9" descr="Sverige">
          <a:hlinkClick xmlns:r="http://schemas.openxmlformats.org/officeDocument/2006/relationships" r:id="rId93"/>
          <a:extLst>
            <a:ext uri="{FF2B5EF4-FFF2-40B4-BE49-F238E27FC236}">
              <a16:creationId xmlns:a16="http://schemas.microsoft.com/office/drawing/2014/main" id="{00000000-0008-0000-0400-00000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7" name="Picture 11" descr="Suomi">
          <a:hlinkClick xmlns:r="http://schemas.openxmlformats.org/officeDocument/2006/relationships" r:id="rId94"/>
          <a:extLst>
            <a:ext uri="{FF2B5EF4-FFF2-40B4-BE49-F238E27FC236}">
              <a16:creationId xmlns:a16="http://schemas.microsoft.com/office/drawing/2014/main" id="{00000000-0008-0000-0400-00000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8" name="Picture 12" descr="España">
          <a:hlinkClick xmlns:r="http://schemas.openxmlformats.org/officeDocument/2006/relationships" r:id="rId90"/>
          <a:extLst>
            <a:ext uri="{FF2B5EF4-FFF2-40B4-BE49-F238E27FC236}">
              <a16:creationId xmlns:a16="http://schemas.microsoft.com/office/drawing/2014/main" id="{00000000-0008-0000-0400-00000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9" name="Picture 13" descr="Nederland">
          <a:hlinkClick xmlns:r="http://schemas.openxmlformats.org/officeDocument/2006/relationships" r:id="rId95"/>
          <a:extLst>
            <a:ext uri="{FF2B5EF4-FFF2-40B4-BE49-F238E27FC236}">
              <a16:creationId xmlns:a16="http://schemas.microsoft.com/office/drawing/2014/main" id="{00000000-0008-0000-0400-00000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0" name="Picture 14" descr="Italia">
          <a:hlinkClick xmlns:r="http://schemas.openxmlformats.org/officeDocument/2006/relationships" r:id="rId96"/>
          <a:extLst>
            <a:ext uri="{FF2B5EF4-FFF2-40B4-BE49-F238E27FC236}">
              <a16:creationId xmlns:a16="http://schemas.microsoft.com/office/drawing/2014/main" id="{00000000-0008-0000-0400-00000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1" name="Picture 16" descr="España">
          <a:hlinkClick xmlns:r="http://schemas.openxmlformats.org/officeDocument/2006/relationships" r:id="rId90"/>
          <a:extLst>
            <a:ext uri="{FF2B5EF4-FFF2-40B4-BE49-F238E27FC236}">
              <a16:creationId xmlns:a16="http://schemas.microsoft.com/office/drawing/2014/main" id="{00000000-0008-0000-0400-00000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2" name="Picture 18" descr="France">
          <a:hlinkClick xmlns:r="http://schemas.openxmlformats.org/officeDocument/2006/relationships" r:id="rId97"/>
          <a:extLst>
            <a:ext uri="{FF2B5EF4-FFF2-40B4-BE49-F238E27FC236}">
              <a16:creationId xmlns:a16="http://schemas.microsoft.com/office/drawing/2014/main" id="{00000000-0008-0000-0400-00000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3" name="Picture 19" descr="France">
          <a:hlinkClick xmlns:r="http://schemas.openxmlformats.org/officeDocument/2006/relationships" r:id="rId97"/>
          <a:extLst>
            <a:ext uri="{FF2B5EF4-FFF2-40B4-BE49-F238E27FC236}">
              <a16:creationId xmlns:a16="http://schemas.microsoft.com/office/drawing/2014/main" id="{00000000-0008-0000-0400-00000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4" name="Picture 21" descr="Argentina">
          <a:hlinkClick xmlns:r="http://schemas.openxmlformats.org/officeDocument/2006/relationships" r:id="rId98"/>
          <a:extLst>
            <a:ext uri="{FF2B5EF4-FFF2-40B4-BE49-F238E27FC236}">
              <a16:creationId xmlns:a16="http://schemas.microsoft.com/office/drawing/2014/main" id="{00000000-0008-0000-0400-00000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5" name="Picture 23" descr="España">
          <a:hlinkClick xmlns:r="http://schemas.openxmlformats.org/officeDocument/2006/relationships" r:id="rId90"/>
          <a:extLst>
            <a:ext uri="{FF2B5EF4-FFF2-40B4-BE49-F238E27FC236}">
              <a16:creationId xmlns:a16="http://schemas.microsoft.com/office/drawing/2014/main" id="{00000000-0008-0000-0400-00000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6" name="Picture 25" descr="Lubnan">
          <a:hlinkClick xmlns:r="http://schemas.openxmlformats.org/officeDocument/2006/relationships" r:id="rId99"/>
          <a:extLst>
            <a:ext uri="{FF2B5EF4-FFF2-40B4-BE49-F238E27FC236}">
              <a16:creationId xmlns:a16="http://schemas.microsoft.com/office/drawing/2014/main" id="{00000000-0008-0000-0400-00000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7" name="Picture 27" descr="Magyarország">
          <a:hlinkClick xmlns:r="http://schemas.openxmlformats.org/officeDocument/2006/relationships" r:id="rId100"/>
          <a:extLst>
            <a:ext uri="{FF2B5EF4-FFF2-40B4-BE49-F238E27FC236}">
              <a16:creationId xmlns:a16="http://schemas.microsoft.com/office/drawing/2014/main" id="{00000000-0008-0000-0400-00000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8" name="Picture 29" descr="Uruguay">
          <a:hlinkClick xmlns:r="http://schemas.openxmlformats.org/officeDocument/2006/relationships" r:id="rId101"/>
          <a:extLst>
            <a:ext uri="{FF2B5EF4-FFF2-40B4-BE49-F238E27FC236}">
              <a16:creationId xmlns:a16="http://schemas.microsoft.com/office/drawing/2014/main" id="{00000000-0008-0000-0400-00000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9" name="Picture 30" descr="Italia">
          <a:hlinkClick xmlns:r="http://schemas.openxmlformats.org/officeDocument/2006/relationships" r:id="rId96"/>
          <a:extLst>
            <a:ext uri="{FF2B5EF4-FFF2-40B4-BE49-F238E27FC236}">
              <a16:creationId xmlns:a16="http://schemas.microsoft.com/office/drawing/2014/main" id="{00000000-0008-0000-0400-00000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0" name="Picture 31" descr="Nederland">
          <a:hlinkClick xmlns:r="http://schemas.openxmlformats.org/officeDocument/2006/relationships" r:id="rId95"/>
          <a:extLst>
            <a:ext uri="{FF2B5EF4-FFF2-40B4-BE49-F238E27FC236}">
              <a16:creationId xmlns:a16="http://schemas.microsoft.com/office/drawing/2014/main" id="{00000000-0008-0000-0400-00001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1" name="Picture 32" descr="Italia">
          <a:hlinkClick xmlns:r="http://schemas.openxmlformats.org/officeDocument/2006/relationships" r:id="rId96"/>
          <a:extLst>
            <a:ext uri="{FF2B5EF4-FFF2-40B4-BE49-F238E27FC236}">
              <a16:creationId xmlns:a16="http://schemas.microsoft.com/office/drawing/2014/main" id="{00000000-0008-0000-0400-00001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2" name="Picture 34" descr="Deutschland">
          <a:hlinkClick xmlns:r="http://schemas.openxmlformats.org/officeDocument/2006/relationships" r:id="rId102"/>
          <a:extLst>
            <a:ext uri="{FF2B5EF4-FFF2-40B4-BE49-F238E27FC236}">
              <a16:creationId xmlns:a16="http://schemas.microsoft.com/office/drawing/2014/main" id="{00000000-0008-0000-0400-00001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3" name="Picture 36" descr="Israel">
          <a:hlinkClick xmlns:r="http://schemas.openxmlformats.org/officeDocument/2006/relationships" r:id="rId103"/>
          <a:extLst>
            <a:ext uri="{FF2B5EF4-FFF2-40B4-BE49-F238E27FC236}">
              <a16:creationId xmlns:a16="http://schemas.microsoft.com/office/drawing/2014/main" id="{00000000-0008-0000-0400-00001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4" name="Picture 37" descr="Slovensko">
          <a:hlinkClick xmlns:r="http://schemas.openxmlformats.org/officeDocument/2006/relationships" r:id="rId104"/>
          <a:extLst>
            <a:ext uri="{FF2B5EF4-FFF2-40B4-BE49-F238E27FC236}">
              <a16:creationId xmlns:a16="http://schemas.microsoft.com/office/drawing/2014/main" id="{00000000-0008-0000-0400-00001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5" name="Picture 2" descr="España">
          <a:hlinkClick xmlns:r="http://schemas.openxmlformats.org/officeDocument/2006/relationships" r:id="rId90"/>
          <a:extLst>
            <a:ext uri="{FF2B5EF4-FFF2-40B4-BE49-F238E27FC236}">
              <a16:creationId xmlns:a16="http://schemas.microsoft.com/office/drawing/2014/main" id="{00000000-0008-0000-0400-00001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6" name="Picture 3" descr="USA">
          <a:hlinkClick xmlns:r="http://schemas.openxmlformats.org/officeDocument/2006/relationships" r:id="rId91"/>
          <a:extLst>
            <a:ext uri="{FF2B5EF4-FFF2-40B4-BE49-F238E27FC236}">
              <a16:creationId xmlns:a16="http://schemas.microsoft.com/office/drawing/2014/main" id="{00000000-0008-0000-0400-00001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7" name="Picture 5" descr="España">
          <a:hlinkClick xmlns:r="http://schemas.openxmlformats.org/officeDocument/2006/relationships" r:id="rId90"/>
          <a:extLst>
            <a:ext uri="{FF2B5EF4-FFF2-40B4-BE49-F238E27FC236}">
              <a16:creationId xmlns:a16="http://schemas.microsoft.com/office/drawing/2014/main" id="{00000000-0008-0000-0400-00001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8" name="Picture 6" descr="España">
          <a:hlinkClick xmlns:r="http://schemas.openxmlformats.org/officeDocument/2006/relationships" r:id="rId90"/>
          <a:extLst>
            <a:ext uri="{FF2B5EF4-FFF2-40B4-BE49-F238E27FC236}">
              <a16:creationId xmlns:a16="http://schemas.microsoft.com/office/drawing/2014/main" id="{00000000-0008-0000-0400-00001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9" name="Picture 8" descr="Česká republika">
          <a:hlinkClick xmlns:r="http://schemas.openxmlformats.org/officeDocument/2006/relationships" r:id="rId92"/>
          <a:extLst>
            <a:ext uri="{FF2B5EF4-FFF2-40B4-BE49-F238E27FC236}">
              <a16:creationId xmlns:a16="http://schemas.microsoft.com/office/drawing/2014/main" id="{00000000-0008-0000-0400-00001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0" name="Picture 9" descr="Sverige">
          <a:hlinkClick xmlns:r="http://schemas.openxmlformats.org/officeDocument/2006/relationships" r:id="rId93"/>
          <a:extLst>
            <a:ext uri="{FF2B5EF4-FFF2-40B4-BE49-F238E27FC236}">
              <a16:creationId xmlns:a16="http://schemas.microsoft.com/office/drawing/2014/main" id="{00000000-0008-0000-0400-00001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1" name="Picture 11" descr="Suomi">
          <a:hlinkClick xmlns:r="http://schemas.openxmlformats.org/officeDocument/2006/relationships" r:id="rId94"/>
          <a:extLst>
            <a:ext uri="{FF2B5EF4-FFF2-40B4-BE49-F238E27FC236}">
              <a16:creationId xmlns:a16="http://schemas.microsoft.com/office/drawing/2014/main" id="{00000000-0008-0000-0400-00001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2" name="Picture 12" descr="España">
          <a:hlinkClick xmlns:r="http://schemas.openxmlformats.org/officeDocument/2006/relationships" r:id="rId90"/>
          <a:extLst>
            <a:ext uri="{FF2B5EF4-FFF2-40B4-BE49-F238E27FC236}">
              <a16:creationId xmlns:a16="http://schemas.microsoft.com/office/drawing/2014/main" id="{00000000-0008-0000-0400-00001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3" name="Picture 13" descr="Nederland">
          <a:hlinkClick xmlns:r="http://schemas.openxmlformats.org/officeDocument/2006/relationships" r:id="rId95"/>
          <a:extLst>
            <a:ext uri="{FF2B5EF4-FFF2-40B4-BE49-F238E27FC236}">
              <a16:creationId xmlns:a16="http://schemas.microsoft.com/office/drawing/2014/main" id="{00000000-0008-0000-0400-00001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4" name="Picture 14" descr="Italia">
          <a:hlinkClick xmlns:r="http://schemas.openxmlformats.org/officeDocument/2006/relationships" r:id="rId96"/>
          <a:extLst>
            <a:ext uri="{FF2B5EF4-FFF2-40B4-BE49-F238E27FC236}">
              <a16:creationId xmlns:a16="http://schemas.microsoft.com/office/drawing/2014/main" id="{00000000-0008-0000-0400-00001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5" name="Picture 16" descr="España">
          <a:hlinkClick xmlns:r="http://schemas.openxmlformats.org/officeDocument/2006/relationships" r:id="rId90"/>
          <a:extLst>
            <a:ext uri="{FF2B5EF4-FFF2-40B4-BE49-F238E27FC236}">
              <a16:creationId xmlns:a16="http://schemas.microsoft.com/office/drawing/2014/main" id="{00000000-0008-0000-0400-00001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6" name="Picture 18" descr="France">
          <a:hlinkClick xmlns:r="http://schemas.openxmlformats.org/officeDocument/2006/relationships" r:id="rId97"/>
          <a:extLst>
            <a:ext uri="{FF2B5EF4-FFF2-40B4-BE49-F238E27FC236}">
              <a16:creationId xmlns:a16="http://schemas.microsoft.com/office/drawing/2014/main" id="{00000000-0008-0000-0400-00002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7" name="Picture 19" descr="France">
          <a:hlinkClick xmlns:r="http://schemas.openxmlformats.org/officeDocument/2006/relationships" r:id="rId97"/>
          <a:extLst>
            <a:ext uri="{FF2B5EF4-FFF2-40B4-BE49-F238E27FC236}">
              <a16:creationId xmlns:a16="http://schemas.microsoft.com/office/drawing/2014/main" id="{00000000-0008-0000-0400-00002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8" name="Picture 21" descr="Argentina">
          <a:hlinkClick xmlns:r="http://schemas.openxmlformats.org/officeDocument/2006/relationships" r:id="rId98"/>
          <a:extLst>
            <a:ext uri="{FF2B5EF4-FFF2-40B4-BE49-F238E27FC236}">
              <a16:creationId xmlns:a16="http://schemas.microsoft.com/office/drawing/2014/main" id="{00000000-0008-0000-0400-00002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9" name="Picture 23" descr="España">
          <a:hlinkClick xmlns:r="http://schemas.openxmlformats.org/officeDocument/2006/relationships" r:id="rId90"/>
          <a:extLst>
            <a:ext uri="{FF2B5EF4-FFF2-40B4-BE49-F238E27FC236}">
              <a16:creationId xmlns:a16="http://schemas.microsoft.com/office/drawing/2014/main" id="{00000000-0008-0000-0400-00002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0" name="Picture 25" descr="Lubnan">
          <a:hlinkClick xmlns:r="http://schemas.openxmlformats.org/officeDocument/2006/relationships" r:id="rId99"/>
          <a:extLst>
            <a:ext uri="{FF2B5EF4-FFF2-40B4-BE49-F238E27FC236}">
              <a16:creationId xmlns:a16="http://schemas.microsoft.com/office/drawing/2014/main" id="{00000000-0008-0000-0400-00002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1" name="Picture 27" descr="Magyarország">
          <a:hlinkClick xmlns:r="http://schemas.openxmlformats.org/officeDocument/2006/relationships" r:id="rId100"/>
          <a:extLst>
            <a:ext uri="{FF2B5EF4-FFF2-40B4-BE49-F238E27FC236}">
              <a16:creationId xmlns:a16="http://schemas.microsoft.com/office/drawing/2014/main" id="{00000000-0008-0000-0400-00002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2" name="Picture 29" descr="Uruguay">
          <a:hlinkClick xmlns:r="http://schemas.openxmlformats.org/officeDocument/2006/relationships" r:id="rId101"/>
          <a:extLst>
            <a:ext uri="{FF2B5EF4-FFF2-40B4-BE49-F238E27FC236}">
              <a16:creationId xmlns:a16="http://schemas.microsoft.com/office/drawing/2014/main" id="{00000000-0008-0000-0400-00002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3" name="Picture 30" descr="Italia">
          <a:hlinkClick xmlns:r="http://schemas.openxmlformats.org/officeDocument/2006/relationships" r:id="rId96"/>
          <a:extLst>
            <a:ext uri="{FF2B5EF4-FFF2-40B4-BE49-F238E27FC236}">
              <a16:creationId xmlns:a16="http://schemas.microsoft.com/office/drawing/2014/main" id="{00000000-0008-0000-0400-00002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4" name="Picture 31" descr="Nederland">
          <a:hlinkClick xmlns:r="http://schemas.openxmlformats.org/officeDocument/2006/relationships" r:id="rId95"/>
          <a:extLst>
            <a:ext uri="{FF2B5EF4-FFF2-40B4-BE49-F238E27FC236}">
              <a16:creationId xmlns:a16="http://schemas.microsoft.com/office/drawing/2014/main" id="{00000000-0008-0000-0400-00002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5" name="Picture 32" descr="Italia">
          <a:hlinkClick xmlns:r="http://schemas.openxmlformats.org/officeDocument/2006/relationships" r:id="rId96"/>
          <a:extLst>
            <a:ext uri="{FF2B5EF4-FFF2-40B4-BE49-F238E27FC236}">
              <a16:creationId xmlns:a16="http://schemas.microsoft.com/office/drawing/2014/main" id="{00000000-0008-0000-0400-00002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6" name="Picture 34" descr="Deutschland">
          <a:hlinkClick xmlns:r="http://schemas.openxmlformats.org/officeDocument/2006/relationships" r:id="rId102"/>
          <a:extLst>
            <a:ext uri="{FF2B5EF4-FFF2-40B4-BE49-F238E27FC236}">
              <a16:creationId xmlns:a16="http://schemas.microsoft.com/office/drawing/2014/main" id="{00000000-0008-0000-0400-00002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7" name="Picture 36" descr="Israel">
          <a:hlinkClick xmlns:r="http://schemas.openxmlformats.org/officeDocument/2006/relationships" r:id="rId103"/>
          <a:extLst>
            <a:ext uri="{FF2B5EF4-FFF2-40B4-BE49-F238E27FC236}">
              <a16:creationId xmlns:a16="http://schemas.microsoft.com/office/drawing/2014/main" id="{00000000-0008-0000-0400-00002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8" name="Picture 37" descr="Slovensko">
          <a:hlinkClick xmlns:r="http://schemas.openxmlformats.org/officeDocument/2006/relationships" r:id="rId104"/>
          <a:extLst>
            <a:ext uri="{FF2B5EF4-FFF2-40B4-BE49-F238E27FC236}">
              <a16:creationId xmlns:a16="http://schemas.microsoft.com/office/drawing/2014/main" id="{00000000-0008-0000-0400-00002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9" name="Picture 2" descr="España">
          <a:hlinkClick xmlns:r="http://schemas.openxmlformats.org/officeDocument/2006/relationships" r:id="rId90"/>
          <a:extLst>
            <a:ext uri="{FF2B5EF4-FFF2-40B4-BE49-F238E27FC236}">
              <a16:creationId xmlns:a16="http://schemas.microsoft.com/office/drawing/2014/main" id="{00000000-0008-0000-0400-00002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0" name="Picture 3" descr="USA">
          <a:hlinkClick xmlns:r="http://schemas.openxmlformats.org/officeDocument/2006/relationships" r:id="rId91"/>
          <a:extLst>
            <a:ext uri="{FF2B5EF4-FFF2-40B4-BE49-F238E27FC236}">
              <a16:creationId xmlns:a16="http://schemas.microsoft.com/office/drawing/2014/main" id="{00000000-0008-0000-0400-00002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1" name="Picture 5" descr="España">
          <a:hlinkClick xmlns:r="http://schemas.openxmlformats.org/officeDocument/2006/relationships" r:id="rId90"/>
          <a:extLst>
            <a:ext uri="{FF2B5EF4-FFF2-40B4-BE49-F238E27FC236}">
              <a16:creationId xmlns:a16="http://schemas.microsoft.com/office/drawing/2014/main" id="{00000000-0008-0000-0400-00002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2" name="Picture 6" descr="España">
          <a:hlinkClick xmlns:r="http://schemas.openxmlformats.org/officeDocument/2006/relationships" r:id="rId90"/>
          <a:extLst>
            <a:ext uri="{FF2B5EF4-FFF2-40B4-BE49-F238E27FC236}">
              <a16:creationId xmlns:a16="http://schemas.microsoft.com/office/drawing/2014/main" id="{00000000-0008-0000-0400-00003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3" name="Picture 8" descr="Česká republika">
          <a:hlinkClick xmlns:r="http://schemas.openxmlformats.org/officeDocument/2006/relationships" r:id="rId92"/>
          <a:extLst>
            <a:ext uri="{FF2B5EF4-FFF2-40B4-BE49-F238E27FC236}">
              <a16:creationId xmlns:a16="http://schemas.microsoft.com/office/drawing/2014/main" id="{00000000-0008-0000-0400-00003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4" name="Picture 9" descr="Sverige">
          <a:hlinkClick xmlns:r="http://schemas.openxmlformats.org/officeDocument/2006/relationships" r:id="rId93"/>
          <a:extLst>
            <a:ext uri="{FF2B5EF4-FFF2-40B4-BE49-F238E27FC236}">
              <a16:creationId xmlns:a16="http://schemas.microsoft.com/office/drawing/2014/main" id="{00000000-0008-0000-0400-00003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5" name="Picture 11" descr="Suomi">
          <a:hlinkClick xmlns:r="http://schemas.openxmlformats.org/officeDocument/2006/relationships" r:id="rId94"/>
          <a:extLst>
            <a:ext uri="{FF2B5EF4-FFF2-40B4-BE49-F238E27FC236}">
              <a16:creationId xmlns:a16="http://schemas.microsoft.com/office/drawing/2014/main" id="{00000000-0008-0000-0400-00003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6" name="Picture 12" descr="España">
          <a:hlinkClick xmlns:r="http://schemas.openxmlformats.org/officeDocument/2006/relationships" r:id="rId90"/>
          <a:extLst>
            <a:ext uri="{FF2B5EF4-FFF2-40B4-BE49-F238E27FC236}">
              <a16:creationId xmlns:a16="http://schemas.microsoft.com/office/drawing/2014/main" id="{00000000-0008-0000-0400-00003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7" name="Picture 13" descr="Nederland">
          <a:hlinkClick xmlns:r="http://schemas.openxmlformats.org/officeDocument/2006/relationships" r:id="rId95"/>
          <a:extLst>
            <a:ext uri="{FF2B5EF4-FFF2-40B4-BE49-F238E27FC236}">
              <a16:creationId xmlns:a16="http://schemas.microsoft.com/office/drawing/2014/main" id="{00000000-0008-0000-0400-00003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8" name="Picture 14" descr="Italia">
          <a:hlinkClick xmlns:r="http://schemas.openxmlformats.org/officeDocument/2006/relationships" r:id="rId96"/>
          <a:extLst>
            <a:ext uri="{FF2B5EF4-FFF2-40B4-BE49-F238E27FC236}">
              <a16:creationId xmlns:a16="http://schemas.microsoft.com/office/drawing/2014/main" id="{00000000-0008-0000-0400-00003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9" name="Picture 16" descr="España">
          <a:hlinkClick xmlns:r="http://schemas.openxmlformats.org/officeDocument/2006/relationships" r:id="rId90"/>
          <a:extLst>
            <a:ext uri="{FF2B5EF4-FFF2-40B4-BE49-F238E27FC236}">
              <a16:creationId xmlns:a16="http://schemas.microsoft.com/office/drawing/2014/main" id="{00000000-0008-0000-0400-00003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0" name="Picture 18" descr="France">
          <a:hlinkClick xmlns:r="http://schemas.openxmlformats.org/officeDocument/2006/relationships" r:id="rId97"/>
          <a:extLst>
            <a:ext uri="{FF2B5EF4-FFF2-40B4-BE49-F238E27FC236}">
              <a16:creationId xmlns:a16="http://schemas.microsoft.com/office/drawing/2014/main" id="{00000000-0008-0000-0400-00003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1" name="Picture 19" descr="France">
          <a:hlinkClick xmlns:r="http://schemas.openxmlformats.org/officeDocument/2006/relationships" r:id="rId97"/>
          <a:extLst>
            <a:ext uri="{FF2B5EF4-FFF2-40B4-BE49-F238E27FC236}">
              <a16:creationId xmlns:a16="http://schemas.microsoft.com/office/drawing/2014/main" id="{00000000-0008-0000-0400-00003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2" name="Picture 21" descr="Argentina">
          <a:hlinkClick xmlns:r="http://schemas.openxmlformats.org/officeDocument/2006/relationships" r:id="rId98"/>
          <a:extLst>
            <a:ext uri="{FF2B5EF4-FFF2-40B4-BE49-F238E27FC236}">
              <a16:creationId xmlns:a16="http://schemas.microsoft.com/office/drawing/2014/main" id="{00000000-0008-0000-0400-00003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3" name="Picture 23" descr="España">
          <a:hlinkClick xmlns:r="http://schemas.openxmlformats.org/officeDocument/2006/relationships" r:id="rId90"/>
          <a:extLst>
            <a:ext uri="{FF2B5EF4-FFF2-40B4-BE49-F238E27FC236}">
              <a16:creationId xmlns:a16="http://schemas.microsoft.com/office/drawing/2014/main" id="{00000000-0008-0000-0400-00003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4" name="Picture 25" descr="Lubnan">
          <a:hlinkClick xmlns:r="http://schemas.openxmlformats.org/officeDocument/2006/relationships" r:id="rId99"/>
          <a:extLst>
            <a:ext uri="{FF2B5EF4-FFF2-40B4-BE49-F238E27FC236}">
              <a16:creationId xmlns:a16="http://schemas.microsoft.com/office/drawing/2014/main" id="{00000000-0008-0000-0400-00003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5" name="Picture 27" descr="Magyarország">
          <a:hlinkClick xmlns:r="http://schemas.openxmlformats.org/officeDocument/2006/relationships" r:id="rId100"/>
          <a:extLst>
            <a:ext uri="{FF2B5EF4-FFF2-40B4-BE49-F238E27FC236}">
              <a16:creationId xmlns:a16="http://schemas.microsoft.com/office/drawing/2014/main" id="{00000000-0008-0000-0400-00003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6" name="Picture 29" descr="Uruguay">
          <a:hlinkClick xmlns:r="http://schemas.openxmlformats.org/officeDocument/2006/relationships" r:id="rId101"/>
          <a:extLst>
            <a:ext uri="{FF2B5EF4-FFF2-40B4-BE49-F238E27FC236}">
              <a16:creationId xmlns:a16="http://schemas.microsoft.com/office/drawing/2014/main" id="{00000000-0008-0000-0400-00003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7" name="Picture 30" descr="Italia">
          <a:hlinkClick xmlns:r="http://schemas.openxmlformats.org/officeDocument/2006/relationships" r:id="rId96"/>
          <a:extLst>
            <a:ext uri="{FF2B5EF4-FFF2-40B4-BE49-F238E27FC236}">
              <a16:creationId xmlns:a16="http://schemas.microsoft.com/office/drawing/2014/main" id="{00000000-0008-0000-0400-00003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8" name="Picture 31" descr="Nederland">
          <a:hlinkClick xmlns:r="http://schemas.openxmlformats.org/officeDocument/2006/relationships" r:id="rId95"/>
          <a:extLst>
            <a:ext uri="{FF2B5EF4-FFF2-40B4-BE49-F238E27FC236}">
              <a16:creationId xmlns:a16="http://schemas.microsoft.com/office/drawing/2014/main" id="{00000000-0008-0000-0400-00004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9" name="Picture 32" descr="Italia">
          <a:hlinkClick xmlns:r="http://schemas.openxmlformats.org/officeDocument/2006/relationships" r:id="rId96"/>
          <a:extLst>
            <a:ext uri="{FF2B5EF4-FFF2-40B4-BE49-F238E27FC236}">
              <a16:creationId xmlns:a16="http://schemas.microsoft.com/office/drawing/2014/main" id="{00000000-0008-0000-0400-00004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0" name="Picture 34" descr="Deutschland">
          <a:hlinkClick xmlns:r="http://schemas.openxmlformats.org/officeDocument/2006/relationships" r:id="rId102"/>
          <a:extLst>
            <a:ext uri="{FF2B5EF4-FFF2-40B4-BE49-F238E27FC236}">
              <a16:creationId xmlns:a16="http://schemas.microsoft.com/office/drawing/2014/main" id="{00000000-0008-0000-0400-00004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1" name="Picture 36" descr="Israel">
          <a:hlinkClick xmlns:r="http://schemas.openxmlformats.org/officeDocument/2006/relationships" r:id="rId103"/>
          <a:extLst>
            <a:ext uri="{FF2B5EF4-FFF2-40B4-BE49-F238E27FC236}">
              <a16:creationId xmlns:a16="http://schemas.microsoft.com/office/drawing/2014/main" id="{00000000-0008-0000-0400-00004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2" name="Picture 37" descr="Slovensko">
          <a:hlinkClick xmlns:r="http://schemas.openxmlformats.org/officeDocument/2006/relationships" r:id="rId104"/>
          <a:extLst>
            <a:ext uri="{FF2B5EF4-FFF2-40B4-BE49-F238E27FC236}">
              <a16:creationId xmlns:a16="http://schemas.microsoft.com/office/drawing/2014/main" id="{00000000-0008-0000-0400-00004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3" name="Picture 2" descr="España">
          <a:hlinkClick xmlns:r="http://schemas.openxmlformats.org/officeDocument/2006/relationships" r:id="rId90"/>
          <a:extLst>
            <a:ext uri="{FF2B5EF4-FFF2-40B4-BE49-F238E27FC236}">
              <a16:creationId xmlns:a16="http://schemas.microsoft.com/office/drawing/2014/main" id="{00000000-0008-0000-0400-00004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4" name="Picture 3" descr="USA">
          <a:hlinkClick xmlns:r="http://schemas.openxmlformats.org/officeDocument/2006/relationships" r:id="rId91"/>
          <a:extLst>
            <a:ext uri="{FF2B5EF4-FFF2-40B4-BE49-F238E27FC236}">
              <a16:creationId xmlns:a16="http://schemas.microsoft.com/office/drawing/2014/main" id="{00000000-0008-0000-0400-00004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5" name="Picture 5" descr="España">
          <a:hlinkClick xmlns:r="http://schemas.openxmlformats.org/officeDocument/2006/relationships" r:id="rId90"/>
          <a:extLst>
            <a:ext uri="{FF2B5EF4-FFF2-40B4-BE49-F238E27FC236}">
              <a16:creationId xmlns:a16="http://schemas.microsoft.com/office/drawing/2014/main" id="{00000000-0008-0000-0400-00004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6" name="Picture 6" descr="España">
          <a:hlinkClick xmlns:r="http://schemas.openxmlformats.org/officeDocument/2006/relationships" r:id="rId90"/>
          <a:extLst>
            <a:ext uri="{FF2B5EF4-FFF2-40B4-BE49-F238E27FC236}">
              <a16:creationId xmlns:a16="http://schemas.microsoft.com/office/drawing/2014/main" id="{00000000-0008-0000-0400-00004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7" name="Picture 8" descr="Česká republika">
          <a:hlinkClick xmlns:r="http://schemas.openxmlformats.org/officeDocument/2006/relationships" r:id="rId92"/>
          <a:extLst>
            <a:ext uri="{FF2B5EF4-FFF2-40B4-BE49-F238E27FC236}">
              <a16:creationId xmlns:a16="http://schemas.microsoft.com/office/drawing/2014/main" id="{00000000-0008-0000-0400-00004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8" name="Picture 9" descr="Sverige">
          <a:hlinkClick xmlns:r="http://schemas.openxmlformats.org/officeDocument/2006/relationships" r:id="rId93"/>
          <a:extLst>
            <a:ext uri="{FF2B5EF4-FFF2-40B4-BE49-F238E27FC236}">
              <a16:creationId xmlns:a16="http://schemas.microsoft.com/office/drawing/2014/main" id="{00000000-0008-0000-0400-00004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9" name="Picture 11" descr="Suomi">
          <a:hlinkClick xmlns:r="http://schemas.openxmlformats.org/officeDocument/2006/relationships" r:id="rId94"/>
          <a:extLst>
            <a:ext uri="{FF2B5EF4-FFF2-40B4-BE49-F238E27FC236}">
              <a16:creationId xmlns:a16="http://schemas.microsoft.com/office/drawing/2014/main" id="{00000000-0008-0000-0400-00004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0" name="Picture 12" descr="España">
          <a:hlinkClick xmlns:r="http://schemas.openxmlformats.org/officeDocument/2006/relationships" r:id="rId90"/>
          <a:extLst>
            <a:ext uri="{FF2B5EF4-FFF2-40B4-BE49-F238E27FC236}">
              <a16:creationId xmlns:a16="http://schemas.microsoft.com/office/drawing/2014/main" id="{00000000-0008-0000-0400-00004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1" name="Picture 13" descr="Nederland">
          <a:hlinkClick xmlns:r="http://schemas.openxmlformats.org/officeDocument/2006/relationships" r:id="rId95"/>
          <a:extLst>
            <a:ext uri="{FF2B5EF4-FFF2-40B4-BE49-F238E27FC236}">
              <a16:creationId xmlns:a16="http://schemas.microsoft.com/office/drawing/2014/main" id="{00000000-0008-0000-0400-00004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2" name="Picture 14" descr="Italia">
          <a:hlinkClick xmlns:r="http://schemas.openxmlformats.org/officeDocument/2006/relationships" r:id="rId96"/>
          <a:extLst>
            <a:ext uri="{FF2B5EF4-FFF2-40B4-BE49-F238E27FC236}">
              <a16:creationId xmlns:a16="http://schemas.microsoft.com/office/drawing/2014/main" id="{00000000-0008-0000-0400-00004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3" name="Picture 16" descr="España">
          <a:hlinkClick xmlns:r="http://schemas.openxmlformats.org/officeDocument/2006/relationships" r:id="rId90"/>
          <a:extLst>
            <a:ext uri="{FF2B5EF4-FFF2-40B4-BE49-F238E27FC236}">
              <a16:creationId xmlns:a16="http://schemas.microsoft.com/office/drawing/2014/main" id="{00000000-0008-0000-0400-00004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4" name="Picture 18" descr="France">
          <a:hlinkClick xmlns:r="http://schemas.openxmlformats.org/officeDocument/2006/relationships" r:id="rId97"/>
          <a:extLst>
            <a:ext uri="{FF2B5EF4-FFF2-40B4-BE49-F238E27FC236}">
              <a16:creationId xmlns:a16="http://schemas.microsoft.com/office/drawing/2014/main" id="{00000000-0008-0000-0400-00005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5" name="Picture 19" descr="France">
          <a:hlinkClick xmlns:r="http://schemas.openxmlformats.org/officeDocument/2006/relationships" r:id="rId97"/>
          <a:extLst>
            <a:ext uri="{FF2B5EF4-FFF2-40B4-BE49-F238E27FC236}">
              <a16:creationId xmlns:a16="http://schemas.microsoft.com/office/drawing/2014/main" id="{00000000-0008-0000-0400-00005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6" name="Picture 21" descr="Argentina">
          <a:hlinkClick xmlns:r="http://schemas.openxmlformats.org/officeDocument/2006/relationships" r:id="rId98"/>
          <a:extLst>
            <a:ext uri="{FF2B5EF4-FFF2-40B4-BE49-F238E27FC236}">
              <a16:creationId xmlns:a16="http://schemas.microsoft.com/office/drawing/2014/main" id="{00000000-0008-0000-0400-00005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7" name="Picture 23" descr="España">
          <a:hlinkClick xmlns:r="http://schemas.openxmlformats.org/officeDocument/2006/relationships" r:id="rId90"/>
          <a:extLst>
            <a:ext uri="{FF2B5EF4-FFF2-40B4-BE49-F238E27FC236}">
              <a16:creationId xmlns:a16="http://schemas.microsoft.com/office/drawing/2014/main" id="{00000000-0008-0000-0400-00005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8" name="Picture 25" descr="Lubnan">
          <a:hlinkClick xmlns:r="http://schemas.openxmlformats.org/officeDocument/2006/relationships" r:id="rId99"/>
          <a:extLst>
            <a:ext uri="{FF2B5EF4-FFF2-40B4-BE49-F238E27FC236}">
              <a16:creationId xmlns:a16="http://schemas.microsoft.com/office/drawing/2014/main" id="{00000000-0008-0000-0400-00005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9" name="Picture 27" descr="Magyarország">
          <a:hlinkClick xmlns:r="http://schemas.openxmlformats.org/officeDocument/2006/relationships" r:id="rId100"/>
          <a:extLst>
            <a:ext uri="{FF2B5EF4-FFF2-40B4-BE49-F238E27FC236}">
              <a16:creationId xmlns:a16="http://schemas.microsoft.com/office/drawing/2014/main" id="{00000000-0008-0000-0400-00005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0" name="Picture 29" descr="Uruguay">
          <a:hlinkClick xmlns:r="http://schemas.openxmlformats.org/officeDocument/2006/relationships" r:id="rId101"/>
          <a:extLst>
            <a:ext uri="{FF2B5EF4-FFF2-40B4-BE49-F238E27FC236}">
              <a16:creationId xmlns:a16="http://schemas.microsoft.com/office/drawing/2014/main" id="{00000000-0008-0000-0400-00005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1" name="Picture 30" descr="Italia">
          <a:hlinkClick xmlns:r="http://schemas.openxmlformats.org/officeDocument/2006/relationships" r:id="rId96"/>
          <a:extLst>
            <a:ext uri="{FF2B5EF4-FFF2-40B4-BE49-F238E27FC236}">
              <a16:creationId xmlns:a16="http://schemas.microsoft.com/office/drawing/2014/main" id="{00000000-0008-0000-0400-00005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2" name="Picture 31" descr="Nederland">
          <a:hlinkClick xmlns:r="http://schemas.openxmlformats.org/officeDocument/2006/relationships" r:id="rId95"/>
          <a:extLst>
            <a:ext uri="{FF2B5EF4-FFF2-40B4-BE49-F238E27FC236}">
              <a16:creationId xmlns:a16="http://schemas.microsoft.com/office/drawing/2014/main" id="{00000000-0008-0000-0400-00005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3" name="Picture 32" descr="Italia">
          <a:hlinkClick xmlns:r="http://schemas.openxmlformats.org/officeDocument/2006/relationships" r:id="rId96"/>
          <a:extLst>
            <a:ext uri="{FF2B5EF4-FFF2-40B4-BE49-F238E27FC236}">
              <a16:creationId xmlns:a16="http://schemas.microsoft.com/office/drawing/2014/main" id="{00000000-0008-0000-0400-00005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4" name="Picture 34" descr="Deutschland">
          <a:hlinkClick xmlns:r="http://schemas.openxmlformats.org/officeDocument/2006/relationships" r:id="rId102"/>
          <a:extLst>
            <a:ext uri="{FF2B5EF4-FFF2-40B4-BE49-F238E27FC236}">
              <a16:creationId xmlns:a16="http://schemas.microsoft.com/office/drawing/2014/main" id="{00000000-0008-0000-0400-00005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5" name="Picture 36" descr="Israel">
          <a:hlinkClick xmlns:r="http://schemas.openxmlformats.org/officeDocument/2006/relationships" r:id="rId103"/>
          <a:extLst>
            <a:ext uri="{FF2B5EF4-FFF2-40B4-BE49-F238E27FC236}">
              <a16:creationId xmlns:a16="http://schemas.microsoft.com/office/drawing/2014/main" id="{00000000-0008-0000-0400-00005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6" name="Picture 37" descr="Slovensko">
          <a:hlinkClick xmlns:r="http://schemas.openxmlformats.org/officeDocument/2006/relationships" r:id="rId104"/>
          <a:extLst>
            <a:ext uri="{FF2B5EF4-FFF2-40B4-BE49-F238E27FC236}">
              <a16:creationId xmlns:a16="http://schemas.microsoft.com/office/drawing/2014/main" id="{00000000-0008-0000-0400-00005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7" name="Picture 2" descr="España">
          <a:hlinkClick xmlns:r="http://schemas.openxmlformats.org/officeDocument/2006/relationships" r:id="rId90"/>
          <a:extLst>
            <a:ext uri="{FF2B5EF4-FFF2-40B4-BE49-F238E27FC236}">
              <a16:creationId xmlns:a16="http://schemas.microsoft.com/office/drawing/2014/main" id="{00000000-0008-0000-0400-00005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8" name="Picture 3" descr="USA">
          <a:hlinkClick xmlns:r="http://schemas.openxmlformats.org/officeDocument/2006/relationships" r:id="rId91"/>
          <a:extLst>
            <a:ext uri="{FF2B5EF4-FFF2-40B4-BE49-F238E27FC236}">
              <a16:creationId xmlns:a16="http://schemas.microsoft.com/office/drawing/2014/main" id="{00000000-0008-0000-0400-00005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9" name="Picture 5" descr="España">
          <a:hlinkClick xmlns:r="http://schemas.openxmlformats.org/officeDocument/2006/relationships" r:id="rId90"/>
          <a:extLst>
            <a:ext uri="{FF2B5EF4-FFF2-40B4-BE49-F238E27FC236}">
              <a16:creationId xmlns:a16="http://schemas.microsoft.com/office/drawing/2014/main" id="{00000000-0008-0000-0400-00005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0" name="Picture 6" descr="España">
          <a:hlinkClick xmlns:r="http://schemas.openxmlformats.org/officeDocument/2006/relationships" r:id="rId90"/>
          <a:extLst>
            <a:ext uri="{FF2B5EF4-FFF2-40B4-BE49-F238E27FC236}">
              <a16:creationId xmlns:a16="http://schemas.microsoft.com/office/drawing/2014/main" id="{00000000-0008-0000-0400-00006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1" name="Picture 8" descr="Česká republika">
          <a:hlinkClick xmlns:r="http://schemas.openxmlformats.org/officeDocument/2006/relationships" r:id="rId92"/>
          <a:extLst>
            <a:ext uri="{FF2B5EF4-FFF2-40B4-BE49-F238E27FC236}">
              <a16:creationId xmlns:a16="http://schemas.microsoft.com/office/drawing/2014/main" id="{00000000-0008-0000-0400-00006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2" name="Picture 9" descr="Sverige">
          <a:hlinkClick xmlns:r="http://schemas.openxmlformats.org/officeDocument/2006/relationships" r:id="rId93"/>
          <a:extLst>
            <a:ext uri="{FF2B5EF4-FFF2-40B4-BE49-F238E27FC236}">
              <a16:creationId xmlns:a16="http://schemas.microsoft.com/office/drawing/2014/main" id="{00000000-0008-0000-0400-00006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3" name="Picture 11" descr="Suomi">
          <a:hlinkClick xmlns:r="http://schemas.openxmlformats.org/officeDocument/2006/relationships" r:id="rId94"/>
          <a:extLst>
            <a:ext uri="{FF2B5EF4-FFF2-40B4-BE49-F238E27FC236}">
              <a16:creationId xmlns:a16="http://schemas.microsoft.com/office/drawing/2014/main" id="{00000000-0008-0000-0400-00006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4" name="Picture 12" descr="España">
          <a:hlinkClick xmlns:r="http://schemas.openxmlformats.org/officeDocument/2006/relationships" r:id="rId90"/>
          <a:extLst>
            <a:ext uri="{FF2B5EF4-FFF2-40B4-BE49-F238E27FC236}">
              <a16:creationId xmlns:a16="http://schemas.microsoft.com/office/drawing/2014/main" id="{00000000-0008-0000-0400-00006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5" name="Picture 13" descr="Nederland">
          <a:hlinkClick xmlns:r="http://schemas.openxmlformats.org/officeDocument/2006/relationships" r:id="rId95"/>
          <a:extLst>
            <a:ext uri="{FF2B5EF4-FFF2-40B4-BE49-F238E27FC236}">
              <a16:creationId xmlns:a16="http://schemas.microsoft.com/office/drawing/2014/main" id="{00000000-0008-0000-0400-00006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6" name="Picture 14" descr="Italia">
          <a:hlinkClick xmlns:r="http://schemas.openxmlformats.org/officeDocument/2006/relationships" r:id="rId96"/>
          <a:extLst>
            <a:ext uri="{FF2B5EF4-FFF2-40B4-BE49-F238E27FC236}">
              <a16:creationId xmlns:a16="http://schemas.microsoft.com/office/drawing/2014/main" id="{00000000-0008-0000-0400-00006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7" name="Picture 16" descr="España">
          <a:hlinkClick xmlns:r="http://schemas.openxmlformats.org/officeDocument/2006/relationships" r:id="rId90"/>
          <a:extLst>
            <a:ext uri="{FF2B5EF4-FFF2-40B4-BE49-F238E27FC236}">
              <a16:creationId xmlns:a16="http://schemas.microsoft.com/office/drawing/2014/main" id="{00000000-0008-0000-0400-00006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8" name="Picture 18" descr="France">
          <a:hlinkClick xmlns:r="http://schemas.openxmlformats.org/officeDocument/2006/relationships" r:id="rId97"/>
          <a:extLst>
            <a:ext uri="{FF2B5EF4-FFF2-40B4-BE49-F238E27FC236}">
              <a16:creationId xmlns:a16="http://schemas.microsoft.com/office/drawing/2014/main" id="{00000000-0008-0000-0400-00006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9" name="Picture 19" descr="France">
          <a:hlinkClick xmlns:r="http://schemas.openxmlformats.org/officeDocument/2006/relationships" r:id="rId97"/>
          <a:extLst>
            <a:ext uri="{FF2B5EF4-FFF2-40B4-BE49-F238E27FC236}">
              <a16:creationId xmlns:a16="http://schemas.microsoft.com/office/drawing/2014/main" id="{00000000-0008-0000-0400-00006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0" name="Picture 21" descr="Argentina">
          <a:hlinkClick xmlns:r="http://schemas.openxmlformats.org/officeDocument/2006/relationships" r:id="rId98"/>
          <a:extLst>
            <a:ext uri="{FF2B5EF4-FFF2-40B4-BE49-F238E27FC236}">
              <a16:creationId xmlns:a16="http://schemas.microsoft.com/office/drawing/2014/main" id="{00000000-0008-0000-0400-00006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1" name="Picture 23" descr="España">
          <a:hlinkClick xmlns:r="http://schemas.openxmlformats.org/officeDocument/2006/relationships" r:id="rId90"/>
          <a:extLst>
            <a:ext uri="{FF2B5EF4-FFF2-40B4-BE49-F238E27FC236}">
              <a16:creationId xmlns:a16="http://schemas.microsoft.com/office/drawing/2014/main" id="{00000000-0008-0000-0400-00006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2" name="Picture 25" descr="Lubnan">
          <a:hlinkClick xmlns:r="http://schemas.openxmlformats.org/officeDocument/2006/relationships" r:id="rId99"/>
          <a:extLst>
            <a:ext uri="{FF2B5EF4-FFF2-40B4-BE49-F238E27FC236}">
              <a16:creationId xmlns:a16="http://schemas.microsoft.com/office/drawing/2014/main" id="{00000000-0008-0000-0400-00006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3" name="Picture 27" descr="Magyarország">
          <a:hlinkClick xmlns:r="http://schemas.openxmlformats.org/officeDocument/2006/relationships" r:id="rId100"/>
          <a:extLst>
            <a:ext uri="{FF2B5EF4-FFF2-40B4-BE49-F238E27FC236}">
              <a16:creationId xmlns:a16="http://schemas.microsoft.com/office/drawing/2014/main" id="{00000000-0008-0000-0400-00006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4" name="Picture 29" descr="Uruguay">
          <a:hlinkClick xmlns:r="http://schemas.openxmlformats.org/officeDocument/2006/relationships" r:id="rId101"/>
          <a:extLst>
            <a:ext uri="{FF2B5EF4-FFF2-40B4-BE49-F238E27FC236}">
              <a16:creationId xmlns:a16="http://schemas.microsoft.com/office/drawing/2014/main" id="{00000000-0008-0000-0400-00006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5" name="Picture 30" descr="Italia">
          <a:hlinkClick xmlns:r="http://schemas.openxmlformats.org/officeDocument/2006/relationships" r:id="rId96"/>
          <a:extLst>
            <a:ext uri="{FF2B5EF4-FFF2-40B4-BE49-F238E27FC236}">
              <a16:creationId xmlns:a16="http://schemas.microsoft.com/office/drawing/2014/main" id="{00000000-0008-0000-0400-00006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6" name="Picture 31" descr="Nederland">
          <a:hlinkClick xmlns:r="http://schemas.openxmlformats.org/officeDocument/2006/relationships" r:id="rId95"/>
          <a:extLst>
            <a:ext uri="{FF2B5EF4-FFF2-40B4-BE49-F238E27FC236}">
              <a16:creationId xmlns:a16="http://schemas.microsoft.com/office/drawing/2014/main" id="{00000000-0008-0000-0400-00007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7" name="Picture 32" descr="Italia">
          <a:hlinkClick xmlns:r="http://schemas.openxmlformats.org/officeDocument/2006/relationships" r:id="rId96"/>
          <a:extLst>
            <a:ext uri="{FF2B5EF4-FFF2-40B4-BE49-F238E27FC236}">
              <a16:creationId xmlns:a16="http://schemas.microsoft.com/office/drawing/2014/main" id="{00000000-0008-0000-0400-00007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8" name="Picture 34" descr="Deutschland">
          <a:hlinkClick xmlns:r="http://schemas.openxmlformats.org/officeDocument/2006/relationships" r:id="rId102"/>
          <a:extLst>
            <a:ext uri="{FF2B5EF4-FFF2-40B4-BE49-F238E27FC236}">
              <a16:creationId xmlns:a16="http://schemas.microsoft.com/office/drawing/2014/main" id="{00000000-0008-0000-0400-00007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9" name="Picture 36" descr="Israel">
          <a:hlinkClick xmlns:r="http://schemas.openxmlformats.org/officeDocument/2006/relationships" r:id="rId103"/>
          <a:extLst>
            <a:ext uri="{FF2B5EF4-FFF2-40B4-BE49-F238E27FC236}">
              <a16:creationId xmlns:a16="http://schemas.microsoft.com/office/drawing/2014/main" id="{00000000-0008-0000-0400-00007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0" name="Picture 37" descr="Slovensko">
          <a:hlinkClick xmlns:r="http://schemas.openxmlformats.org/officeDocument/2006/relationships" r:id="rId104"/>
          <a:extLst>
            <a:ext uri="{FF2B5EF4-FFF2-40B4-BE49-F238E27FC236}">
              <a16:creationId xmlns:a16="http://schemas.microsoft.com/office/drawing/2014/main" id="{00000000-0008-0000-0400-00007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1" name="Picture 2" descr="España">
          <a:hlinkClick xmlns:r="http://schemas.openxmlformats.org/officeDocument/2006/relationships" r:id="rId90"/>
          <a:extLst>
            <a:ext uri="{FF2B5EF4-FFF2-40B4-BE49-F238E27FC236}">
              <a16:creationId xmlns:a16="http://schemas.microsoft.com/office/drawing/2014/main" id="{00000000-0008-0000-0400-00007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2" name="Picture 3" descr="USA">
          <a:hlinkClick xmlns:r="http://schemas.openxmlformats.org/officeDocument/2006/relationships" r:id="rId91"/>
          <a:extLst>
            <a:ext uri="{FF2B5EF4-FFF2-40B4-BE49-F238E27FC236}">
              <a16:creationId xmlns:a16="http://schemas.microsoft.com/office/drawing/2014/main" id="{00000000-0008-0000-0400-00007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3" name="Picture 5" descr="España">
          <a:hlinkClick xmlns:r="http://schemas.openxmlformats.org/officeDocument/2006/relationships" r:id="rId90"/>
          <a:extLst>
            <a:ext uri="{FF2B5EF4-FFF2-40B4-BE49-F238E27FC236}">
              <a16:creationId xmlns:a16="http://schemas.microsoft.com/office/drawing/2014/main" id="{00000000-0008-0000-0400-00007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4" name="Picture 6" descr="España">
          <a:hlinkClick xmlns:r="http://schemas.openxmlformats.org/officeDocument/2006/relationships" r:id="rId90"/>
          <a:extLst>
            <a:ext uri="{FF2B5EF4-FFF2-40B4-BE49-F238E27FC236}">
              <a16:creationId xmlns:a16="http://schemas.microsoft.com/office/drawing/2014/main" id="{00000000-0008-0000-0400-00007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5" name="Picture 8" descr="Česká republika">
          <a:hlinkClick xmlns:r="http://schemas.openxmlformats.org/officeDocument/2006/relationships" r:id="rId92"/>
          <a:extLst>
            <a:ext uri="{FF2B5EF4-FFF2-40B4-BE49-F238E27FC236}">
              <a16:creationId xmlns:a16="http://schemas.microsoft.com/office/drawing/2014/main" id="{00000000-0008-0000-0400-00007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6" name="Picture 9" descr="Sverige">
          <a:hlinkClick xmlns:r="http://schemas.openxmlformats.org/officeDocument/2006/relationships" r:id="rId93"/>
          <a:extLst>
            <a:ext uri="{FF2B5EF4-FFF2-40B4-BE49-F238E27FC236}">
              <a16:creationId xmlns:a16="http://schemas.microsoft.com/office/drawing/2014/main" id="{00000000-0008-0000-0400-00007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7" name="Picture 11" descr="Suomi">
          <a:hlinkClick xmlns:r="http://schemas.openxmlformats.org/officeDocument/2006/relationships" r:id="rId94"/>
          <a:extLst>
            <a:ext uri="{FF2B5EF4-FFF2-40B4-BE49-F238E27FC236}">
              <a16:creationId xmlns:a16="http://schemas.microsoft.com/office/drawing/2014/main" id="{00000000-0008-0000-0400-00007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8" name="Picture 12" descr="España">
          <a:hlinkClick xmlns:r="http://schemas.openxmlformats.org/officeDocument/2006/relationships" r:id="rId90"/>
          <a:extLst>
            <a:ext uri="{FF2B5EF4-FFF2-40B4-BE49-F238E27FC236}">
              <a16:creationId xmlns:a16="http://schemas.microsoft.com/office/drawing/2014/main" id="{00000000-0008-0000-0400-00007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9" name="Picture 13" descr="Nederland">
          <a:hlinkClick xmlns:r="http://schemas.openxmlformats.org/officeDocument/2006/relationships" r:id="rId95"/>
          <a:extLst>
            <a:ext uri="{FF2B5EF4-FFF2-40B4-BE49-F238E27FC236}">
              <a16:creationId xmlns:a16="http://schemas.microsoft.com/office/drawing/2014/main" id="{00000000-0008-0000-0400-00007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0" name="Picture 14" descr="Italia">
          <a:hlinkClick xmlns:r="http://schemas.openxmlformats.org/officeDocument/2006/relationships" r:id="rId96"/>
          <a:extLst>
            <a:ext uri="{FF2B5EF4-FFF2-40B4-BE49-F238E27FC236}">
              <a16:creationId xmlns:a16="http://schemas.microsoft.com/office/drawing/2014/main" id="{00000000-0008-0000-0400-00007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1" name="Picture 16" descr="España">
          <a:hlinkClick xmlns:r="http://schemas.openxmlformats.org/officeDocument/2006/relationships" r:id="rId90"/>
          <a:extLst>
            <a:ext uri="{FF2B5EF4-FFF2-40B4-BE49-F238E27FC236}">
              <a16:creationId xmlns:a16="http://schemas.microsoft.com/office/drawing/2014/main" id="{00000000-0008-0000-0400-00007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2" name="Picture 18" descr="France">
          <a:hlinkClick xmlns:r="http://schemas.openxmlformats.org/officeDocument/2006/relationships" r:id="rId97"/>
          <a:extLst>
            <a:ext uri="{FF2B5EF4-FFF2-40B4-BE49-F238E27FC236}">
              <a16:creationId xmlns:a16="http://schemas.microsoft.com/office/drawing/2014/main" id="{00000000-0008-0000-0400-00008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3" name="Picture 19" descr="France">
          <a:hlinkClick xmlns:r="http://schemas.openxmlformats.org/officeDocument/2006/relationships" r:id="rId97"/>
          <a:extLst>
            <a:ext uri="{FF2B5EF4-FFF2-40B4-BE49-F238E27FC236}">
              <a16:creationId xmlns:a16="http://schemas.microsoft.com/office/drawing/2014/main" id="{00000000-0008-0000-0400-00008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4" name="Picture 21" descr="Argentina">
          <a:hlinkClick xmlns:r="http://schemas.openxmlformats.org/officeDocument/2006/relationships" r:id="rId98"/>
          <a:extLst>
            <a:ext uri="{FF2B5EF4-FFF2-40B4-BE49-F238E27FC236}">
              <a16:creationId xmlns:a16="http://schemas.microsoft.com/office/drawing/2014/main" id="{00000000-0008-0000-0400-00008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5" name="Picture 23" descr="España">
          <a:hlinkClick xmlns:r="http://schemas.openxmlformats.org/officeDocument/2006/relationships" r:id="rId90"/>
          <a:extLst>
            <a:ext uri="{FF2B5EF4-FFF2-40B4-BE49-F238E27FC236}">
              <a16:creationId xmlns:a16="http://schemas.microsoft.com/office/drawing/2014/main" id="{00000000-0008-0000-0400-00008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6" name="Picture 25" descr="Lubnan">
          <a:hlinkClick xmlns:r="http://schemas.openxmlformats.org/officeDocument/2006/relationships" r:id="rId99"/>
          <a:extLst>
            <a:ext uri="{FF2B5EF4-FFF2-40B4-BE49-F238E27FC236}">
              <a16:creationId xmlns:a16="http://schemas.microsoft.com/office/drawing/2014/main" id="{00000000-0008-0000-0400-00008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7" name="Picture 27" descr="Magyarország">
          <a:hlinkClick xmlns:r="http://schemas.openxmlformats.org/officeDocument/2006/relationships" r:id="rId100"/>
          <a:extLst>
            <a:ext uri="{FF2B5EF4-FFF2-40B4-BE49-F238E27FC236}">
              <a16:creationId xmlns:a16="http://schemas.microsoft.com/office/drawing/2014/main" id="{00000000-0008-0000-0400-00008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8" name="Picture 29" descr="Uruguay">
          <a:hlinkClick xmlns:r="http://schemas.openxmlformats.org/officeDocument/2006/relationships" r:id="rId101"/>
          <a:extLst>
            <a:ext uri="{FF2B5EF4-FFF2-40B4-BE49-F238E27FC236}">
              <a16:creationId xmlns:a16="http://schemas.microsoft.com/office/drawing/2014/main" id="{00000000-0008-0000-0400-00008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9" name="Picture 30" descr="Italia">
          <a:hlinkClick xmlns:r="http://schemas.openxmlformats.org/officeDocument/2006/relationships" r:id="rId96"/>
          <a:extLst>
            <a:ext uri="{FF2B5EF4-FFF2-40B4-BE49-F238E27FC236}">
              <a16:creationId xmlns:a16="http://schemas.microsoft.com/office/drawing/2014/main" id="{00000000-0008-0000-0400-00008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0" name="Picture 31" descr="Nederland">
          <a:hlinkClick xmlns:r="http://schemas.openxmlformats.org/officeDocument/2006/relationships" r:id="rId95"/>
          <a:extLst>
            <a:ext uri="{FF2B5EF4-FFF2-40B4-BE49-F238E27FC236}">
              <a16:creationId xmlns:a16="http://schemas.microsoft.com/office/drawing/2014/main" id="{00000000-0008-0000-0400-00008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1" name="Picture 32" descr="Italia">
          <a:hlinkClick xmlns:r="http://schemas.openxmlformats.org/officeDocument/2006/relationships" r:id="rId96"/>
          <a:extLst>
            <a:ext uri="{FF2B5EF4-FFF2-40B4-BE49-F238E27FC236}">
              <a16:creationId xmlns:a16="http://schemas.microsoft.com/office/drawing/2014/main" id="{00000000-0008-0000-0400-00008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2" name="Picture 34" descr="Deutschland">
          <a:hlinkClick xmlns:r="http://schemas.openxmlformats.org/officeDocument/2006/relationships" r:id="rId102"/>
          <a:extLst>
            <a:ext uri="{FF2B5EF4-FFF2-40B4-BE49-F238E27FC236}">
              <a16:creationId xmlns:a16="http://schemas.microsoft.com/office/drawing/2014/main" id="{00000000-0008-0000-0400-00008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3" name="Picture 36" descr="Israel">
          <a:hlinkClick xmlns:r="http://schemas.openxmlformats.org/officeDocument/2006/relationships" r:id="rId103"/>
          <a:extLst>
            <a:ext uri="{FF2B5EF4-FFF2-40B4-BE49-F238E27FC236}">
              <a16:creationId xmlns:a16="http://schemas.microsoft.com/office/drawing/2014/main" id="{00000000-0008-0000-0400-00008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4" name="Picture 37" descr="Slovensko">
          <a:hlinkClick xmlns:r="http://schemas.openxmlformats.org/officeDocument/2006/relationships" r:id="rId104"/>
          <a:extLst>
            <a:ext uri="{FF2B5EF4-FFF2-40B4-BE49-F238E27FC236}">
              <a16:creationId xmlns:a16="http://schemas.microsoft.com/office/drawing/2014/main" id="{00000000-0008-0000-0400-00008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5" name="Picture 2" descr="España">
          <a:hlinkClick xmlns:r="http://schemas.openxmlformats.org/officeDocument/2006/relationships" r:id="rId90"/>
          <a:extLst>
            <a:ext uri="{FF2B5EF4-FFF2-40B4-BE49-F238E27FC236}">
              <a16:creationId xmlns:a16="http://schemas.microsoft.com/office/drawing/2014/main" id="{00000000-0008-0000-0400-00008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6" name="Picture 3" descr="USA">
          <a:hlinkClick xmlns:r="http://schemas.openxmlformats.org/officeDocument/2006/relationships" r:id="rId91"/>
          <a:extLst>
            <a:ext uri="{FF2B5EF4-FFF2-40B4-BE49-F238E27FC236}">
              <a16:creationId xmlns:a16="http://schemas.microsoft.com/office/drawing/2014/main" id="{00000000-0008-0000-0400-00008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7" name="Picture 5" descr="España">
          <a:hlinkClick xmlns:r="http://schemas.openxmlformats.org/officeDocument/2006/relationships" r:id="rId90"/>
          <a:extLst>
            <a:ext uri="{FF2B5EF4-FFF2-40B4-BE49-F238E27FC236}">
              <a16:creationId xmlns:a16="http://schemas.microsoft.com/office/drawing/2014/main" id="{00000000-0008-0000-0400-00008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8" name="Picture 6" descr="España">
          <a:hlinkClick xmlns:r="http://schemas.openxmlformats.org/officeDocument/2006/relationships" r:id="rId90"/>
          <a:extLst>
            <a:ext uri="{FF2B5EF4-FFF2-40B4-BE49-F238E27FC236}">
              <a16:creationId xmlns:a16="http://schemas.microsoft.com/office/drawing/2014/main" id="{00000000-0008-0000-0400-00009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9" name="Picture 8" descr="Česká republika">
          <a:hlinkClick xmlns:r="http://schemas.openxmlformats.org/officeDocument/2006/relationships" r:id="rId92"/>
          <a:extLst>
            <a:ext uri="{FF2B5EF4-FFF2-40B4-BE49-F238E27FC236}">
              <a16:creationId xmlns:a16="http://schemas.microsoft.com/office/drawing/2014/main" id="{00000000-0008-0000-0400-00009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0" name="Picture 9" descr="Sverige">
          <a:hlinkClick xmlns:r="http://schemas.openxmlformats.org/officeDocument/2006/relationships" r:id="rId93"/>
          <a:extLst>
            <a:ext uri="{FF2B5EF4-FFF2-40B4-BE49-F238E27FC236}">
              <a16:creationId xmlns:a16="http://schemas.microsoft.com/office/drawing/2014/main" id="{00000000-0008-0000-0400-00009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1" name="Picture 11" descr="Suomi">
          <a:hlinkClick xmlns:r="http://schemas.openxmlformats.org/officeDocument/2006/relationships" r:id="rId94"/>
          <a:extLst>
            <a:ext uri="{FF2B5EF4-FFF2-40B4-BE49-F238E27FC236}">
              <a16:creationId xmlns:a16="http://schemas.microsoft.com/office/drawing/2014/main" id="{00000000-0008-0000-0400-00009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2" name="Picture 12" descr="España">
          <a:hlinkClick xmlns:r="http://schemas.openxmlformats.org/officeDocument/2006/relationships" r:id="rId90"/>
          <a:extLst>
            <a:ext uri="{FF2B5EF4-FFF2-40B4-BE49-F238E27FC236}">
              <a16:creationId xmlns:a16="http://schemas.microsoft.com/office/drawing/2014/main" id="{00000000-0008-0000-0400-00009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3" name="Picture 13" descr="Nederland">
          <a:hlinkClick xmlns:r="http://schemas.openxmlformats.org/officeDocument/2006/relationships" r:id="rId95"/>
          <a:extLst>
            <a:ext uri="{FF2B5EF4-FFF2-40B4-BE49-F238E27FC236}">
              <a16:creationId xmlns:a16="http://schemas.microsoft.com/office/drawing/2014/main" id="{00000000-0008-0000-0400-00009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4" name="Picture 14" descr="Italia">
          <a:hlinkClick xmlns:r="http://schemas.openxmlformats.org/officeDocument/2006/relationships" r:id="rId96"/>
          <a:extLst>
            <a:ext uri="{FF2B5EF4-FFF2-40B4-BE49-F238E27FC236}">
              <a16:creationId xmlns:a16="http://schemas.microsoft.com/office/drawing/2014/main" id="{00000000-0008-0000-0400-00009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5" name="Picture 16" descr="España">
          <a:hlinkClick xmlns:r="http://schemas.openxmlformats.org/officeDocument/2006/relationships" r:id="rId90"/>
          <a:extLst>
            <a:ext uri="{FF2B5EF4-FFF2-40B4-BE49-F238E27FC236}">
              <a16:creationId xmlns:a16="http://schemas.microsoft.com/office/drawing/2014/main" id="{00000000-0008-0000-0400-00009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6" name="Picture 18" descr="France">
          <a:hlinkClick xmlns:r="http://schemas.openxmlformats.org/officeDocument/2006/relationships" r:id="rId97"/>
          <a:extLst>
            <a:ext uri="{FF2B5EF4-FFF2-40B4-BE49-F238E27FC236}">
              <a16:creationId xmlns:a16="http://schemas.microsoft.com/office/drawing/2014/main" id="{00000000-0008-0000-0400-00009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7" name="Picture 19" descr="France">
          <a:hlinkClick xmlns:r="http://schemas.openxmlformats.org/officeDocument/2006/relationships" r:id="rId97"/>
          <a:extLst>
            <a:ext uri="{FF2B5EF4-FFF2-40B4-BE49-F238E27FC236}">
              <a16:creationId xmlns:a16="http://schemas.microsoft.com/office/drawing/2014/main" id="{00000000-0008-0000-0400-00009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8" name="Picture 21" descr="Argentina">
          <a:hlinkClick xmlns:r="http://schemas.openxmlformats.org/officeDocument/2006/relationships" r:id="rId98"/>
          <a:extLst>
            <a:ext uri="{FF2B5EF4-FFF2-40B4-BE49-F238E27FC236}">
              <a16:creationId xmlns:a16="http://schemas.microsoft.com/office/drawing/2014/main" id="{00000000-0008-0000-0400-00009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9" name="Picture 23" descr="España">
          <a:hlinkClick xmlns:r="http://schemas.openxmlformats.org/officeDocument/2006/relationships" r:id="rId90"/>
          <a:extLst>
            <a:ext uri="{FF2B5EF4-FFF2-40B4-BE49-F238E27FC236}">
              <a16:creationId xmlns:a16="http://schemas.microsoft.com/office/drawing/2014/main" id="{00000000-0008-0000-0400-00009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0" name="Picture 25" descr="Lubnan">
          <a:hlinkClick xmlns:r="http://schemas.openxmlformats.org/officeDocument/2006/relationships" r:id="rId99"/>
          <a:extLst>
            <a:ext uri="{FF2B5EF4-FFF2-40B4-BE49-F238E27FC236}">
              <a16:creationId xmlns:a16="http://schemas.microsoft.com/office/drawing/2014/main" id="{00000000-0008-0000-0400-00009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1" name="Picture 27" descr="Magyarország">
          <a:hlinkClick xmlns:r="http://schemas.openxmlformats.org/officeDocument/2006/relationships" r:id="rId100"/>
          <a:extLst>
            <a:ext uri="{FF2B5EF4-FFF2-40B4-BE49-F238E27FC236}">
              <a16:creationId xmlns:a16="http://schemas.microsoft.com/office/drawing/2014/main" id="{00000000-0008-0000-0400-00009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2" name="Picture 29" descr="Uruguay">
          <a:hlinkClick xmlns:r="http://schemas.openxmlformats.org/officeDocument/2006/relationships" r:id="rId101"/>
          <a:extLst>
            <a:ext uri="{FF2B5EF4-FFF2-40B4-BE49-F238E27FC236}">
              <a16:creationId xmlns:a16="http://schemas.microsoft.com/office/drawing/2014/main" id="{00000000-0008-0000-0400-00009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3" name="Picture 30" descr="Italia">
          <a:hlinkClick xmlns:r="http://schemas.openxmlformats.org/officeDocument/2006/relationships" r:id="rId96"/>
          <a:extLst>
            <a:ext uri="{FF2B5EF4-FFF2-40B4-BE49-F238E27FC236}">
              <a16:creationId xmlns:a16="http://schemas.microsoft.com/office/drawing/2014/main" id="{00000000-0008-0000-0400-00009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4" name="Picture 31" descr="Nederland">
          <a:hlinkClick xmlns:r="http://schemas.openxmlformats.org/officeDocument/2006/relationships" r:id="rId95"/>
          <a:extLst>
            <a:ext uri="{FF2B5EF4-FFF2-40B4-BE49-F238E27FC236}">
              <a16:creationId xmlns:a16="http://schemas.microsoft.com/office/drawing/2014/main" id="{00000000-0008-0000-0400-0000A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5" name="Picture 32" descr="Italia">
          <a:hlinkClick xmlns:r="http://schemas.openxmlformats.org/officeDocument/2006/relationships" r:id="rId96"/>
          <a:extLst>
            <a:ext uri="{FF2B5EF4-FFF2-40B4-BE49-F238E27FC236}">
              <a16:creationId xmlns:a16="http://schemas.microsoft.com/office/drawing/2014/main" id="{00000000-0008-0000-0400-0000A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6" name="Picture 34" descr="Deutschland">
          <a:hlinkClick xmlns:r="http://schemas.openxmlformats.org/officeDocument/2006/relationships" r:id="rId102"/>
          <a:extLst>
            <a:ext uri="{FF2B5EF4-FFF2-40B4-BE49-F238E27FC236}">
              <a16:creationId xmlns:a16="http://schemas.microsoft.com/office/drawing/2014/main" id="{00000000-0008-0000-0400-0000A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7" name="Picture 36" descr="Israel">
          <a:hlinkClick xmlns:r="http://schemas.openxmlformats.org/officeDocument/2006/relationships" r:id="rId103"/>
          <a:extLst>
            <a:ext uri="{FF2B5EF4-FFF2-40B4-BE49-F238E27FC236}">
              <a16:creationId xmlns:a16="http://schemas.microsoft.com/office/drawing/2014/main" id="{00000000-0008-0000-0400-0000A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8" name="Picture 37" descr="Slovensko">
          <a:hlinkClick xmlns:r="http://schemas.openxmlformats.org/officeDocument/2006/relationships" r:id="rId104"/>
          <a:extLst>
            <a:ext uri="{FF2B5EF4-FFF2-40B4-BE49-F238E27FC236}">
              <a16:creationId xmlns:a16="http://schemas.microsoft.com/office/drawing/2014/main" id="{00000000-0008-0000-0400-0000A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9" name="Picture 2" descr="España">
          <a:hlinkClick xmlns:r="http://schemas.openxmlformats.org/officeDocument/2006/relationships" r:id="rId90"/>
          <a:extLst>
            <a:ext uri="{FF2B5EF4-FFF2-40B4-BE49-F238E27FC236}">
              <a16:creationId xmlns:a16="http://schemas.microsoft.com/office/drawing/2014/main" id="{00000000-0008-0000-0400-0000A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0" name="Picture 3" descr="USA">
          <a:hlinkClick xmlns:r="http://schemas.openxmlformats.org/officeDocument/2006/relationships" r:id="rId91"/>
          <a:extLst>
            <a:ext uri="{FF2B5EF4-FFF2-40B4-BE49-F238E27FC236}">
              <a16:creationId xmlns:a16="http://schemas.microsoft.com/office/drawing/2014/main" id="{00000000-0008-0000-0400-0000A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1" name="Picture 5" descr="España">
          <a:hlinkClick xmlns:r="http://schemas.openxmlformats.org/officeDocument/2006/relationships" r:id="rId90"/>
          <a:extLst>
            <a:ext uri="{FF2B5EF4-FFF2-40B4-BE49-F238E27FC236}">
              <a16:creationId xmlns:a16="http://schemas.microsoft.com/office/drawing/2014/main" id="{00000000-0008-0000-0400-0000A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2" name="Picture 6" descr="España">
          <a:hlinkClick xmlns:r="http://schemas.openxmlformats.org/officeDocument/2006/relationships" r:id="rId90"/>
          <a:extLst>
            <a:ext uri="{FF2B5EF4-FFF2-40B4-BE49-F238E27FC236}">
              <a16:creationId xmlns:a16="http://schemas.microsoft.com/office/drawing/2014/main" id="{00000000-0008-0000-0400-0000A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3" name="Picture 8" descr="Česká republika">
          <a:hlinkClick xmlns:r="http://schemas.openxmlformats.org/officeDocument/2006/relationships" r:id="rId92"/>
          <a:extLst>
            <a:ext uri="{FF2B5EF4-FFF2-40B4-BE49-F238E27FC236}">
              <a16:creationId xmlns:a16="http://schemas.microsoft.com/office/drawing/2014/main" id="{00000000-0008-0000-0400-0000A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4" name="Picture 9" descr="Sverige">
          <a:hlinkClick xmlns:r="http://schemas.openxmlformats.org/officeDocument/2006/relationships" r:id="rId93"/>
          <a:extLst>
            <a:ext uri="{FF2B5EF4-FFF2-40B4-BE49-F238E27FC236}">
              <a16:creationId xmlns:a16="http://schemas.microsoft.com/office/drawing/2014/main" id="{00000000-0008-0000-0400-0000A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5" name="Picture 11" descr="Suomi">
          <a:hlinkClick xmlns:r="http://schemas.openxmlformats.org/officeDocument/2006/relationships" r:id="rId94"/>
          <a:extLst>
            <a:ext uri="{FF2B5EF4-FFF2-40B4-BE49-F238E27FC236}">
              <a16:creationId xmlns:a16="http://schemas.microsoft.com/office/drawing/2014/main" id="{00000000-0008-0000-0400-0000A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6" name="Picture 12" descr="España">
          <a:hlinkClick xmlns:r="http://schemas.openxmlformats.org/officeDocument/2006/relationships" r:id="rId90"/>
          <a:extLst>
            <a:ext uri="{FF2B5EF4-FFF2-40B4-BE49-F238E27FC236}">
              <a16:creationId xmlns:a16="http://schemas.microsoft.com/office/drawing/2014/main" id="{00000000-0008-0000-0400-0000A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7" name="Picture 13" descr="Nederland">
          <a:hlinkClick xmlns:r="http://schemas.openxmlformats.org/officeDocument/2006/relationships" r:id="rId95"/>
          <a:extLst>
            <a:ext uri="{FF2B5EF4-FFF2-40B4-BE49-F238E27FC236}">
              <a16:creationId xmlns:a16="http://schemas.microsoft.com/office/drawing/2014/main" id="{00000000-0008-0000-0400-0000A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8" name="Picture 14" descr="Italia">
          <a:hlinkClick xmlns:r="http://schemas.openxmlformats.org/officeDocument/2006/relationships" r:id="rId96"/>
          <a:extLst>
            <a:ext uri="{FF2B5EF4-FFF2-40B4-BE49-F238E27FC236}">
              <a16:creationId xmlns:a16="http://schemas.microsoft.com/office/drawing/2014/main" id="{00000000-0008-0000-0400-0000A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9" name="Picture 16" descr="España">
          <a:hlinkClick xmlns:r="http://schemas.openxmlformats.org/officeDocument/2006/relationships" r:id="rId90"/>
          <a:extLst>
            <a:ext uri="{FF2B5EF4-FFF2-40B4-BE49-F238E27FC236}">
              <a16:creationId xmlns:a16="http://schemas.microsoft.com/office/drawing/2014/main" id="{00000000-0008-0000-0400-0000A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0" name="Picture 18" descr="France">
          <a:hlinkClick xmlns:r="http://schemas.openxmlformats.org/officeDocument/2006/relationships" r:id="rId97"/>
          <a:extLst>
            <a:ext uri="{FF2B5EF4-FFF2-40B4-BE49-F238E27FC236}">
              <a16:creationId xmlns:a16="http://schemas.microsoft.com/office/drawing/2014/main" id="{00000000-0008-0000-0400-0000B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1" name="Picture 19" descr="France">
          <a:hlinkClick xmlns:r="http://schemas.openxmlformats.org/officeDocument/2006/relationships" r:id="rId97"/>
          <a:extLst>
            <a:ext uri="{FF2B5EF4-FFF2-40B4-BE49-F238E27FC236}">
              <a16:creationId xmlns:a16="http://schemas.microsoft.com/office/drawing/2014/main" id="{00000000-0008-0000-0400-0000B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2" name="Picture 21" descr="Argentina">
          <a:hlinkClick xmlns:r="http://schemas.openxmlformats.org/officeDocument/2006/relationships" r:id="rId98"/>
          <a:extLst>
            <a:ext uri="{FF2B5EF4-FFF2-40B4-BE49-F238E27FC236}">
              <a16:creationId xmlns:a16="http://schemas.microsoft.com/office/drawing/2014/main" id="{00000000-0008-0000-0400-0000B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3" name="Picture 23" descr="España">
          <a:hlinkClick xmlns:r="http://schemas.openxmlformats.org/officeDocument/2006/relationships" r:id="rId90"/>
          <a:extLst>
            <a:ext uri="{FF2B5EF4-FFF2-40B4-BE49-F238E27FC236}">
              <a16:creationId xmlns:a16="http://schemas.microsoft.com/office/drawing/2014/main" id="{00000000-0008-0000-0400-0000B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4" name="Picture 25" descr="Lubnan">
          <a:hlinkClick xmlns:r="http://schemas.openxmlformats.org/officeDocument/2006/relationships" r:id="rId99"/>
          <a:extLst>
            <a:ext uri="{FF2B5EF4-FFF2-40B4-BE49-F238E27FC236}">
              <a16:creationId xmlns:a16="http://schemas.microsoft.com/office/drawing/2014/main" id="{00000000-0008-0000-0400-0000B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5" name="Picture 27" descr="Magyarország">
          <a:hlinkClick xmlns:r="http://schemas.openxmlformats.org/officeDocument/2006/relationships" r:id="rId100"/>
          <a:extLst>
            <a:ext uri="{FF2B5EF4-FFF2-40B4-BE49-F238E27FC236}">
              <a16:creationId xmlns:a16="http://schemas.microsoft.com/office/drawing/2014/main" id="{00000000-0008-0000-0400-0000B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6" name="Picture 29" descr="Uruguay">
          <a:hlinkClick xmlns:r="http://schemas.openxmlformats.org/officeDocument/2006/relationships" r:id="rId101"/>
          <a:extLst>
            <a:ext uri="{FF2B5EF4-FFF2-40B4-BE49-F238E27FC236}">
              <a16:creationId xmlns:a16="http://schemas.microsoft.com/office/drawing/2014/main" id="{00000000-0008-0000-0400-0000B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7" name="Picture 30" descr="Italia">
          <a:hlinkClick xmlns:r="http://schemas.openxmlformats.org/officeDocument/2006/relationships" r:id="rId96"/>
          <a:extLst>
            <a:ext uri="{FF2B5EF4-FFF2-40B4-BE49-F238E27FC236}">
              <a16:creationId xmlns:a16="http://schemas.microsoft.com/office/drawing/2014/main" id="{00000000-0008-0000-0400-0000B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8" name="Picture 31" descr="Nederland">
          <a:hlinkClick xmlns:r="http://schemas.openxmlformats.org/officeDocument/2006/relationships" r:id="rId95"/>
          <a:extLst>
            <a:ext uri="{FF2B5EF4-FFF2-40B4-BE49-F238E27FC236}">
              <a16:creationId xmlns:a16="http://schemas.microsoft.com/office/drawing/2014/main" id="{00000000-0008-0000-0400-0000B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9" name="Picture 32" descr="Italia">
          <a:hlinkClick xmlns:r="http://schemas.openxmlformats.org/officeDocument/2006/relationships" r:id="rId96"/>
          <a:extLst>
            <a:ext uri="{FF2B5EF4-FFF2-40B4-BE49-F238E27FC236}">
              <a16:creationId xmlns:a16="http://schemas.microsoft.com/office/drawing/2014/main" id="{00000000-0008-0000-0400-0000B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0" name="Picture 34" descr="Deutschland">
          <a:hlinkClick xmlns:r="http://schemas.openxmlformats.org/officeDocument/2006/relationships" r:id="rId102"/>
          <a:extLst>
            <a:ext uri="{FF2B5EF4-FFF2-40B4-BE49-F238E27FC236}">
              <a16:creationId xmlns:a16="http://schemas.microsoft.com/office/drawing/2014/main" id="{00000000-0008-0000-0400-0000B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1" name="Picture 36" descr="Israel">
          <a:hlinkClick xmlns:r="http://schemas.openxmlformats.org/officeDocument/2006/relationships" r:id="rId103"/>
          <a:extLst>
            <a:ext uri="{FF2B5EF4-FFF2-40B4-BE49-F238E27FC236}">
              <a16:creationId xmlns:a16="http://schemas.microsoft.com/office/drawing/2014/main" id="{00000000-0008-0000-0400-0000B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2" name="Picture 37" descr="Slovensko">
          <a:hlinkClick xmlns:r="http://schemas.openxmlformats.org/officeDocument/2006/relationships" r:id="rId104"/>
          <a:extLst>
            <a:ext uri="{FF2B5EF4-FFF2-40B4-BE49-F238E27FC236}">
              <a16:creationId xmlns:a16="http://schemas.microsoft.com/office/drawing/2014/main" id="{00000000-0008-0000-0400-0000B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3" name="Picture 2" descr="España">
          <a:hlinkClick xmlns:r="http://schemas.openxmlformats.org/officeDocument/2006/relationships" r:id="rId90"/>
          <a:extLst>
            <a:ext uri="{FF2B5EF4-FFF2-40B4-BE49-F238E27FC236}">
              <a16:creationId xmlns:a16="http://schemas.microsoft.com/office/drawing/2014/main" id="{00000000-0008-0000-0400-0000B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4" name="Picture 3" descr="USA">
          <a:hlinkClick xmlns:r="http://schemas.openxmlformats.org/officeDocument/2006/relationships" r:id="rId91"/>
          <a:extLst>
            <a:ext uri="{FF2B5EF4-FFF2-40B4-BE49-F238E27FC236}">
              <a16:creationId xmlns:a16="http://schemas.microsoft.com/office/drawing/2014/main" id="{00000000-0008-0000-0400-0000B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5" name="Picture 5" descr="España">
          <a:hlinkClick xmlns:r="http://schemas.openxmlformats.org/officeDocument/2006/relationships" r:id="rId90"/>
          <a:extLst>
            <a:ext uri="{FF2B5EF4-FFF2-40B4-BE49-F238E27FC236}">
              <a16:creationId xmlns:a16="http://schemas.microsoft.com/office/drawing/2014/main" id="{00000000-0008-0000-0400-0000B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6" name="Picture 6" descr="España">
          <a:hlinkClick xmlns:r="http://schemas.openxmlformats.org/officeDocument/2006/relationships" r:id="rId90"/>
          <a:extLst>
            <a:ext uri="{FF2B5EF4-FFF2-40B4-BE49-F238E27FC236}">
              <a16:creationId xmlns:a16="http://schemas.microsoft.com/office/drawing/2014/main" id="{00000000-0008-0000-0400-0000C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7" name="Picture 8" descr="Česká republika">
          <a:hlinkClick xmlns:r="http://schemas.openxmlformats.org/officeDocument/2006/relationships" r:id="rId92"/>
          <a:extLst>
            <a:ext uri="{FF2B5EF4-FFF2-40B4-BE49-F238E27FC236}">
              <a16:creationId xmlns:a16="http://schemas.microsoft.com/office/drawing/2014/main" id="{00000000-0008-0000-0400-0000C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8" name="Picture 9" descr="Sverige">
          <a:hlinkClick xmlns:r="http://schemas.openxmlformats.org/officeDocument/2006/relationships" r:id="rId93"/>
          <a:extLst>
            <a:ext uri="{FF2B5EF4-FFF2-40B4-BE49-F238E27FC236}">
              <a16:creationId xmlns:a16="http://schemas.microsoft.com/office/drawing/2014/main" id="{00000000-0008-0000-0400-0000C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9" name="Picture 11" descr="Suomi">
          <a:hlinkClick xmlns:r="http://schemas.openxmlformats.org/officeDocument/2006/relationships" r:id="rId94"/>
          <a:extLst>
            <a:ext uri="{FF2B5EF4-FFF2-40B4-BE49-F238E27FC236}">
              <a16:creationId xmlns:a16="http://schemas.microsoft.com/office/drawing/2014/main" id="{00000000-0008-0000-0400-0000C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0" name="Picture 12" descr="España">
          <a:hlinkClick xmlns:r="http://schemas.openxmlformats.org/officeDocument/2006/relationships" r:id="rId90"/>
          <a:extLst>
            <a:ext uri="{FF2B5EF4-FFF2-40B4-BE49-F238E27FC236}">
              <a16:creationId xmlns:a16="http://schemas.microsoft.com/office/drawing/2014/main" id="{00000000-0008-0000-0400-0000C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1" name="Picture 13" descr="Nederland">
          <a:hlinkClick xmlns:r="http://schemas.openxmlformats.org/officeDocument/2006/relationships" r:id="rId95"/>
          <a:extLst>
            <a:ext uri="{FF2B5EF4-FFF2-40B4-BE49-F238E27FC236}">
              <a16:creationId xmlns:a16="http://schemas.microsoft.com/office/drawing/2014/main" id="{00000000-0008-0000-0400-0000C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2" name="Picture 14" descr="Italia">
          <a:hlinkClick xmlns:r="http://schemas.openxmlformats.org/officeDocument/2006/relationships" r:id="rId96"/>
          <a:extLst>
            <a:ext uri="{FF2B5EF4-FFF2-40B4-BE49-F238E27FC236}">
              <a16:creationId xmlns:a16="http://schemas.microsoft.com/office/drawing/2014/main" id="{00000000-0008-0000-0400-0000C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3" name="Picture 16" descr="España">
          <a:hlinkClick xmlns:r="http://schemas.openxmlformats.org/officeDocument/2006/relationships" r:id="rId90"/>
          <a:extLst>
            <a:ext uri="{FF2B5EF4-FFF2-40B4-BE49-F238E27FC236}">
              <a16:creationId xmlns:a16="http://schemas.microsoft.com/office/drawing/2014/main" id="{00000000-0008-0000-0400-0000C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4" name="Picture 18" descr="France">
          <a:hlinkClick xmlns:r="http://schemas.openxmlformats.org/officeDocument/2006/relationships" r:id="rId97"/>
          <a:extLst>
            <a:ext uri="{FF2B5EF4-FFF2-40B4-BE49-F238E27FC236}">
              <a16:creationId xmlns:a16="http://schemas.microsoft.com/office/drawing/2014/main" id="{00000000-0008-0000-0400-0000C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5" name="Picture 19" descr="France">
          <a:hlinkClick xmlns:r="http://schemas.openxmlformats.org/officeDocument/2006/relationships" r:id="rId97"/>
          <a:extLst>
            <a:ext uri="{FF2B5EF4-FFF2-40B4-BE49-F238E27FC236}">
              <a16:creationId xmlns:a16="http://schemas.microsoft.com/office/drawing/2014/main" id="{00000000-0008-0000-0400-0000C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6" name="Picture 21" descr="Argentina">
          <a:hlinkClick xmlns:r="http://schemas.openxmlformats.org/officeDocument/2006/relationships" r:id="rId98"/>
          <a:extLst>
            <a:ext uri="{FF2B5EF4-FFF2-40B4-BE49-F238E27FC236}">
              <a16:creationId xmlns:a16="http://schemas.microsoft.com/office/drawing/2014/main" id="{00000000-0008-0000-0400-0000C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7" name="Picture 23" descr="España">
          <a:hlinkClick xmlns:r="http://schemas.openxmlformats.org/officeDocument/2006/relationships" r:id="rId90"/>
          <a:extLst>
            <a:ext uri="{FF2B5EF4-FFF2-40B4-BE49-F238E27FC236}">
              <a16:creationId xmlns:a16="http://schemas.microsoft.com/office/drawing/2014/main" id="{00000000-0008-0000-0400-0000C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8" name="Picture 25" descr="Lubnan">
          <a:hlinkClick xmlns:r="http://schemas.openxmlformats.org/officeDocument/2006/relationships" r:id="rId99"/>
          <a:extLst>
            <a:ext uri="{FF2B5EF4-FFF2-40B4-BE49-F238E27FC236}">
              <a16:creationId xmlns:a16="http://schemas.microsoft.com/office/drawing/2014/main" id="{00000000-0008-0000-0400-0000C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9" name="Picture 27" descr="Magyarország">
          <a:hlinkClick xmlns:r="http://schemas.openxmlformats.org/officeDocument/2006/relationships" r:id="rId100"/>
          <a:extLst>
            <a:ext uri="{FF2B5EF4-FFF2-40B4-BE49-F238E27FC236}">
              <a16:creationId xmlns:a16="http://schemas.microsoft.com/office/drawing/2014/main" id="{00000000-0008-0000-0400-0000C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0" name="Picture 29" descr="Uruguay">
          <a:hlinkClick xmlns:r="http://schemas.openxmlformats.org/officeDocument/2006/relationships" r:id="rId101"/>
          <a:extLst>
            <a:ext uri="{FF2B5EF4-FFF2-40B4-BE49-F238E27FC236}">
              <a16:creationId xmlns:a16="http://schemas.microsoft.com/office/drawing/2014/main" id="{00000000-0008-0000-0400-0000C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1" name="Picture 30" descr="Italia">
          <a:hlinkClick xmlns:r="http://schemas.openxmlformats.org/officeDocument/2006/relationships" r:id="rId96"/>
          <a:extLst>
            <a:ext uri="{FF2B5EF4-FFF2-40B4-BE49-F238E27FC236}">
              <a16:creationId xmlns:a16="http://schemas.microsoft.com/office/drawing/2014/main" id="{00000000-0008-0000-0400-0000C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2" name="Picture 31" descr="Nederland">
          <a:hlinkClick xmlns:r="http://schemas.openxmlformats.org/officeDocument/2006/relationships" r:id="rId95"/>
          <a:extLst>
            <a:ext uri="{FF2B5EF4-FFF2-40B4-BE49-F238E27FC236}">
              <a16:creationId xmlns:a16="http://schemas.microsoft.com/office/drawing/2014/main" id="{00000000-0008-0000-0400-0000D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3" name="Picture 32" descr="Italia">
          <a:hlinkClick xmlns:r="http://schemas.openxmlformats.org/officeDocument/2006/relationships" r:id="rId96"/>
          <a:extLst>
            <a:ext uri="{FF2B5EF4-FFF2-40B4-BE49-F238E27FC236}">
              <a16:creationId xmlns:a16="http://schemas.microsoft.com/office/drawing/2014/main" id="{00000000-0008-0000-0400-0000D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4" name="Picture 34" descr="Deutschland">
          <a:hlinkClick xmlns:r="http://schemas.openxmlformats.org/officeDocument/2006/relationships" r:id="rId102"/>
          <a:extLst>
            <a:ext uri="{FF2B5EF4-FFF2-40B4-BE49-F238E27FC236}">
              <a16:creationId xmlns:a16="http://schemas.microsoft.com/office/drawing/2014/main" id="{00000000-0008-0000-0400-0000D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5" name="Picture 36" descr="Israel">
          <a:hlinkClick xmlns:r="http://schemas.openxmlformats.org/officeDocument/2006/relationships" r:id="rId103"/>
          <a:extLst>
            <a:ext uri="{FF2B5EF4-FFF2-40B4-BE49-F238E27FC236}">
              <a16:creationId xmlns:a16="http://schemas.microsoft.com/office/drawing/2014/main" id="{00000000-0008-0000-0400-0000D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6" name="Picture 37" descr="Slovensko">
          <a:hlinkClick xmlns:r="http://schemas.openxmlformats.org/officeDocument/2006/relationships" r:id="rId104"/>
          <a:extLst>
            <a:ext uri="{FF2B5EF4-FFF2-40B4-BE49-F238E27FC236}">
              <a16:creationId xmlns:a16="http://schemas.microsoft.com/office/drawing/2014/main" id="{00000000-0008-0000-0400-0000D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7" name="Picture 2" descr="España">
          <a:hlinkClick xmlns:r="http://schemas.openxmlformats.org/officeDocument/2006/relationships" r:id="rId90"/>
          <a:extLst>
            <a:ext uri="{FF2B5EF4-FFF2-40B4-BE49-F238E27FC236}">
              <a16:creationId xmlns:a16="http://schemas.microsoft.com/office/drawing/2014/main" id="{00000000-0008-0000-0400-0000D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8" name="Picture 3" descr="USA">
          <a:hlinkClick xmlns:r="http://schemas.openxmlformats.org/officeDocument/2006/relationships" r:id="rId91"/>
          <a:extLst>
            <a:ext uri="{FF2B5EF4-FFF2-40B4-BE49-F238E27FC236}">
              <a16:creationId xmlns:a16="http://schemas.microsoft.com/office/drawing/2014/main" id="{00000000-0008-0000-0400-0000D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9" name="Picture 5" descr="España">
          <a:hlinkClick xmlns:r="http://schemas.openxmlformats.org/officeDocument/2006/relationships" r:id="rId90"/>
          <a:extLst>
            <a:ext uri="{FF2B5EF4-FFF2-40B4-BE49-F238E27FC236}">
              <a16:creationId xmlns:a16="http://schemas.microsoft.com/office/drawing/2014/main" id="{00000000-0008-0000-0400-0000D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0" name="Picture 6" descr="España">
          <a:hlinkClick xmlns:r="http://schemas.openxmlformats.org/officeDocument/2006/relationships" r:id="rId90"/>
          <a:extLst>
            <a:ext uri="{FF2B5EF4-FFF2-40B4-BE49-F238E27FC236}">
              <a16:creationId xmlns:a16="http://schemas.microsoft.com/office/drawing/2014/main" id="{00000000-0008-0000-0400-0000D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1" name="Picture 7" descr="Sverige">
          <a:hlinkClick xmlns:r="http://schemas.openxmlformats.org/officeDocument/2006/relationships" r:id="rId93"/>
          <a:extLst>
            <a:ext uri="{FF2B5EF4-FFF2-40B4-BE49-F238E27FC236}">
              <a16:creationId xmlns:a16="http://schemas.microsoft.com/office/drawing/2014/main" id="{00000000-0008-0000-0400-0000D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2" name="Picture 9" descr="Suomi">
          <a:hlinkClick xmlns:r="http://schemas.openxmlformats.org/officeDocument/2006/relationships" r:id="rId94"/>
          <a:extLst>
            <a:ext uri="{FF2B5EF4-FFF2-40B4-BE49-F238E27FC236}">
              <a16:creationId xmlns:a16="http://schemas.microsoft.com/office/drawing/2014/main" id="{00000000-0008-0000-0400-0000D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3" name="Picture 10" descr="España">
          <a:hlinkClick xmlns:r="http://schemas.openxmlformats.org/officeDocument/2006/relationships" r:id="rId90"/>
          <a:extLst>
            <a:ext uri="{FF2B5EF4-FFF2-40B4-BE49-F238E27FC236}">
              <a16:creationId xmlns:a16="http://schemas.microsoft.com/office/drawing/2014/main" id="{00000000-0008-0000-0400-0000D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4" name="Picture 11" descr="Nederland">
          <a:hlinkClick xmlns:r="http://schemas.openxmlformats.org/officeDocument/2006/relationships" r:id="rId95"/>
          <a:extLst>
            <a:ext uri="{FF2B5EF4-FFF2-40B4-BE49-F238E27FC236}">
              <a16:creationId xmlns:a16="http://schemas.microsoft.com/office/drawing/2014/main" id="{00000000-0008-0000-0400-0000D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5" name="Picture 13" descr="Deutschland">
          <a:hlinkClick xmlns:r="http://schemas.openxmlformats.org/officeDocument/2006/relationships" r:id="rId102"/>
          <a:extLst>
            <a:ext uri="{FF2B5EF4-FFF2-40B4-BE49-F238E27FC236}">
              <a16:creationId xmlns:a16="http://schemas.microsoft.com/office/drawing/2014/main" id="{00000000-0008-0000-0400-0000D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6" name="Picture 14" descr="España">
          <a:hlinkClick xmlns:r="http://schemas.openxmlformats.org/officeDocument/2006/relationships" r:id="rId90"/>
          <a:extLst>
            <a:ext uri="{FF2B5EF4-FFF2-40B4-BE49-F238E27FC236}">
              <a16:creationId xmlns:a16="http://schemas.microsoft.com/office/drawing/2014/main" id="{00000000-0008-0000-0400-0000D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7" name="Picture 16" descr="France">
          <a:hlinkClick xmlns:r="http://schemas.openxmlformats.org/officeDocument/2006/relationships" r:id="rId97"/>
          <a:extLst>
            <a:ext uri="{FF2B5EF4-FFF2-40B4-BE49-F238E27FC236}">
              <a16:creationId xmlns:a16="http://schemas.microsoft.com/office/drawing/2014/main" id="{00000000-0008-0000-0400-0000D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8" name="Picture 18" descr="France">
          <a:hlinkClick xmlns:r="http://schemas.openxmlformats.org/officeDocument/2006/relationships" r:id="rId97"/>
          <a:extLst>
            <a:ext uri="{FF2B5EF4-FFF2-40B4-BE49-F238E27FC236}">
              <a16:creationId xmlns:a16="http://schemas.microsoft.com/office/drawing/2014/main" id="{00000000-0008-0000-0400-0000E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9" name="Picture 19" descr="Argentina">
          <a:hlinkClick xmlns:r="http://schemas.openxmlformats.org/officeDocument/2006/relationships" r:id="rId98"/>
          <a:extLst>
            <a:ext uri="{FF2B5EF4-FFF2-40B4-BE49-F238E27FC236}">
              <a16:creationId xmlns:a16="http://schemas.microsoft.com/office/drawing/2014/main" id="{00000000-0008-0000-0400-0000E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0" name="Picture 20" descr="España">
          <a:hlinkClick xmlns:r="http://schemas.openxmlformats.org/officeDocument/2006/relationships" r:id="rId90"/>
          <a:extLst>
            <a:ext uri="{FF2B5EF4-FFF2-40B4-BE49-F238E27FC236}">
              <a16:creationId xmlns:a16="http://schemas.microsoft.com/office/drawing/2014/main" id="{00000000-0008-0000-0400-0000E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1" name="Picture 21" descr="Lubnan">
          <a:hlinkClick xmlns:r="http://schemas.openxmlformats.org/officeDocument/2006/relationships" r:id="rId99"/>
          <a:extLst>
            <a:ext uri="{FF2B5EF4-FFF2-40B4-BE49-F238E27FC236}">
              <a16:creationId xmlns:a16="http://schemas.microsoft.com/office/drawing/2014/main" id="{00000000-0008-0000-0400-0000E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2" name="Picture 23" descr="Magyarország">
          <a:hlinkClick xmlns:r="http://schemas.openxmlformats.org/officeDocument/2006/relationships" r:id="rId100"/>
          <a:extLst>
            <a:ext uri="{FF2B5EF4-FFF2-40B4-BE49-F238E27FC236}">
              <a16:creationId xmlns:a16="http://schemas.microsoft.com/office/drawing/2014/main" id="{00000000-0008-0000-0400-0000E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3" name="Picture 25" descr="Uruguay">
          <a:hlinkClick xmlns:r="http://schemas.openxmlformats.org/officeDocument/2006/relationships" r:id="rId101"/>
          <a:extLst>
            <a:ext uri="{FF2B5EF4-FFF2-40B4-BE49-F238E27FC236}">
              <a16:creationId xmlns:a16="http://schemas.microsoft.com/office/drawing/2014/main" id="{00000000-0008-0000-0400-0000E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4" name="Picture 26" descr="Italia">
          <a:hlinkClick xmlns:r="http://schemas.openxmlformats.org/officeDocument/2006/relationships" r:id="rId96"/>
          <a:extLst>
            <a:ext uri="{FF2B5EF4-FFF2-40B4-BE49-F238E27FC236}">
              <a16:creationId xmlns:a16="http://schemas.microsoft.com/office/drawing/2014/main" id="{00000000-0008-0000-0400-0000E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5" name="Picture 27" descr="España">
          <a:hlinkClick xmlns:r="http://schemas.openxmlformats.org/officeDocument/2006/relationships" r:id="rId90"/>
          <a:extLst>
            <a:ext uri="{FF2B5EF4-FFF2-40B4-BE49-F238E27FC236}">
              <a16:creationId xmlns:a16="http://schemas.microsoft.com/office/drawing/2014/main" id="{00000000-0008-0000-0400-0000E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6" name="Picture 28" descr="Nederland">
          <a:hlinkClick xmlns:r="http://schemas.openxmlformats.org/officeDocument/2006/relationships" r:id="rId95"/>
          <a:extLst>
            <a:ext uri="{FF2B5EF4-FFF2-40B4-BE49-F238E27FC236}">
              <a16:creationId xmlns:a16="http://schemas.microsoft.com/office/drawing/2014/main" id="{00000000-0008-0000-0400-0000E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7" name="Picture 29" descr="Italia">
          <a:hlinkClick xmlns:r="http://schemas.openxmlformats.org/officeDocument/2006/relationships" r:id="rId96"/>
          <a:extLst>
            <a:ext uri="{FF2B5EF4-FFF2-40B4-BE49-F238E27FC236}">
              <a16:creationId xmlns:a16="http://schemas.microsoft.com/office/drawing/2014/main" id="{00000000-0008-0000-0400-0000E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8" name="Picture 30" descr="Deutschland">
          <a:hlinkClick xmlns:r="http://schemas.openxmlformats.org/officeDocument/2006/relationships" r:id="rId102"/>
          <a:extLst>
            <a:ext uri="{FF2B5EF4-FFF2-40B4-BE49-F238E27FC236}">
              <a16:creationId xmlns:a16="http://schemas.microsoft.com/office/drawing/2014/main" id="{00000000-0008-0000-0400-0000E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9" name="Picture 32" descr="Israel">
          <a:hlinkClick xmlns:r="http://schemas.openxmlformats.org/officeDocument/2006/relationships" r:id="rId103"/>
          <a:extLst>
            <a:ext uri="{FF2B5EF4-FFF2-40B4-BE49-F238E27FC236}">
              <a16:creationId xmlns:a16="http://schemas.microsoft.com/office/drawing/2014/main" id="{00000000-0008-0000-0400-0000E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40" name="Picture 33" descr="Slovensko">
          <a:hlinkClick xmlns:r="http://schemas.openxmlformats.org/officeDocument/2006/relationships" r:id="rId104"/>
          <a:extLst>
            <a:ext uri="{FF2B5EF4-FFF2-40B4-BE49-F238E27FC236}">
              <a16:creationId xmlns:a16="http://schemas.microsoft.com/office/drawing/2014/main" id="{00000000-0008-0000-0400-0000E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1" name="Picture 36" descr="España">
          <a:hlinkClick xmlns:r="http://schemas.openxmlformats.org/officeDocument/2006/relationships" r:id="rId77"/>
          <a:extLst>
            <a:ext uri="{FF2B5EF4-FFF2-40B4-BE49-F238E27FC236}">
              <a16:creationId xmlns:a16="http://schemas.microsoft.com/office/drawing/2014/main" id="{00000000-0008-0000-0400-0000E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2" name="Picture 36" descr="España">
          <a:hlinkClick xmlns:r="http://schemas.openxmlformats.org/officeDocument/2006/relationships" r:id="rId77"/>
          <a:extLst>
            <a:ext uri="{FF2B5EF4-FFF2-40B4-BE49-F238E27FC236}">
              <a16:creationId xmlns:a16="http://schemas.microsoft.com/office/drawing/2014/main" id="{00000000-0008-0000-0400-0000E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oneCellAnchor>
    <xdr:from>
      <xdr:col>20</xdr:col>
      <xdr:colOff>0</xdr:colOff>
      <xdr:row>7</xdr:row>
      <xdr:rowOff>0</xdr:rowOff>
    </xdr:from>
    <xdr:ext cx="9525" cy="9525"/>
    <xdr:pic>
      <xdr:nvPicPr>
        <xdr:cNvPr id="2543" name="Picture 18" descr="Nederland">
          <a:hlinkClick xmlns:r="http://schemas.openxmlformats.org/officeDocument/2006/relationships" r:id="rId10"/>
          <a:extLst>
            <a:ext uri="{FF2B5EF4-FFF2-40B4-BE49-F238E27FC236}">
              <a16:creationId xmlns:a16="http://schemas.microsoft.com/office/drawing/2014/main" id="{00000000-0008-0000-0400-0000E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4" name="Picture 29" descr="Belgium">
          <a:hlinkClick xmlns:r="http://schemas.openxmlformats.org/officeDocument/2006/relationships" r:id="rId15"/>
          <a:extLst>
            <a:ext uri="{FF2B5EF4-FFF2-40B4-BE49-F238E27FC236}">
              <a16:creationId xmlns:a16="http://schemas.microsoft.com/office/drawing/2014/main" id="{00000000-0008-0000-0400-0000F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5" name="Picture 16" descr="Colombia">
          <a:hlinkClick xmlns:r="http://schemas.openxmlformats.org/officeDocument/2006/relationships" r:id="rId21"/>
          <a:extLst>
            <a:ext uri="{FF2B5EF4-FFF2-40B4-BE49-F238E27FC236}">
              <a16:creationId xmlns:a16="http://schemas.microsoft.com/office/drawing/2014/main" id="{00000000-0008-0000-0400-0000F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6" name="Picture 30" descr="España">
          <a:hlinkClick xmlns:r="http://schemas.openxmlformats.org/officeDocument/2006/relationships" r:id="rId17"/>
          <a:extLst>
            <a:ext uri="{FF2B5EF4-FFF2-40B4-BE49-F238E27FC236}">
              <a16:creationId xmlns:a16="http://schemas.microsoft.com/office/drawing/2014/main" id="{00000000-0008-0000-0400-0000F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7" name="Picture 36" descr="España">
          <a:hlinkClick xmlns:r="http://schemas.openxmlformats.org/officeDocument/2006/relationships" r:id="rId17"/>
          <a:extLst>
            <a:ext uri="{FF2B5EF4-FFF2-40B4-BE49-F238E27FC236}">
              <a16:creationId xmlns:a16="http://schemas.microsoft.com/office/drawing/2014/main" id="{00000000-0008-0000-0400-0000F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8" name="Picture 42" descr="Portugal">
          <a:hlinkClick xmlns:r="http://schemas.openxmlformats.org/officeDocument/2006/relationships" r:id="rId22"/>
          <a:extLst>
            <a:ext uri="{FF2B5EF4-FFF2-40B4-BE49-F238E27FC236}">
              <a16:creationId xmlns:a16="http://schemas.microsoft.com/office/drawing/2014/main" id="{00000000-0008-0000-0400-0000F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9" name="Picture 11" descr="Deutschland">
          <a:hlinkClick xmlns:r="http://schemas.openxmlformats.org/officeDocument/2006/relationships" r:id="rId34"/>
          <a:extLst>
            <a:ext uri="{FF2B5EF4-FFF2-40B4-BE49-F238E27FC236}">
              <a16:creationId xmlns:a16="http://schemas.microsoft.com/office/drawing/2014/main" id="{00000000-0008-0000-0400-0000F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0" name="Picture 22" descr="Deutschland">
          <a:hlinkClick xmlns:r="http://schemas.openxmlformats.org/officeDocument/2006/relationships" r:id="rId34"/>
          <a:extLst>
            <a:ext uri="{FF2B5EF4-FFF2-40B4-BE49-F238E27FC236}">
              <a16:creationId xmlns:a16="http://schemas.microsoft.com/office/drawing/2014/main" id="{00000000-0008-0000-0400-0000F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1" name="Picture 28" descr="España">
          <a:hlinkClick xmlns:r="http://schemas.openxmlformats.org/officeDocument/2006/relationships" r:id="rId31"/>
          <a:extLst>
            <a:ext uri="{FF2B5EF4-FFF2-40B4-BE49-F238E27FC236}">
              <a16:creationId xmlns:a16="http://schemas.microsoft.com/office/drawing/2014/main" id="{00000000-0008-0000-0400-0000F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2" name="Picture 34" descr="România">
          <a:hlinkClick xmlns:r="http://schemas.openxmlformats.org/officeDocument/2006/relationships" r:id="rId44"/>
          <a:extLst>
            <a:ext uri="{FF2B5EF4-FFF2-40B4-BE49-F238E27FC236}">
              <a16:creationId xmlns:a16="http://schemas.microsoft.com/office/drawing/2014/main" id="{00000000-0008-0000-0400-0000F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3" name="Picture 11" descr="Deutschland">
          <a:hlinkClick xmlns:r="http://schemas.openxmlformats.org/officeDocument/2006/relationships" r:id="rId48"/>
          <a:extLst>
            <a:ext uri="{FF2B5EF4-FFF2-40B4-BE49-F238E27FC236}">
              <a16:creationId xmlns:a16="http://schemas.microsoft.com/office/drawing/2014/main" id="{00000000-0008-0000-0400-0000F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4" name="Picture 23" descr="España">
          <a:hlinkClick xmlns:r="http://schemas.openxmlformats.org/officeDocument/2006/relationships" r:id="rId45"/>
          <a:extLst>
            <a:ext uri="{FF2B5EF4-FFF2-40B4-BE49-F238E27FC236}">
              <a16:creationId xmlns:a16="http://schemas.microsoft.com/office/drawing/2014/main" id="{00000000-0008-0000-0400-0000F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5" name="Picture 29" descr="España">
          <a:hlinkClick xmlns:r="http://schemas.openxmlformats.org/officeDocument/2006/relationships" r:id="rId45"/>
          <a:extLst>
            <a:ext uri="{FF2B5EF4-FFF2-40B4-BE49-F238E27FC236}">
              <a16:creationId xmlns:a16="http://schemas.microsoft.com/office/drawing/2014/main" id="{00000000-0008-0000-0400-0000F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6" name="Picture 35" descr="España">
          <a:hlinkClick xmlns:r="http://schemas.openxmlformats.org/officeDocument/2006/relationships" r:id="rId45"/>
          <a:extLst>
            <a:ext uri="{FF2B5EF4-FFF2-40B4-BE49-F238E27FC236}">
              <a16:creationId xmlns:a16="http://schemas.microsoft.com/office/drawing/2014/main" id="{00000000-0008-0000-0400-0000F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7" name="Picture 11" descr="Deutschland">
          <a:hlinkClick xmlns:r="http://schemas.openxmlformats.org/officeDocument/2006/relationships" r:id="rId12"/>
          <a:extLst>
            <a:ext uri="{FF2B5EF4-FFF2-40B4-BE49-F238E27FC236}">
              <a16:creationId xmlns:a16="http://schemas.microsoft.com/office/drawing/2014/main" id="{00000000-0008-0000-0400-0000F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8" name="Picture 23" descr="España">
          <a:hlinkClick xmlns:r="http://schemas.openxmlformats.org/officeDocument/2006/relationships" r:id="rId1"/>
          <a:extLst>
            <a:ext uri="{FF2B5EF4-FFF2-40B4-BE49-F238E27FC236}">
              <a16:creationId xmlns:a16="http://schemas.microsoft.com/office/drawing/2014/main" id="{00000000-0008-0000-0400-0000F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9" name="Picture 27" descr="España">
          <a:hlinkClick xmlns:r="http://schemas.openxmlformats.org/officeDocument/2006/relationships" r:id="rId1"/>
          <a:extLst>
            <a:ext uri="{FF2B5EF4-FFF2-40B4-BE49-F238E27FC236}">
              <a16:creationId xmlns:a16="http://schemas.microsoft.com/office/drawing/2014/main" id="{00000000-0008-0000-0400-0000F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0" name="Picture 34" descr="España">
          <a:hlinkClick xmlns:r="http://schemas.openxmlformats.org/officeDocument/2006/relationships" r:id="rId1"/>
          <a:extLst>
            <a:ext uri="{FF2B5EF4-FFF2-40B4-BE49-F238E27FC236}">
              <a16:creationId xmlns:a16="http://schemas.microsoft.com/office/drawing/2014/main" id="{00000000-0008-0000-0400-00000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1" name="Picture 11" descr="Deutschland">
          <a:hlinkClick xmlns:r="http://schemas.openxmlformats.org/officeDocument/2006/relationships" r:id="rId66"/>
          <a:extLst>
            <a:ext uri="{FF2B5EF4-FFF2-40B4-BE49-F238E27FC236}">
              <a16:creationId xmlns:a16="http://schemas.microsoft.com/office/drawing/2014/main" id="{00000000-0008-0000-0400-00000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2" name="Picture 24" descr="España">
          <a:hlinkClick xmlns:r="http://schemas.openxmlformats.org/officeDocument/2006/relationships" r:id="rId63"/>
          <a:extLst>
            <a:ext uri="{FF2B5EF4-FFF2-40B4-BE49-F238E27FC236}">
              <a16:creationId xmlns:a16="http://schemas.microsoft.com/office/drawing/2014/main" id="{00000000-0008-0000-0400-00000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3" name="Picture 29" descr="España">
          <a:hlinkClick xmlns:r="http://schemas.openxmlformats.org/officeDocument/2006/relationships" r:id="rId63"/>
          <a:extLst>
            <a:ext uri="{FF2B5EF4-FFF2-40B4-BE49-F238E27FC236}">
              <a16:creationId xmlns:a16="http://schemas.microsoft.com/office/drawing/2014/main" id="{00000000-0008-0000-0400-00000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4" name="Picture 36" descr="España">
          <a:hlinkClick xmlns:r="http://schemas.openxmlformats.org/officeDocument/2006/relationships" r:id="rId63"/>
          <a:extLst>
            <a:ext uri="{FF2B5EF4-FFF2-40B4-BE49-F238E27FC236}">
              <a16:creationId xmlns:a16="http://schemas.microsoft.com/office/drawing/2014/main" id="{00000000-0008-0000-0400-00000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5" name="Picture 11" descr="Deutschland">
          <a:hlinkClick xmlns:r="http://schemas.openxmlformats.org/officeDocument/2006/relationships" r:id="rId79"/>
          <a:extLst>
            <a:ext uri="{FF2B5EF4-FFF2-40B4-BE49-F238E27FC236}">
              <a16:creationId xmlns:a16="http://schemas.microsoft.com/office/drawing/2014/main" id="{00000000-0008-0000-0400-00000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6" name="Picture 23" descr="Slovenija">
          <a:hlinkClick xmlns:r="http://schemas.openxmlformats.org/officeDocument/2006/relationships" r:id="rId87"/>
          <a:extLst>
            <a:ext uri="{FF2B5EF4-FFF2-40B4-BE49-F238E27FC236}">
              <a16:creationId xmlns:a16="http://schemas.microsoft.com/office/drawing/2014/main" id="{00000000-0008-0000-0400-00000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7" name="Picture 27" descr="Polska">
          <a:hlinkClick xmlns:r="http://schemas.openxmlformats.org/officeDocument/2006/relationships" r:id="rId85"/>
          <a:extLst>
            <a:ext uri="{FF2B5EF4-FFF2-40B4-BE49-F238E27FC236}">
              <a16:creationId xmlns:a16="http://schemas.microsoft.com/office/drawing/2014/main" id="{00000000-0008-0000-0400-00000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8" name="Picture 32" descr="España">
          <a:hlinkClick xmlns:r="http://schemas.openxmlformats.org/officeDocument/2006/relationships" r:id="rId77"/>
          <a:extLst>
            <a:ext uri="{FF2B5EF4-FFF2-40B4-BE49-F238E27FC236}">
              <a16:creationId xmlns:a16="http://schemas.microsoft.com/office/drawing/2014/main" id="{00000000-0008-0000-0400-00000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11</xdr:row>
      <xdr:rowOff>0</xdr:rowOff>
    </xdr:from>
    <xdr:ext cx="9525" cy="9525"/>
    <xdr:pic>
      <xdr:nvPicPr>
        <xdr:cNvPr id="2569" name="Picture 14" descr="España">
          <a:hlinkClick xmlns:r="http://schemas.openxmlformats.org/officeDocument/2006/relationships" r:id="rId1"/>
          <a:extLst>
            <a:ext uri="{FF2B5EF4-FFF2-40B4-BE49-F238E27FC236}">
              <a16:creationId xmlns:a16="http://schemas.microsoft.com/office/drawing/2014/main" id="{00000000-0008-0000-0400-00000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0" name="Picture 16" descr="Nederland">
          <a:hlinkClick xmlns:r="http://schemas.openxmlformats.org/officeDocument/2006/relationships" r:id="rId10"/>
          <a:extLst>
            <a:ext uri="{FF2B5EF4-FFF2-40B4-BE49-F238E27FC236}">
              <a16:creationId xmlns:a16="http://schemas.microsoft.com/office/drawing/2014/main" id="{00000000-0008-0000-0400-00000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1" name="Picture 17" descr="Polska">
          <a:hlinkClick xmlns:r="http://schemas.openxmlformats.org/officeDocument/2006/relationships" r:id="rId5"/>
          <a:extLst>
            <a:ext uri="{FF2B5EF4-FFF2-40B4-BE49-F238E27FC236}">
              <a16:creationId xmlns:a16="http://schemas.microsoft.com/office/drawing/2014/main" id="{00000000-0008-0000-0400-00000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2" name="Picture 19" descr="Danmark">
          <a:hlinkClick xmlns:r="http://schemas.openxmlformats.org/officeDocument/2006/relationships" r:id="rId11"/>
          <a:extLst>
            <a:ext uri="{FF2B5EF4-FFF2-40B4-BE49-F238E27FC236}">
              <a16:creationId xmlns:a16="http://schemas.microsoft.com/office/drawing/2014/main" id="{00000000-0008-0000-0400-00000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3" name="Picture 20" descr="España">
          <a:hlinkClick xmlns:r="http://schemas.openxmlformats.org/officeDocument/2006/relationships" r:id="rId1"/>
          <a:extLst>
            <a:ext uri="{FF2B5EF4-FFF2-40B4-BE49-F238E27FC236}">
              <a16:creationId xmlns:a16="http://schemas.microsoft.com/office/drawing/2014/main" id="{00000000-0008-0000-0400-00000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4" name="Picture 21" descr="Deutschland">
          <a:hlinkClick xmlns:r="http://schemas.openxmlformats.org/officeDocument/2006/relationships" r:id="rId12"/>
          <a:extLst>
            <a:ext uri="{FF2B5EF4-FFF2-40B4-BE49-F238E27FC236}">
              <a16:creationId xmlns:a16="http://schemas.microsoft.com/office/drawing/2014/main" id="{00000000-0008-0000-0400-00000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5" name="Picture 22" descr="España">
          <a:hlinkClick xmlns:r="http://schemas.openxmlformats.org/officeDocument/2006/relationships" r:id="rId1"/>
          <a:extLst>
            <a:ext uri="{FF2B5EF4-FFF2-40B4-BE49-F238E27FC236}">
              <a16:creationId xmlns:a16="http://schemas.microsoft.com/office/drawing/2014/main" id="{00000000-0008-0000-0400-00000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6" name="Picture 23" descr="España">
          <a:hlinkClick xmlns:r="http://schemas.openxmlformats.org/officeDocument/2006/relationships" r:id="rId1"/>
          <a:extLst>
            <a:ext uri="{FF2B5EF4-FFF2-40B4-BE49-F238E27FC236}">
              <a16:creationId xmlns:a16="http://schemas.microsoft.com/office/drawing/2014/main" id="{00000000-0008-0000-0400-00001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7" name="Picture 24" descr="España">
          <a:hlinkClick xmlns:r="http://schemas.openxmlformats.org/officeDocument/2006/relationships" r:id="rId1"/>
          <a:extLst>
            <a:ext uri="{FF2B5EF4-FFF2-40B4-BE49-F238E27FC236}">
              <a16:creationId xmlns:a16="http://schemas.microsoft.com/office/drawing/2014/main" id="{00000000-0008-0000-0400-00001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8" name="Picture 25" descr="Israel">
          <a:hlinkClick xmlns:r="http://schemas.openxmlformats.org/officeDocument/2006/relationships" r:id="rId13"/>
          <a:extLst>
            <a:ext uri="{FF2B5EF4-FFF2-40B4-BE49-F238E27FC236}">
              <a16:creationId xmlns:a16="http://schemas.microsoft.com/office/drawing/2014/main" id="{00000000-0008-0000-0400-00001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9" name="Picture 26" descr="España">
          <a:hlinkClick xmlns:r="http://schemas.openxmlformats.org/officeDocument/2006/relationships" r:id="rId1"/>
          <a:extLst>
            <a:ext uri="{FF2B5EF4-FFF2-40B4-BE49-F238E27FC236}">
              <a16:creationId xmlns:a16="http://schemas.microsoft.com/office/drawing/2014/main" id="{00000000-0008-0000-0400-00001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0" name="Picture 27" descr="Việt Nam">
          <a:hlinkClick xmlns:r="http://schemas.openxmlformats.org/officeDocument/2006/relationships" r:id="rId14"/>
          <a:extLst>
            <a:ext uri="{FF2B5EF4-FFF2-40B4-BE49-F238E27FC236}">
              <a16:creationId xmlns:a16="http://schemas.microsoft.com/office/drawing/2014/main" id="{00000000-0008-0000-0400-00001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1" name="Picture 28" descr="Italia">
          <a:hlinkClick xmlns:r="http://schemas.openxmlformats.org/officeDocument/2006/relationships" r:id="rId4"/>
          <a:extLst>
            <a:ext uri="{FF2B5EF4-FFF2-40B4-BE49-F238E27FC236}">
              <a16:creationId xmlns:a16="http://schemas.microsoft.com/office/drawing/2014/main" id="{00000000-0008-0000-0400-00001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2" name="Picture 30" descr="España">
          <a:hlinkClick xmlns:r="http://schemas.openxmlformats.org/officeDocument/2006/relationships" r:id="rId1"/>
          <a:extLst>
            <a:ext uri="{FF2B5EF4-FFF2-40B4-BE49-F238E27FC236}">
              <a16:creationId xmlns:a16="http://schemas.microsoft.com/office/drawing/2014/main" id="{00000000-0008-0000-0400-00001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3" name="Picture 32" descr="Portugal">
          <a:hlinkClick xmlns:r="http://schemas.openxmlformats.org/officeDocument/2006/relationships" r:id="rId16"/>
          <a:extLst>
            <a:ext uri="{FF2B5EF4-FFF2-40B4-BE49-F238E27FC236}">
              <a16:creationId xmlns:a16="http://schemas.microsoft.com/office/drawing/2014/main" id="{00000000-0008-0000-0400-00001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4" name="Picture 12" descr="Suomi">
          <a:hlinkClick xmlns:r="http://schemas.openxmlformats.org/officeDocument/2006/relationships" r:id="rId19"/>
          <a:extLst>
            <a:ext uri="{FF2B5EF4-FFF2-40B4-BE49-F238E27FC236}">
              <a16:creationId xmlns:a16="http://schemas.microsoft.com/office/drawing/2014/main" id="{00000000-0008-0000-0400-00001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5" name="Picture 14" descr="Deutschland">
          <a:hlinkClick xmlns:r="http://schemas.openxmlformats.org/officeDocument/2006/relationships" r:id="rId20"/>
          <a:extLst>
            <a:ext uri="{FF2B5EF4-FFF2-40B4-BE49-F238E27FC236}">
              <a16:creationId xmlns:a16="http://schemas.microsoft.com/office/drawing/2014/main" id="{00000000-0008-0000-0400-00001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6" name="Picture 15" descr="España">
          <a:hlinkClick xmlns:r="http://schemas.openxmlformats.org/officeDocument/2006/relationships" r:id="rId17"/>
          <a:extLst>
            <a:ext uri="{FF2B5EF4-FFF2-40B4-BE49-F238E27FC236}">
              <a16:creationId xmlns:a16="http://schemas.microsoft.com/office/drawing/2014/main" id="{00000000-0008-0000-0400-00001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7" name="Picture 17" descr="Portugal">
          <a:hlinkClick xmlns:r="http://schemas.openxmlformats.org/officeDocument/2006/relationships" r:id="rId22"/>
          <a:extLst>
            <a:ext uri="{FF2B5EF4-FFF2-40B4-BE49-F238E27FC236}">
              <a16:creationId xmlns:a16="http://schemas.microsoft.com/office/drawing/2014/main" id="{00000000-0008-0000-0400-00001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8" name="Picture 18" descr="Nederland">
          <a:hlinkClick xmlns:r="http://schemas.openxmlformats.org/officeDocument/2006/relationships" r:id="rId23"/>
          <a:extLst>
            <a:ext uri="{FF2B5EF4-FFF2-40B4-BE49-F238E27FC236}">
              <a16:creationId xmlns:a16="http://schemas.microsoft.com/office/drawing/2014/main" id="{00000000-0008-0000-0400-00001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9" name="Picture 19" descr="Northern Ireland">
          <a:hlinkClick xmlns:r="http://schemas.openxmlformats.org/officeDocument/2006/relationships" r:id="rId24"/>
          <a:extLst>
            <a:ext uri="{FF2B5EF4-FFF2-40B4-BE49-F238E27FC236}">
              <a16:creationId xmlns:a16="http://schemas.microsoft.com/office/drawing/2014/main" id="{00000000-0008-0000-0400-00001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0" name="Picture 20" descr="China">
          <a:hlinkClick xmlns:r="http://schemas.openxmlformats.org/officeDocument/2006/relationships" r:id="rId25"/>
          <a:extLst>
            <a:ext uri="{FF2B5EF4-FFF2-40B4-BE49-F238E27FC236}">
              <a16:creationId xmlns:a16="http://schemas.microsoft.com/office/drawing/2014/main" id="{00000000-0008-0000-0400-00001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1" name="Picture 21" descr="Polska">
          <a:hlinkClick xmlns:r="http://schemas.openxmlformats.org/officeDocument/2006/relationships" r:id="rId26"/>
          <a:extLst>
            <a:ext uri="{FF2B5EF4-FFF2-40B4-BE49-F238E27FC236}">
              <a16:creationId xmlns:a16="http://schemas.microsoft.com/office/drawing/2014/main" id="{00000000-0008-0000-0400-00001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2" name="Picture 23" descr="Nederland">
          <a:hlinkClick xmlns:r="http://schemas.openxmlformats.org/officeDocument/2006/relationships" r:id="rId23"/>
          <a:extLst>
            <a:ext uri="{FF2B5EF4-FFF2-40B4-BE49-F238E27FC236}">
              <a16:creationId xmlns:a16="http://schemas.microsoft.com/office/drawing/2014/main" id="{00000000-0008-0000-0400-00002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3" name="Picture 25" descr="Danmark">
          <a:hlinkClick xmlns:r="http://schemas.openxmlformats.org/officeDocument/2006/relationships" r:id="rId27"/>
          <a:extLst>
            <a:ext uri="{FF2B5EF4-FFF2-40B4-BE49-F238E27FC236}">
              <a16:creationId xmlns:a16="http://schemas.microsoft.com/office/drawing/2014/main" id="{00000000-0008-0000-0400-00002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4" name="Picture 26" descr="España">
          <a:hlinkClick xmlns:r="http://schemas.openxmlformats.org/officeDocument/2006/relationships" r:id="rId17"/>
          <a:extLst>
            <a:ext uri="{FF2B5EF4-FFF2-40B4-BE49-F238E27FC236}">
              <a16:creationId xmlns:a16="http://schemas.microsoft.com/office/drawing/2014/main" id="{00000000-0008-0000-0400-00002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5" name="Picture 27" descr="Deutschland">
          <a:hlinkClick xmlns:r="http://schemas.openxmlformats.org/officeDocument/2006/relationships" r:id="rId20"/>
          <a:extLst>
            <a:ext uri="{FF2B5EF4-FFF2-40B4-BE49-F238E27FC236}">
              <a16:creationId xmlns:a16="http://schemas.microsoft.com/office/drawing/2014/main" id="{00000000-0008-0000-0400-00002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6" name="Picture 28" descr="Polska">
          <a:hlinkClick xmlns:r="http://schemas.openxmlformats.org/officeDocument/2006/relationships" r:id="rId26"/>
          <a:extLst>
            <a:ext uri="{FF2B5EF4-FFF2-40B4-BE49-F238E27FC236}">
              <a16:creationId xmlns:a16="http://schemas.microsoft.com/office/drawing/2014/main" id="{00000000-0008-0000-0400-00002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7" name="Picture 31" descr="España">
          <a:hlinkClick xmlns:r="http://schemas.openxmlformats.org/officeDocument/2006/relationships" r:id="rId17"/>
          <a:extLst>
            <a:ext uri="{FF2B5EF4-FFF2-40B4-BE49-F238E27FC236}">
              <a16:creationId xmlns:a16="http://schemas.microsoft.com/office/drawing/2014/main" id="{00000000-0008-0000-0400-00002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8" name="Picture 33" descr="España">
          <a:hlinkClick xmlns:r="http://schemas.openxmlformats.org/officeDocument/2006/relationships" r:id="rId17"/>
          <a:extLst>
            <a:ext uri="{FF2B5EF4-FFF2-40B4-BE49-F238E27FC236}">
              <a16:creationId xmlns:a16="http://schemas.microsoft.com/office/drawing/2014/main" id="{00000000-0008-0000-0400-00002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9" name="Picture 37" descr="Việt Nam">
          <a:hlinkClick xmlns:r="http://schemas.openxmlformats.org/officeDocument/2006/relationships" r:id="rId28"/>
          <a:extLst>
            <a:ext uri="{FF2B5EF4-FFF2-40B4-BE49-F238E27FC236}">
              <a16:creationId xmlns:a16="http://schemas.microsoft.com/office/drawing/2014/main" id="{00000000-0008-0000-0400-00002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0" name="Picture 38" descr="Italia">
          <a:hlinkClick xmlns:r="http://schemas.openxmlformats.org/officeDocument/2006/relationships" r:id="rId29"/>
          <a:extLst>
            <a:ext uri="{FF2B5EF4-FFF2-40B4-BE49-F238E27FC236}">
              <a16:creationId xmlns:a16="http://schemas.microsoft.com/office/drawing/2014/main" id="{00000000-0008-0000-0400-00002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1" name="Picture 39" descr="España">
          <a:hlinkClick xmlns:r="http://schemas.openxmlformats.org/officeDocument/2006/relationships" r:id="rId17"/>
          <a:extLst>
            <a:ext uri="{FF2B5EF4-FFF2-40B4-BE49-F238E27FC236}">
              <a16:creationId xmlns:a16="http://schemas.microsoft.com/office/drawing/2014/main" id="{00000000-0008-0000-0400-00002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2" name="Picture 7" descr="España">
          <a:hlinkClick xmlns:r="http://schemas.openxmlformats.org/officeDocument/2006/relationships" r:id="rId31"/>
          <a:extLst>
            <a:ext uri="{FF2B5EF4-FFF2-40B4-BE49-F238E27FC236}">
              <a16:creationId xmlns:a16="http://schemas.microsoft.com/office/drawing/2014/main" id="{00000000-0008-0000-0400-00002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3" name="Picture 9" descr="España">
          <a:hlinkClick xmlns:r="http://schemas.openxmlformats.org/officeDocument/2006/relationships" r:id="rId31"/>
          <a:extLst>
            <a:ext uri="{FF2B5EF4-FFF2-40B4-BE49-F238E27FC236}">
              <a16:creationId xmlns:a16="http://schemas.microsoft.com/office/drawing/2014/main" id="{00000000-0008-0000-0400-00002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4" name="Picture 10" descr="Suomi">
          <a:hlinkClick xmlns:r="http://schemas.openxmlformats.org/officeDocument/2006/relationships" r:id="rId33"/>
          <a:extLst>
            <a:ext uri="{FF2B5EF4-FFF2-40B4-BE49-F238E27FC236}">
              <a16:creationId xmlns:a16="http://schemas.microsoft.com/office/drawing/2014/main" id="{00000000-0008-0000-0400-00002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5" name="Picture 12" descr="Deutschland">
          <a:hlinkClick xmlns:r="http://schemas.openxmlformats.org/officeDocument/2006/relationships" r:id="rId34"/>
          <a:extLst>
            <a:ext uri="{FF2B5EF4-FFF2-40B4-BE49-F238E27FC236}">
              <a16:creationId xmlns:a16="http://schemas.microsoft.com/office/drawing/2014/main" id="{00000000-0008-0000-0400-00002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6" name="Picture 13" descr="España">
          <a:hlinkClick xmlns:r="http://schemas.openxmlformats.org/officeDocument/2006/relationships" r:id="rId31"/>
          <a:extLst>
            <a:ext uri="{FF2B5EF4-FFF2-40B4-BE49-F238E27FC236}">
              <a16:creationId xmlns:a16="http://schemas.microsoft.com/office/drawing/2014/main" id="{00000000-0008-0000-0400-00002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7" name="Picture 14" descr="Colombia">
          <a:hlinkClick xmlns:r="http://schemas.openxmlformats.org/officeDocument/2006/relationships" r:id="rId35"/>
          <a:extLst>
            <a:ext uri="{FF2B5EF4-FFF2-40B4-BE49-F238E27FC236}">
              <a16:creationId xmlns:a16="http://schemas.microsoft.com/office/drawing/2014/main" id="{00000000-0008-0000-0400-00002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8" name="Picture 15" descr="Portugal">
          <a:hlinkClick xmlns:r="http://schemas.openxmlformats.org/officeDocument/2006/relationships" r:id="rId36"/>
          <a:extLst>
            <a:ext uri="{FF2B5EF4-FFF2-40B4-BE49-F238E27FC236}">
              <a16:creationId xmlns:a16="http://schemas.microsoft.com/office/drawing/2014/main" id="{00000000-0008-0000-0400-00003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9" name="Picture 16" descr="Nederland">
          <a:hlinkClick xmlns:r="http://schemas.openxmlformats.org/officeDocument/2006/relationships" r:id="rId37"/>
          <a:extLst>
            <a:ext uri="{FF2B5EF4-FFF2-40B4-BE49-F238E27FC236}">
              <a16:creationId xmlns:a16="http://schemas.microsoft.com/office/drawing/2014/main" id="{00000000-0008-0000-0400-00003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0" name="Picture 17" descr="Northern Ireland">
          <a:hlinkClick xmlns:r="http://schemas.openxmlformats.org/officeDocument/2006/relationships" r:id="rId38"/>
          <a:extLst>
            <a:ext uri="{FF2B5EF4-FFF2-40B4-BE49-F238E27FC236}">
              <a16:creationId xmlns:a16="http://schemas.microsoft.com/office/drawing/2014/main" id="{00000000-0008-0000-0400-00003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1" name="Picture 18" descr="China">
          <a:hlinkClick xmlns:r="http://schemas.openxmlformats.org/officeDocument/2006/relationships" r:id="rId39"/>
          <a:extLst>
            <a:ext uri="{FF2B5EF4-FFF2-40B4-BE49-F238E27FC236}">
              <a16:creationId xmlns:a16="http://schemas.microsoft.com/office/drawing/2014/main" id="{00000000-0008-0000-0400-00003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2" name="Picture 19" descr="Polska">
          <a:hlinkClick xmlns:r="http://schemas.openxmlformats.org/officeDocument/2006/relationships" r:id="rId40"/>
          <a:extLst>
            <a:ext uri="{FF2B5EF4-FFF2-40B4-BE49-F238E27FC236}">
              <a16:creationId xmlns:a16="http://schemas.microsoft.com/office/drawing/2014/main" id="{00000000-0008-0000-0400-00003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3" name="Picture 20" descr="Danmark">
          <a:hlinkClick xmlns:r="http://schemas.openxmlformats.org/officeDocument/2006/relationships" r:id="rId41"/>
          <a:extLst>
            <a:ext uri="{FF2B5EF4-FFF2-40B4-BE49-F238E27FC236}">
              <a16:creationId xmlns:a16="http://schemas.microsoft.com/office/drawing/2014/main" id="{00000000-0008-0000-0400-00003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4" name="Picture 21" descr="España">
          <a:hlinkClick xmlns:r="http://schemas.openxmlformats.org/officeDocument/2006/relationships" r:id="rId31"/>
          <a:extLst>
            <a:ext uri="{FF2B5EF4-FFF2-40B4-BE49-F238E27FC236}">
              <a16:creationId xmlns:a16="http://schemas.microsoft.com/office/drawing/2014/main" id="{00000000-0008-0000-0400-00003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5" name="Picture 24" descr="Polska">
          <a:hlinkClick xmlns:r="http://schemas.openxmlformats.org/officeDocument/2006/relationships" r:id="rId40"/>
          <a:extLst>
            <a:ext uri="{FF2B5EF4-FFF2-40B4-BE49-F238E27FC236}">
              <a16:creationId xmlns:a16="http://schemas.microsoft.com/office/drawing/2014/main" id="{00000000-0008-0000-0400-00003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6" name="Picture 27" descr="España">
          <a:hlinkClick xmlns:r="http://schemas.openxmlformats.org/officeDocument/2006/relationships" r:id="rId31"/>
          <a:extLst>
            <a:ext uri="{FF2B5EF4-FFF2-40B4-BE49-F238E27FC236}">
              <a16:creationId xmlns:a16="http://schemas.microsoft.com/office/drawing/2014/main" id="{00000000-0008-0000-0400-00003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7" name="Picture 29" descr="España">
          <a:hlinkClick xmlns:r="http://schemas.openxmlformats.org/officeDocument/2006/relationships" r:id="rId31"/>
          <a:extLst>
            <a:ext uri="{FF2B5EF4-FFF2-40B4-BE49-F238E27FC236}">
              <a16:creationId xmlns:a16="http://schemas.microsoft.com/office/drawing/2014/main" id="{00000000-0008-0000-0400-00003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8" name="Picture 30" descr="Việt Nam">
          <a:hlinkClick xmlns:r="http://schemas.openxmlformats.org/officeDocument/2006/relationships" r:id="rId42"/>
          <a:extLst>
            <a:ext uri="{FF2B5EF4-FFF2-40B4-BE49-F238E27FC236}">
              <a16:creationId xmlns:a16="http://schemas.microsoft.com/office/drawing/2014/main" id="{00000000-0008-0000-0400-00003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9" name="Picture 31" descr="Italia">
          <a:hlinkClick xmlns:r="http://schemas.openxmlformats.org/officeDocument/2006/relationships" r:id="rId43"/>
          <a:extLst>
            <a:ext uri="{FF2B5EF4-FFF2-40B4-BE49-F238E27FC236}">
              <a16:creationId xmlns:a16="http://schemas.microsoft.com/office/drawing/2014/main" id="{00000000-0008-0000-0400-00003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0" name="Picture 35" descr="España">
          <a:hlinkClick xmlns:r="http://schemas.openxmlformats.org/officeDocument/2006/relationships" r:id="rId31"/>
          <a:extLst>
            <a:ext uri="{FF2B5EF4-FFF2-40B4-BE49-F238E27FC236}">
              <a16:creationId xmlns:a16="http://schemas.microsoft.com/office/drawing/2014/main" id="{00000000-0008-0000-0400-00003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1" name="Picture 7" descr="España">
          <a:hlinkClick xmlns:r="http://schemas.openxmlformats.org/officeDocument/2006/relationships" r:id="rId45"/>
          <a:extLst>
            <a:ext uri="{FF2B5EF4-FFF2-40B4-BE49-F238E27FC236}">
              <a16:creationId xmlns:a16="http://schemas.microsoft.com/office/drawing/2014/main" id="{00000000-0008-0000-0400-00003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2" name="Picture 9" descr="España">
          <a:hlinkClick xmlns:r="http://schemas.openxmlformats.org/officeDocument/2006/relationships" r:id="rId45"/>
          <a:extLst>
            <a:ext uri="{FF2B5EF4-FFF2-40B4-BE49-F238E27FC236}">
              <a16:creationId xmlns:a16="http://schemas.microsoft.com/office/drawing/2014/main" id="{00000000-0008-0000-0400-00003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3" name="Picture 10" descr="Suomi">
          <a:hlinkClick xmlns:r="http://schemas.openxmlformats.org/officeDocument/2006/relationships" r:id="rId47"/>
          <a:extLst>
            <a:ext uri="{FF2B5EF4-FFF2-40B4-BE49-F238E27FC236}">
              <a16:creationId xmlns:a16="http://schemas.microsoft.com/office/drawing/2014/main" id="{00000000-0008-0000-0400-00003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4" name="Picture 12" descr="Deutschland">
          <a:hlinkClick xmlns:r="http://schemas.openxmlformats.org/officeDocument/2006/relationships" r:id="rId48"/>
          <a:extLst>
            <a:ext uri="{FF2B5EF4-FFF2-40B4-BE49-F238E27FC236}">
              <a16:creationId xmlns:a16="http://schemas.microsoft.com/office/drawing/2014/main" id="{00000000-0008-0000-0400-00004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5" name="Picture 13" descr="España">
          <a:hlinkClick xmlns:r="http://schemas.openxmlformats.org/officeDocument/2006/relationships" r:id="rId45"/>
          <a:extLst>
            <a:ext uri="{FF2B5EF4-FFF2-40B4-BE49-F238E27FC236}">
              <a16:creationId xmlns:a16="http://schemas.microsoft.com/office/drawing/2014/main" id="{00000000-0008-0000-0400-00004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6" name="Picture 14" descr="Colombia">
          <a:hlinkClick xmlns:r="http://schemas.openxmlformats.org/officeDocument/2006/relationships" r:id="rId49"/>
          <a:extLst>
            <a:ext uri="{FF2B5EF4-FFF2-40B4-BE49-F238E27FC236}">
              <a16:creationId xmlns:a16="http://schemas.microsoft.com/office/drawing/2014/main" id="{00000000-0008-0000-0400-00004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7" name="Picture 15" descr="Portugal">
          <a:hlinkClick xmlns:r="http://schemas.openxmlformats.org/officeDocument/2006/relationships" r:id="rId50"/>
          <a:extLst>
            <a:ext uri="{FF2B5EF4-FFF2-40B4-BE49-F238E27FC236}">
              <a16:creationId xmlns:a16="http://schemas.microsoft.com/office/drawing/2014/main" id="{00000000-0008-0000-0400-00004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8" name="Picture 16" descr="Nederland">
          <a:hlinkClick xmlns:r="http://schemas.openxmlformats.org/officeDocument/2006/relationships" r:id="rId51"/>
          <a:extLst>
            <a:ext uri="{FF2B5EF4-FFF2-40B4-BE49-F238E27FC236}">
              <a16:creationId xmlns:a16="http://schemas.microsoft.com/office/drawing/2014/main" id="{00000000-0008-0000-0400-00004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9" name="Picture 17" descr="Northern Ireland">
          <a:hlinkClick xmlns:r="http://schemas.openxmlformats.org/officeDocument/2006/relationships" r:id="rId52"/>
          <a:extLst>
            <a:ext uri="{FF2B5EF4-FFF2-40B4-BE49-F238E27FC236}">
              <a16:creationId xmlns:a16="http://schemas.microsoft.com/office/drawing/2014/main" id="{00000000-0008-0000-0400-00004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0" name="Picture 18" descr="China">
          <a:hlinkClick xmlns:r="http://schemas.openxmlformats.org/officeDocument/2006/relationships" r:id="rId53"/>
          <a:extLst>
            <a:ext uri="{FF2B5EF4-FFF2-40B4-BE49-F238E27FC236}">
              <a16:creationId xmlns:a16="http://schemas.microsoft.com/office/drawing/2014/main" id="{00000000-0008-0000-0400-00004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1" name="Picture 19" descr="Polska">
          <a:hlinkClick xmlns:r="http://schemas.openxmlformats.org/officeDocument/2006/relationships" r:id="rId54"/>
          <a:extLst>
            <a:ext uri="{FF2B5EF4-FFF2-40B4-BE49-F238E27FC236}">
              <a16:creationId xmlns:a16="http://schemas.microsoft.com/office/drawing/2014/main" id="{00000000-0008-0000-0400-00004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2" name="Picture 20" descr="Deutschland">
          <a:hlinkClick xmlns:r="http://schemas.openxmlformats.org/officeDocument/2006/relationships" r:id="rId48"/>
          <a:extLst>
            <a:ext uri="{FF2B5EF4-FFF2-40B4-BE49-F238E27FC236}">
              <a16:creationId xmlns:a16="http://schemas.microsoft.com/office/drawing/2014/main" id="{00000000-0008-0000-0400-00004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3" name="Picture 22" descr="Danmark">
          <a:hlinkClick xmlns:r="http://schemas.openxmlformats.org/officeDocument/2006/relationships" r:id="rId55"/>
          <a:extLst>
            <a:ext uri="{FF2B5EF4-FFF2-40B4-BE49-F238E27FC236}">
              <a16:creationId xmlns:a16="http://schemas.microsoft.com/office/drawing/2014/main" id="{00000000-0008-0000-0400-00004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4" name="Picture 24" descr="Deutschland">
          <a:hlinkClick xmlns:r="http://schemas.openxmlformats.org/officeDocument/2006/relationships" r:id="rId48"/>
          <a:extLst>
            <a:ext uri="{FF2B5EF4-FFF2-40B4-BE49-F238E27FC236}">
              <a16:creationId xmlns:a16="http://schemas.microsoft.com/office/drawing/2014/main" id="{00000000-0008-0000-0400-00004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5" name="Picture 28" descr="España">
          <a:hlinkClick xmlns:r="http://schemas.openxmlformats.org/officeDocument/2006/relationships" r:id="rId45"/>
          <a:extLst>
            <a:ext uri="{FF2B5EF4-FFF2-40B4-BE49-F238E27FC236}">
              <a16:creationId xmlns:a16="http://schemas.microsoft.com/office/drawing/2014/main" id="{00000000-0008-0000-0400-00004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6" name="Picture 30" descr="España">
          <a:hlinkClick xmlns:r="http://schemas.openxmlformats.org/officeDocument/2006/relationships" r:id="rId45"/>
          <a:extLst>
            <a:ext uri="{FF2B5EF4-FFF2-40B4-BE49-F238E27FC236}">
              <a16:creationId xmlns:a16="http://schemas.microsoft.com/office/drawing/2014/main" id="{00000000-0008-0000-0400-00004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7" name="Picture 31" descr="España">
          <a:hlinkClick xmlns:r="http://schemas.openxmlformats.org/officeDocument/2006/relationships" r:id="rId45"/>
          <a:extLst>
            <a:ext uri="{FF2B5EF4-FFF2-40B4-BE49-F238E27FC236}">
              <a16:creationId xmlns:a16="http://schemas.microsoft.com/office/drawing/2014/main" id="{00000000-0008-0000-0400-00004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8" name="Picture 32" descr="Việt Nam">
          <a:hlinkClick xmlns:r="http://schemas.openxmlformats.org/officeDocument/2006/relationships" r:id="rId56"/>
          <a:extLst>
            <a:ext uri="{FF2B5EF4-FFF2-40B4-BE49-F238E27FC236}">
              <a16:creationId xmlns:a16="http://schemas.microsoft.com/office/drawing/2014/main" id="{00000000-0008-0000-0400-00004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9" name="Picture 36" descr="España">
          <a:hlinkClick xmlns:r="http://schemas.openxmlformats.org/officeDocument/2006/relationships" r:id="rId45"/>
          <a:extLst>
            <a:ext uri="{FF2B5EF4-FFF2-40B4-BE49-F238E27FC236}">
              <a16:creationId xmlns:a16="http://schemas.microsoft.com/office/drawing/2014/main" id="{00000000-0008-0000-0400-00004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0" name="Picture 7" descr="España">
          <a:hlinkClick xmlns:r="http://schemas.openxmlformats.org/officeDocument/2006/relationships" r:id="rId1"/>
          <a:extLst>
            <a:ext uri="{FF2B5EF4-FFF2-40B4-BE49-F238E27FC236}">
              <a16:creationId xmlns:a16="http://schemas.microsoft.com/office/drawing/2014/main" id="{00000000-0008-0000-0400-00005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1" name="Picture 9" descr="España">
          <a:hlinkClick xmlns:r="http://schemas.openxmlformats.org/officeDocument/2006/relationships" r:id="rId1"/>
          <a:extLst>
            <a:ext uri="{FF2B5EF4-FFF2-40B4-BE49-F238E27FC236}">
              <a16:creationId xmlns:a16="http://schemas.microsoft.com/office/drawing/2014/main" id="{00000000-0008-0000-0400-00005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2" name="Picture 10" descr="Suomi">
          <a:hlinkClick xmlns:r="http://schemas.openxmlformats.org/officeDocument/2006/relationships" r:id="rId59"/>
          <a:extLst>
            <a:ext uri="{FF2B5EF4-FFF2-40B4-BE49-F238E27FC236}">
              <a16:creationId xmlns:a16="http://schemas.microsoft.com/office/drawing/2014/main" id="{00000000-0008-0000-0400-00005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3" name="Picture 12" descr="Deutschland">
          <a:hlinkClick xmlns:r="http://schemas.openxmlformats.org/officeDocument/2006/relationships" r:id="rId12"/>
          <a:extLst>
            <a:ext uri="{FF2B5EF4-FFF2-40B4-BE49-F238E27FC236}">
              <a16:creationId xmlns:a16="http://schemas.microsoft.com/office/drawing/2014/main" id="{00000000-0008-0000-0400-00005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4" name="Picture 13" descr="España">
          <a:hlinkClick xmlns:r="http://schemas.openxmlformats.org/officeDocument/2006/relationships" r:id="rId1"/>
          <a:extLst>
            <a:ext uri="{FF2B5EF4-FFF2-40B4-BE49-F238E27FC236}">
              <a16:creationId xmlns:a16="http://schemas.microsoft.com/office/drawing/2014/main" id="{00000000-0008-0000-0400-00005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5" name="Picture 14" descr="Colombia">
          <a:hlinkClick xmlns:r="http://schemas.openxmlformats.org/officeDocument/2006/relationships" r:id="rId8"/>
          <a:extLst>
            <a:ext uri="{FF2B5EF4-FFF2-40B4-BE49-F238E27FC236}">
              <a16:creationId xmlns:a16="http://schemas.microsoft.com/office/drawing/2014/main" id="{00000000-0008-0000-0400-00005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6" name="Picture 15" descr="Portugal">
          <a:hlinkClick xmlns:r="http://schemas.openxmlformats.org/officeDocument/2006/relationships" r:id="rId16"/>
          <a:extLst>
            <a:ext uri="{FF2B5EF4-FFF2-40B4-BE49-F238E27FC236}">
              <a16:creationId xmlns:a16="http://schemas.microsoft.com/office/drawing/2014/main" id="{00000000-0008-0000-0400-00005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7" name="Picture 16" descr="Nederland">
          <a:hlinkClick xmlns:r="http://schemas.openxmlformats.org/officeDocument/2006/relationships" r:id="rId10"/>
          <a:extLst>
            <a:ext uri="{FF2B5EF4-FFF2-40B4-BE49-F238E27FC236}">
              <a16:creationId xmlns:a16="http://schemas.microsoft.com/office/drawing/2014/main" id="{00000000-0008-0000-0400-00005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8" name="Picture 17" descr="Northern Ireland">
          <a:hlinkClick xmlns:r="http://schemas.openxmlformats.org/officeDocument/2006/relationships" r:id="rId60"/>
          <a:extLst>
            <a:ext uri="{FF2B5EF4-FFF2-40B4-BE49-F238E27FC236}">
              <a16:creationId xmlns:a16="http://schemas.microsoft.com/office/drawing/2014/main" id="{00000000-0008-0000-0400-00005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9" name="Picture 18" descr="China">
          <a:hlinkClick xmlns:r="http://schemas.openxmlformats.org/officeDocument/2006/relationships" r:id="rId61"/>
          <a:extLst>
            <a:ext uri="{FF2B5EF4-FFF2-40B4-BE49-F238E27FC236}">
              <a16:creationId xmlns:a16="http://schemas.microsoft.com/office/drawing/2014/main" id="{00000000-0008-0000-0400-00005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0" name="Picture 19" descr="Polska">
          <a:hlinkClick xmlns:r="http://schemas.openxmlformats.org/officeDocument/2006/relationships" r:id="rId5"/>
          <a:extLst>
            <a:ext uri="{FF2B5EF4-FFF2-40B4-BE49-F238E27FC236}">
              <a16:creationId xmlns:a16="http://schemas.microsoft.com/office/drawing/2014/main" id="{00000000-0008-0000-0400-00005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1" name="Picture 20" descr="Deutschland">
          <a:hlinkClick xmlns:r="http://schemas.openxmlformats.org/officeDocument/2006/relationships" r:id="rId12"/>
          <a:extLst>
            <a:ext uri="{FF2B5EF4-FFF2-40B4-BE49-F238E27FC236}">
              <a16:creationId xmlns:a16="http://schemas.microsoft.com/office/drawing/2014/main" id="{00000000-0008-0000-0400-00005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2" name="Picture 22" descr="Danmark">
          <a:hlinkClick xmlns:r="http://schemas.openxmlformats.org/officeDocument/2006/relationships" r:id="rId11"/>
          <a:extLst>
            <a:ext uri="{FF2B5EF4-FFF2-40B4-BE49-F238E27FC236}">
              <a16:creationId xmlns:a16="http://schemas.microsoft.com/office/drawing/2014/main" id="{00000000-0008-0000-0400-00005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3" name="Picture 26" descr="España">
          <a:hlinkClick xmlns:r="http://schemas.openxmlformats.org/officeDocument/2006/relationships" r:id="rId1"/>
          <a:extLst>
            <a:ext uri="{FF2B5EF4-FFF2-40B4-BE49-F238E27FC236}">
              <a16:creationId xmlns:a16="http://schemas.microsoft.com/office/drawing/2014/main" id="{00000000-0008-0000-0400-00005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4" name="Picture 28" descr="España">
          <a:hlinkClick xmlns:r="http://schemas.openxmlformats.org/officeDocument/2006/relationships" r:id="rId1"/>
          <a:extLst>
            <a:ext uri="{FF2B5EF4-FFF2-40B4-BE49-F238E27FC236}">
              <a16:creationId xmlns:a16="http://schemas.microsoft.com/office/drawing/2014/main" id="{00000000-0008-0000-0400-00005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5" name="Picture 30" descr="España">
          <a:hlinkClick xmlns:r="http://schemas.openxmlformats.org/officeDocument/2006/relationships" r:id="rId1"/>
          <a:extLst>
            <a:ext uri="{FF2B5EF4-FFF2-40B4-BE49-F238E27FC236}">
              <a16:creationId xmlns:a16="http://schemas.microsoft.com/office/drawing/2014/main" id="{00000000-0008-0000-0400-00005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6" name="Picture 35" descr="España">
          <a:hlinkClick xmlns:r="http://schemas.openxmlformats.org/officeDocument/2006/relationships" r:id="rId1"/>
          <a:extLst>
            <a:ext uri="{FF2B5EF4-FFF2-40B4-BE49-F238E27FC236}">
              <a16:creationId xmlns:a16="http://schemas.microsoft.com/office/drawing/2014/main" id="{00000000-0008-0000-0400-00006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7" name="Picture 7" descr="España">
          <a:hlinkClick xmlns:r="http://schemas.openxmlformats.org/officeDocument/2006/relationships" r:id="rId63"/>
          <a:extLst>
            <a:ext uri="{FF2B5EF4-FFF2-40B4-BE49-F238E27FC236}">
              <a16:creationId xmlns:a16="http://schemas.microsoft.com/office/drawing/2014/main" id="{00000000-0008-0000-0400-00006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8" name="Picture 9" descr="España">
          <a:hlinkClick xmlns:r="http://schemas.openxmlformats.org/officeDocument/2006/relationships" r:id="rId63"/>
          <a:extLst>
            <a:ext uri="{FF2B5EF4-FFF2-40B4-BE49-F238E27FC236}">
              <a16:creationId xmlns:a16="http://schemas.microsoft.com/office/drawing/2014/main" id="{00000000-0008-0000-0400-00006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9" name="Picture 10" descr="Suomi">
          <a:hlinkClick xmlns:r="http://schemas.openxmlformats.org/officeDocument/2006/relationships" r:id="rId65"/>
          <a:extLst>
            <a:ext uri="{FF2B5EF4-FFF2-40B4-BE49-F238E27FC236}">
              <a16:creationId xmlns:a16="http://schemas.microsoft.com/office/drawing/2014/main" id="{00000000-0008-0000-0400-00006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0" name="Picture 12" descr="Deutschland">
          <a:hlinkClick xmlns:r="http://schemas.openxmlformats.org/officeDocument/2006/relationships" r:id="rId66"/>
          <a:extLst>
            <a:ext uri="{FF2B5EF4-FFF2-40B4-BE49-F238E27FC236}">
              <a16:creationId xmlns:a16="http://schemas.microsoft.com/office/drawing/2014/main" id="{00000000-0008-0000-0400-00006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1" name="Picture 13" descr="España">
          <a:hlinkClick xmlns:r="http://schemas.openxmlformats.org/officeDocument/2006/relationships" r:id="rId63"/>
          <a:extLst>
            <a:ext uri="{FF2B5EF4-FFF2-40B4-BE49-F238E27FC236}">
              <a16:creationId xmlns:a16="http://schemas.microsoft.com/office/drawing/2014/main" id="{00000000-0008-0000-0400-00006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2" name="Picture 14" descr="Colombia">
          <a:hlinkClick xmlns:r="http://schemas.openxmlformats.org/officeDocument/2006/relationships" r:id="rId67"/>
          <a:extLst>
            <a:ext uri="{FF2B5EF4-FFF2-40B4-BE49-F238E27FC236}">
              <a16:creationId xmlns:a16="http://schemas.microsoft.com/office/drawing/2014/main" id="{00000000-0008-0000-0400-00006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3" name="Picture 15" descr="Portugal">
          <a:hlinkClick xmlns:r="http://schemas.openxmlformats.org/officeDocument/2006/relationships" r:id="rId68"/>
          <a:extLst>
            <a:ext uri="{FF2B5EF4-FFF2-40B4-BE49-F238E27FC236}">
              <a16:creationId xmlns:a16="http://schemas.microsoft.com/office/drawing/2014/main" id="{00000000-0008-0000-0400-00006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4" name="Picture 16" descr="Nederland">
          <a:hlinkClick xmlns:r="http://schemas.openxmlformats.org/officeDocument/2006/relationships" r:id="rId69"/>
          <a:extLst>
            <a:ext uri="{FF2B5EF4-FFF2-40B4-BE49-F238E27FC236}">
              <a16:creationId xmlns:a16="http://schemas.microsoft.com/office/drawing/2014/main" id="{00000000-0008-0000-0400-00006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5" name="Picture 17" descr="Northern Ireland">
          <a:hlinkClick xmlns:r="http://schemas.openxmlformats.org/officeDocument/2006/relationships" r:id="rId70"/>
          <a:extLst>
            <a:ext uri="{FF2B5EF4-FFF2-40B4-BE49-F238E27FC236}">
              <a16:creationId xmlns:a16="http://schemas.microsoft.com/office/drawing/2014/main" id="{00000000-0008-0000-0400-00006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6" name="Picture 19" descr="China">
          <a:hlinkClick xmlns:r="http://schemas.openxmlformats.org/officeDocument/2006/relationships" r:id="rId71"/>
          <a:extLst>
            <a:ext uri="{FF2B5EF4-FFF2-40B4-BE49-F238E27FC236}">
              <a16:creationId xmlns:a16="http://schemas.microsoft.com/office/drawing/2014/main" id="{00000000-0008-0000-0400-00006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7" name="Picture 20" descr="Polska">
          <a:hlinkClick xmlns:r="http://schemas.openxmlformats.org/officeDocument/2006/relationships" r:id="rId72"/>
          <a:extLst>
            <a:ext uri="{FF2B5EF4-FFF2-40B4-BE49-F238E27FC236}">
              <a16:creationId xmlns:a16="http://schemas.microsoft.com/office/drawing/2014/main" id="{00000000-0008-0000-0400-00006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8" name="Picture 21" descr="Deutschland">
          <a:hlinkClick xmlns:r="http://schemas.openxmlformats.org/officeDocument/2006/relationships" r:id="rId66"/>
          <a:extLst>
            <a:ext uri="{FF2B5EF4-FFF2-40B4-BE49-F238E27FC236}">
              <a16:creationId xmlns:a16="http://schemas.microsoft.com/office/drawing/2014/main" id="{00000000-0008-0000-0400-00006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9" name="Picture 23" descr="Danmark">
          <a:hlinkClick xmlns:r="http://schemas.openxmlformats.org/officeDocument/2006/relationships" r:id="rId73"/>
          <a:extLst>
            <a:ext uri="{FF2B5EF4-FFF2-40B4-BE49-F238E27FC236}">
              <a16:creationId xmlns:a16="http://schemas.microsoft.com/office/drawing/2014/main" id="{00000000-0008-0000-0400-00006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0" name="Picture 25" descr="France">
          <a:hlinkClick xmlns:r="http://schemas.openxmlformats.org/officeDocument/2006/relationships" r:id="rId74"/>
          <a:extLst>
            <a:ext uri="{FF2B5EF4-FFF2-40B4-BE49-F238E27FC236}">
              <a16:creationId xmlns:a16="http://schemas.microsoft.com/office/drawing/2014/main" id="{00000000-0008-0000-0400-00006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1" name="Picture 28" descr="España">
          <a:hlinkClick xmlns:r="http://schemas.openxmlformats.org/officeDocument/2006/relationships" r:id="rId63"/>
          <a:extLst>
            <a:ext uri="{FF2B5EF4-FFF2-40B4-BE49-F238E27FC236}">
              <a16:creationId xmlns:a16="http://schemas.microsoft.com/office/drawing/2014/main" id="{00000000-0008-0000-0400-00006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2" name="Picture 30" descr="España">
          <a:hlinkClick xmlns:r="http://schemas.openxmlformats.org/officeDocument/2006/relationships" r:id="rId63"/>
          <a:extLst>
            <a:ext uri="{FF2B5EF4-FFF2-40B4-BE49-F238E27FC236}">
              <a16:creationId xmlns:a16="http://schemas.microsoft.com/office/drawing/2014/main" id="{00000000-0008-0000-0400-00007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3" name="Picture 31" descr="Nederland">
          <a:hlinkClick xmlns:r="http://schemas.openxmlformats.org/officeDocument/2006/relationships" r:id="rId69"/>
          <a:extLst>
            <a:ext uri="{FF2B5EF4-FFF2-40B4-BE49-F238E27FC236}">
              <a16:creationId xmlns:a16="http://schemas.microsoft.com/office/drawing/2014/main" id="{00000000-0008-0000-0400-00007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4" name="Picture 33" descr="España">
          <a:hlinkClick xmlns:r="http://schemas.openxmlformats.org/officeDocument/2006/relationships" r:id="rId63"/>
          <a:extLst>
            <a:ext uri="{FF2B5EF4-FFF2-40B4-BE49-F238E27FC236}">
              <a16:creationId xmlns:a16="http://schemas.microsoft.com/office/drawing/2014/main" id="{00000000-0008-0000-0400-00007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5" name="Picture 37" descr="România">
          <a:hlinkClick xmlns:r="http://schemas.openxmlformats.org/officeDocument/2006/relationships" r:id="rId76"/>
          <a:extLst>
            <a:ext uri="{FF2B5EF4-FFF2-40B4-BE49-F238E27FC236}">
              <a16:creationId xmlns:a16="http://schemas.microsoft.com/office/drawing/2014/main" id="{00000000-0008-0000-0400-00007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6" name="Picture 7" descr="España">
          <a:hlinkClick xmlns:r="http://schemas.openxmlformats.org/officeDocument/2006/relationships" r:id="rId77"/>
          <a:extLst>
            <a:ext uri="{FF2B5EF4-FFF2-40B4-BE49-F238E27FC236}">
              <a16:creationId xmlns:a16="http://schemas.microsoft.com/office/drawing/2014/main" id="{00000000-0008-0000-0400-00007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7" name="Picture 9" descr="España">
          <a:hlinkClick xmlns:r="http://schemas.openxmlformats.org/officeDocument/2006/relationships" r:id="rId77"/>
          <a:extLst>
            <a:ext uri="{FF2B5EF4-FFF2-40B4-BE49-F238E27FC236}">
              <a16:creationId xmlns:a16="http://schemas.microsoft.com/office/drawing/2014/main" id="{00000000-0008-0000-0400-00007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8" name="Picture 10" descr="Suomi">
          <a:hlinkClick xmlns:r="http://schemas.openxmlformats.org/officeDocument/2006/relationships" r:id="rId78"/>
          <a:extLst>
            <a:ext uri="{FF2B5EF4-FFF2-40B4-BE49-F238E27FC236}">
              <a16:creationId xmlns:a16="http://schemas.microsoft.com/office/drawing/2014/main" id="{00000000-0008-0000-0400-00007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9" name="Picture 12" descr="Deutschland">
          <a:hlinkClick xmlns:r="http://schemas.openxmlformats.org/officeDocument/2006/relationships" r:id="rId79"/>
          <a:extLst>
            <a:ext uri="{FF2B5EF4-FFF2-40B4-BE49-F238E27FC236}">
              <a16:creationId xmlns:a16="http://schemas.microsoft.com/office/drawing/2014/main" id="{00000000-0008-0000-0400-00007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0" name="Picture 13" descr="España">
          <a:hlinkClick xmlns:r="http://schemas.openxmlformats.org/officeDocument/2006/relationships" r:id="rId77"/>
          <a:extLst>
            <a:ext uri="{FF2B5EF4-FFF2-40B4-BE49-F238E27FC236}">
              <a16:creationId xmlns:a16="http://schemas.microsoft.com/office/drawing/2014/main" id="{00000000-0008-0000-0400-00007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1" name="Picture 15" descr="Colombia">
          <a:hlinkClick xmlns:r="http://schemas.openxmlformats.org/officeDocument/2006/relationships" r:id="rId80"/>
          <a:extLst>
            <a:ext uri="{FF2B5EF4-FFF2-40B4-BE49-F238E27FC236}">
              <a16:creationId xmlns:a16="http://schemas.microsoft.com/office/drawing/2014/main" id="{00000000-0008-0000-0400-00007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2" name="Picture 16" descr="Portugal">
          <a:hlinkClick xmlns:r="http://schemas.openxmlformats.org/officeDocument/2006/relationships" r:id="rId81"/>
          <a:extLst>
            <a:ext uri="{FF2B5EF4-FFF2-40B4-BE49-F238E27FC236}">
              <a16:creationId xmlns:a16="http://schemas.microsoft.com/office/drawing/2014/main" id="{00000000-0008-0000-0400-00007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3" name="Picture 17" descr="Nederland">
          <a:hlinkClick xmlns:r="http://schemas.openxmlformats.org/officeDocument/2006/relationships" r:id="rId82"/>
          <a:extLst>
            <a:ext uri="{FF2B5EF4-FFF2-40B4-BE49-F238E27FC236}">
              <a16:creationId xmlns:a16="http://schemas.microsoft.com/office/drawing/2014/main" id="{00000000-0008-0000-0400-00007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4" name="Picture 18" descr="Northern Ireland">
          <a:hlinkClick xmlns:r="http://schemas.openxmlformats.org/officeDocument/2006/relationships" r:id="rId83"/>
          <a:extLst>
            <a:ext uri="{FF2B5EF4-FFF2-40B4-BE49-F238E27FC236}">
              <a16:creationId xmlns:a16="http://schemas.microsoft.com/office/drawing/2014/main" id="{00000000-0008-0000-0400-00007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5" name="Picture 19" descr="China">
          <a:hlinkClick xmlns:r="http://schemas.openxmlformats.org/officeDocument/2006/relationships" r:id="rId84"/>
          <a:extLst>
            <a:ext uri="{FF2B5EF4-FFF2-40B4-BE49-F238E27FC236}">
              <a16:creationId xmlns:a16="http://schemas.microsoft.com/office/drawing/2014/main" id="{00000000-0008-0000-0400-00007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6" name="Picture 20" descr="Polska">
          <a:hlinkClick xmlns:r="http://schemas.openxmlformats.org/officeDocument/2006/relationships" r:id="rId85"/>
          <a:extLst>
            <a:ext uri="{FF2B5EF4-FFF2-40B4-BE49-F238E27FC236}">
              <a16:creationId xmlns:a16="http://schemas.microsoft.com/office/drawing/2014/main" id="{00000000-0008-0000-0400-00007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7" name="Picture 21" descr="Deutschland">
          <a:hlinkClick xmlns:r="http://schemas.openxmlformats.org/officeDocument/2006/relationships" r:id="rId79"/>
          <a:extLst>
            <a:ext uri="{FF2B5EF4-FFF2-40B4-BE49-F238E27FC236}">
              <a16:creationId xmlns:a16="http://schemas.microsoft.com/office/drawing/2014/main" id="{00000000-0008-0000-0400-00007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8" name="Picture 22" descr="Danmark">
          <a:hlinkClick xmlns:r="http://schemas.openxmlformats.org/officeDocument/2006/relationships" r:id="rId86"/>
          <a:extLst>
            <a:ext uri="{FF2B5EF4-FFF2-40B4-BE49-F238E27FC236}">
              <a16:creationId xmlns:a16="http://schemas.microsoft.com/office/drawing/2014/main" id="{00000000-0008-0000-0400-00008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9" name="Picture 24" descr="España">
          <a:hlinkClick xmlns:r="http://schemas.openxmlformats.org/officeDocument/2006/relationships" r:id="rId77"/>
          <a:extLst>
            <a:ext uri="{FF2B5EF4-FFF2-40B4-BE49-F238E27FC236}">
              <a16:creationId xmlns:a16="http://schemas.microsoft.com/office/drawing/2014/main" id="{00000000-0008-0000-0400-00008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0" name="Picture 26" descr="România">
          <a:hlinkClick xmlns:r="http://schemas.openxmlformats.org/officeDocument/2006/relationships" r:id="rId89"/>
          <a:extLst>
            <a:ext uri="{FF2B5EF4-FFF2-40B4-BE49-F238E27FC236}">
              <a16:creationId xmlns:a16="http://schemas.microsoft.com/office/drawing/2014/main" id="{00000000-0008-0000-0400-00008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1" name="Picture 28" descr="España">
          <a:hlinkClick xmlns:r="http://schemas.openxmlformats.org/officeDocument/2006/relationships" r:id="rId77"/>
          <a:extLst>
            <a:ext uri="{FF2B5EF4-FFF2-40B4-BE49-F238E27FC236}">
              <a16:creationId xmlns:a16="http://schemas.microsoft.com/office/drawing/2014/main" id="{00000000-0008-0000-0400-00008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2" name="Picture 29" descr="España">
          <a:hlinkClick xmlns:r="http://schemas.openxmlformats.org/officeDocument/2006/relationships" r:id="rId77"/>
          <a:extLst>
            <a:ext uri="{FF2B5EF4-FFF2-40B4-BE49-F238E27FC236}">
              <a16:creationId xmlns:a16="http://schemas.microsoft.com/office/drawing/2014/main" id="{00000000-0008-0000-0400-00008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3" name="Picture 30" descr="España">
          <a:hlinkClick xmlns:r="http://schemas.openxmlformats.org/officeDocument/2006/relationships" r:id="rId77"/>
          <a:extLst>
            <a:ext uri="{FF2B5EF4-FFF2-40B4-BE49-F238E27FC236}">
              <a16:creationId xmlns:a16="http://schemas.microsoft.com/office/drawing/2014/main" id="{00000000-0008-0000-0400-00008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4" name="Picture 33" descr="Polska">
          <a:hlinkClick xmlns:r="http://schemas.openxmlformats.org/officeDocument/2006/relationships" r:id="rId85"/>
          <a:extLst>
            <a:ext uri="{FF2B5EF4-FFF2-40B4-BE49-F238E27FC236}">
              <a16:creationId xmlns:a16="http://schemas.microsoft.com/office/drawing/2014/main" id="{00000000-0008-0000-0400-00008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5" name="Picture 37" descr="Portugal">
          <a:hlinkClick xmlns:r="http://schemas.openxmlformats.org/officeDocument/2006/relationships" r:id="rId81"/>
          <a:extLst>
            <a:ext uri="{FF2B5EF4-FFF2-40B4-BE49-F238E27FC236}">
              <a16:creationId xmlns:a16="http://schemas.microsoft.com/office/drawing/2014/main" id="{00000000-0008-0000-0400-00008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6" name="Picture 2" descr="España">
          <a:hlinkClick xmlns:r="http://schemas.openxmlformats.org/officeDocument/2006/relationships" r:id="rId90"/>
          <a:extLst>
            <a:ext uri="{FF2B5EF4-FFF2-40B4-BE49-F238E27FC236}">
              <a16:creationId xmlns:a16="http://schemas.microsoft.com/office/drawing/2014/main" id="{00000000-0008-0000-0400-00008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7" name="Picture 3" descr="USA">
          <a:hlinkClick xmlns:r="http://schemas.openxmlformats.org/officeDocument/2006/relationships" r:id="rId91"/>
          <a:extLst>
            <a:ext uri="{FF2B5EF4-FFF2-40B4-BE49-F238E27FC236}">
              <a16:creationId xmlns:a16="http://schemas.microsoft.com/office/drawing/2014/main" id="{00000000-0008-0000-0400-00008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8" name="Picture 5" descr="España">
          <a:hlinkClick xmlns:r="http://schemas.openxmlformats.org/officeDocument/2006/relationships" r:id="rId90"/>
          <a:extLst>
            <a:ext uri="{FF2B5EF4-FFF2-40B4-BE49-F238E27FC236}">
              <a16:creationId xmlns:a16="http://schemas.microsoft.com/office/drawing/2014/main" id="{00000000-0008-0000-0400-00008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9" name="Picture 6" descr="España">
          <a:hlinkClick xmlns:r="http://schemas.openxmlformats.org/officeDocument/2006/relationships" r:id="rId90"/>
          <a:extLst>
            <a:ext uri="{FF2B5EF4-FFF2-40B4-BE49-F238E27FC236}">
              <a16:creationId xmlns:a16="http://schemas.microsoft.com/office/drawing/2014/main" id="{00000000-0008-0000-0400-00008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0" name="Picture 8" descr="Česká republika">
          <a:hlinkClick xmlns:r="http://schemas.openxmlformats.org/officeDocument/2006/relationships" r:id="rId92"/>
          <a:extLst>
            <a:ext uri="{FF2B5EF4-FFF2-40B4-BE49-F238E27FC236}">
              <a16:creationId xmlns:a16="http://schemas.microsoft.com/office/drawing/2014/main" id="{00000000-0008-0000-0400-00008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1" name="Picture 9" descr="Sverige">
          <a:hlinkClick xmlns:r="http://schemas.openxmlformats.org/officeDocument/2006/relationships" r:id="rId93"/>
          <a:extLst>
            <a:ext uri="{FF2B5EF4-FFF2-40B4-BE49-F238E27FC236}">
              <a16:creationId xmlns:a16="http://schemas.microsoft.com/office/drawing/2014/main" id="{00000000-0008-0000-0400-00008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2" name="Picture 11" descr="Suomi">
          <a:hlinkClick xmlns:r="http://schemas.openxmlformats.org/officeDocument/2006/relationships" r:id="rId94"/>
          <a:extLst>
            <a:ext uri="{FF2B5EF4-FFF2-40B4-BE49-F238E27FC236}">
              <a16:creationId xmlns:a16="http://schemas.microsoft.com/office/drawing/2014/main" id="{00000000-0008-0000-0400-00008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3" name="Picture 12" descr="España">
          <a:hlinkClick xmlns:r="http://schemas.openxmlformats.org/officeDocument/2006/relationships" r:id="rId90"/>
          <a:extLst>
            <a:ext uri="{FF2B5EF4-FFF2-40B4-BE49-F238E27FC236}">
              <a16:creationId xmlns:a16="http://schemas.microsoft.com/office/drawing/2014/main" id="{00000000-0008-0000-0400-00008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4" name="Picture 13" descr="Nederland">
          <a:hlinkClick xmlns:r="http://schemas.openxmlformats.org/officeDocument/2006/relationships" r:id="rId95"/>
          <a:extLst>
            <a:ext uri="{FF2B5EF4-FFF2-40B4-BE49-F238E27FC236}">
              <a16:creationId xmlns:a16="http://schemas.microsoft.com/office/drawing/2014/main" id="{00000000-0008-0000-0400-00009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5" name="Picture 14" descr="Italia">
          <a:hlinkClick xmlns:r="http://schemas.openxmlformats.org/officeDocument/2006/relationships" r:id="rId96"/>
          <a:extLst>
            <a:ext uri="{FF2B5EF4-FFF2-40B4-BE49-F238E27FC236}">
              <a16:creationId xmlns:a16="http://schemas.microsoft.com/office/drawing/2014/main" id="{00000000-0008-0000-0400-00009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6" name="Picture 16" descr="España">
          <a:hlinkClick xmlns:r="http://schemas.openxmlformats.org/officeDocument/2006/relationships" r:id="rId90"/>
          <a:extLst>
            <a:ext uri="{FF2B5EF4-FFF2-40B4-BE49-F238E27FC236}">
              <a16:creationId xmlns:a16="http://schemas.microsoft.com/office/drawing/2014/main" id="{00000000-0008-0000-0400-00009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7" name="Picture 18" descr="France">
          <a:hlinkClick xmlns:r="http://schemas.openxmlformats.org/officeDocument/2006/relationships" r:id="rId97"/>
          <a:extLst>
            <a:ext uri="{FF2B5EF4-FFF2-40B4-BE49-F238E27FC236}">
              <a16:creationId xmlns:a16="http://schemas.microsoft.com/office/drawing/2014/main" id="{00000000-0008-0000-0400-00009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8" name="Picture 19" descr="France">
          <a:hlinkClick xmlns:r="http://schemas.openxmlformats.org/officeDocument/2006/relationships" r:id="rId97"/>
          <a:extLst>
            <a:ext uri="{FF2B5EF4-FFF2-40B4-BE49-F238E27FC236}">
              <a16:creationId xmlns:a16="http://schemas.microsoft.com/office/drawing/2014/main" id="{00000000-0008-0000-0400-00009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9" name="Picture 21" descr="Argentina">
          <a:hlinkClick xmlns:r="http://schemas.openxmlformats.org/officeDocument/2006/relationships" r:id="rId98"/>
          <a:extLst>
            <a:ext uri="{FF2B5EF4-FFF2-40B4-BE49-F238E27FC236}">
              <a16:creationId xmlns:a16="http://schemas.microsoft.com/office/drawing/2014/main" id="{00000000-0008-0000-0400-00009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0" name="Picture 23" descr="España">
          <a:hlinkClick xmlns:r="http://schemas.openxmlformats.org/officeDocument/2006/relationships" r:id="rId90"/>
          <a:extLst>
            <a:ext uri="{FF2B5EF4-FFF2-40B4-BE49-F238E27FC236}">
              <a16:creationId xmlns:a16="http://schemas.microsoft.com/office/drawing/2014/main" id="{00000000-0008-0000-0400-00009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1" name="Picture 25" descr="Lubnan">
          <a:hlinkClick xmlns:r="http://schemas.openxmlformats.org/officeDocument/2006/relationships" r:id="rId99"/>
          <a:extLst>
            <a:ext uri="{FF2B5EF4-FFF2-40B4-BE49-F238E27FC236}">
              <a16:creationId xmlns:a16="http://schemas.microsoft.com/office/drawing/2014/main" id="{00000000-0008-0000-0400-00009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2" name="Picture 27" descr="Magyarország">
          <a:hlinkClick xmlns:r="http://schemas.openxmlformats.org/officeDocument/2006/relationships" r:id="rId100"/>
          <a:extLst>
            <a:ext uri="{FF2B5EF4-FFF2-40B4-BE49-F238E27FC236}">
              <a16:creationId xmlns:a16="http://schemas.microsoft.com/office/drawing/2014/main" id="{00000000-0008-0000-0400-00009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3" name="Picture 29" descr="Uruguay">
          <a:hlinkClick xmlns:r="http://schemas.openxmlformats.org/officeDocument/2006/relationships" r:id="rId101"/>
          <a:extLst>
            <a:ext uri="{FF2B5EF4-FFF2-40B4-BE49-F238E27FC236}">
              <a16:creationId xmlns:a16="http://schemas.microsoft.com/office/drawing/2014/main" id="{00000000-0008-0000-0400-00009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4" name="Picture 30" descr="Italia">
          <a:hlinkClick xmlns:r="http://schemas.openxmlformats.org/officeDocument/2006/relationships" r:id="rId96"/>
          <a:extLst>
            <a:ext uri="{FF2B5EF4-FFF2-40B4-BE49-F238E27FC236}">
              <a16:creationId xmlns:a16="http://schemas.microsoft.com/office/drawing/2014/main" id="{00000000-0008-0000-0400-00009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5" name="Picture 31" descr="Nederland">
          <a:hlinkClick xmlns:r="http://schemas.openxmlformats.org/officeDocument/2006/relationships" r:id="rId95"/>
          <a:extLst>
            <a:ext uri="{FF2B5EF4-FFF2-40B4-BE49-F238E27FC236}">
              <a16:creationId xmlns:a16="http://schemas.microsoft.com/office/drawing/2014/main" id="{00000000-0008-0000-0400-00009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6" name="Picture 32" descr="Italia">
          <a:hlinkClick xmlns:r="http://schemas.openxmlformats.org/officeDocument/2006/relationships" r:id="rId96"/>
          <a:extLst>
            <a:ext uri="{FF2B5EF4-FFF2-40B4-BE49-F238E27FC236}">
              <a16:creationId xmlns:a16="http://schemas.microsoft.com/office/drawing/2014/main" id="{00000000-0008-0000-0400-00009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7" name="Picture 34" descr="Deutschland">
          <a:hlinkClick xmlns:r="http://schemas.openxmlformats.org/officeDocument/2006/relationships" r:id="rId102"/>
          <a:extLst>
            <a:ext uri="{FF2B5EF4-FFF2-40B4-BE49-F238E27FC236}">
              <a16:creationId xmlns:a16="http://schemas.microsoft.com/office/drawing/2014/main" id="{00000000-0008-0000-0400-00009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8" name="Picture 36" descr="Israel">
          <a:hlinkClick xmlns:r="http://schemas.openxmlformats.org/officeDocument/2006/relationships" r:id="rId103"/>
          <a:extLst>
            <a:ext uri="{FF2B5EF4-FFF2-40B4-BE49-F238E27FC236}">
              <a16:creationId xmlns:a16="http://schemas.microsoft.com/office/drawing/2014/main" id="{00000000-0008-0000-0400-00009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9" name="Picture 37" descr="Slovensko">
          <a:hlinkClick xmlns:r="http://schemas.openxmlformats.org/officeDocument/2006/relationships" r:id="rId104"/>
          <a:extLst>
            <a:ext uri="{FF2B5EF4-FFF2-40B4-BE49-F238E27FC236}">
              <a16:creationId xmlns:a16="http://schemas.microsoft.com/office/drawing/2014/main" id="{00000000-0008-0000-0400-00009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0" name="Picture 2" descr="España">
          <a:hlinkClick xmlns:r="http://schemas.openxmlformats.org/officeDocument/2006/relationships" r:id="rId90"/>
          <a:extLst>
            <a:ext uri="{FF2B5EF4-FFF2-40B4-BE49-F238E27FC236}">
              <a16:creationId xmlns:a16="http://schemas.microsoft.com/office/drawing/2014/main" id="{00000000-0008-0000-0400-0000A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1" name="Picture 3" descr="USA">
          <a:hlinkClick xmlns:r="http://schemas.openxmlformats.org/officeDocument/2006/relationships" r:id="rId91"/>
          <a:extLst>
            <a:ext uri="{FF2B5EF4-FFF2-40B4-BE49-F238E27FC236}">
              <a16:creationId xmlns:a16="http://schemas.microsoft.com/office/drawing/2014/main" id="{00000000-0008-0000-0400-0000A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2" name="Picture 5" descr="España">
          <a:hlinkClick xmlns:r="http://schemas.openxmlformats.org/officeDocument/2006/relationships" r:id="rId90"/>
          <a:extLst>
            <a:ext uri="{FF2B5EF4-FFF2-40B4-BE49-F238E27FC236}">
              <a16:creationId xmlns:a16="http://schemas.microsoft.com/office/drawing/2014/main" id="{00000000-0008-0000-0400-0000A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3" name="Picture 6" descr="España">
          <a:hlinkClick xmlns:r="http://schemas.openxmlformats.org/officeDocument/2006/relationships" r:id="rId90"/>
          <a:extLst>
            <a:ext uri="{FF2B5EF4-FFF2-40B4-BE49-F238E27FC236}">
              <a16:creationId xmlns:a16="http://schemas.microsoft.com/office/drawing/2014/main" id="{00000000-0008-0000-0400-0000A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4" name="Picture 8" descr="Česká republika">
          <a:hlinkClick xmlns:r="http://schemas.openxmlformats.org/officeDocument/2006/relationships" r:id="rId92"/>
          <a:extLst>
            <a:ext uri="{FF2B5EF4-FFF2-40B4-BE49-F238E27FC236}">
              <a16:creationId xmlns:a16="http://schemas.microsoft.com/office/drawing/2014/main" id="{00000000-0008-0000-0400-0000A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5" name="Picture 9" descr="Sverige">
          <a:hlinkClick xmlns:r="http://schemas.openxmlformats.org/officeDocument/2006/relationships" r:id="rId93"/>
          <a:extLst>
            <a:ext uri="{FF2B5EF4-FFF2-40B4-BE49-F238E27FC236}">
              <a16:creationId xmlns:a16="http://schemas.microsoft.com/office/drawing/2014/main" id="{00000000-0008-0000-0400-0000A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6" name="Picture 11" descr="Suomi">
          <a:hlinkClick xmlns:r="http://schemas.openxmlformats.org/officeDocument/2006/relationships" r:id="rId94"/>
          <a:extLst>
            <a:ext uri="{FF2B5EF4-FFF2-40B4-BE49-F238E27FC236}">
              <a16:creationId xmlns:a16="http://schemas.microsoft.com/office/drawing/2014/main" id="{00000000-0008-0000-0400-0000A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7" name="Picture 12" descr="España">
          <a:hlinkClick xmlns:r="http://schemas.openxmlformats.org/officeDocument/2006/relationships" r:id="rId90"/>
          <a:extLst>
            <a:ext uri="{FF2B5EF4-FFF2-40B4-BE49-F238E27FC236}">
              <a16:creationId xmlns:a16="http://schemas.microsoft.com/office/drawing/2014/main" id="{00000000-0008-0000-0400-0000A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8" name="Picture 13" descr="Nederland">
          <a:hlinkClick xmlns:r="http://schemas.openxmlformats.org/officeDocument/2006/relationships" r:id="rId95"/>
          <a:extLst>
            <a:ext uri="{FF2B5EF4-FFF2-40B4-BE49-F238E27FC236}">
              <a16:creationId xmlns:a16="http://schemas.microsoft.com/office/drawing/2014/main" id="{00000000-0008-0000-0400-0000A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9" name="Picture 14" descr="Italia">
          <a:hlinkClick xmlns:r="http://schemas.openxmlformats.org/officeDocument/2006/relationships" r:id="rId96"/>
          <a:extLst>
            <a:ext uri="{FF2B5EF4-FFF2-40B4-BE49-F238E27FC236}">
              <a16:creationId xmlns:a16="http://schemas.microsoft.com/office/drawing/2014/main" id="{00000000-0008-0000-0400-0000A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0" name="Picture 16" descr="España">
          <a:hlinkClick xmlns:r="http://schemas.openxmlformats.org/officeDocument/2006/relationships" r:id="rId90"/>
          <a:extLst>
            <a:ext uri="{FF2B5EF4-FFF2-40B4-BE49-F238E27FC236}">
              <a16:creationId xmlns:a16="http://schemas.microsoft.com/office/drawing/2014/main" id="{00000000-0008-0000-0400-0000A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1" name="Picture 18" descr="France">
          <a:hlinkClick xmlns:r="http://schemas.openxmlformats.org/officeDocument/2006/relationships" r:id="rId97"/>
          <a:extLst>
            <a:ext uri="{FF2B5EF4-FFF2-40B4-BE49-F238E27FC236}">
              <a16:creationId xmlns:a16="http://schemas.microsoft.com/office/drawing/2014/main" id="{00000000-0008-0000-0400-0000A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2" name="Picture 19" descr="France">
          <a:hlinkClick xmlns:r="http://schemas.openxmlformats.org/officeDocument/2006/relationships" r:id="rId97"/>
          <a:extLst>
            <a:ext uri="{FF2B5EF4-FFF2-40B4-BE49-F238E27FC236}">
              <a16:creationId xmlns:a16="http://schemas.microsoft.com/office/drawing/2014/main" id="{00000000-0008-0000-0400-0000A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3" name="Picture 21" descr="Argentina">
          <a:hlinkClick xmlns:r="http://schemas.openxmlformats.org/officeDocument/2006/relationships" r:id="rId98"/>
          <a:extLst>
            <a:ext uri="{FF2B5EF4-FFF2-40B4-BE49-F238E27FC236}">
              <a16:creationId xmlns:a16="http://schemas.microsoft.com/office/drawing/2014/main" id="{00000000-0008-0000-0400-0000A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4" name="Picture 23" descr="España">
          <a:hlinkClick xmlns:r="http://schemas.openxmlformats.org/officeDocument/2006/relationships" r:id="rId90"/>
          <a:extLst>
            <a:ext uri="{FF2B5EF4-FFF2-40B4-BE49-F238E27FC236}">
              <a16:creationId xmlns:a16="http://schemas.microsoft.com/office/drawing/2014/main" id="{00000000-0008-0000-0400-0000A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5" name="Picture 25" descr="Lubnan">
          <a:hlinkClick xmlns:r="http://schemas.openxmlformats.org/officeDocument/2006/relationships" r:id="rId99"/>
          <a:extLst>
            <a:ext uri="{FF2B5EF4-FFF2-40B4-BE49-F238E27FC236}">
              <a16:creationId xmlns:a16="http://schemas.microsoft.com/office/drawing/2014/main" id="{00000000-0008-0000-0400-0000A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6" name="Picture 27" descr="Magyarország">
          <a:hlinkClick xmlns:r="http://schemas.openxmlformats.org/officeDocument/2006/relationships" r:id="rId100"/>
          <a:extLst>
            <a:ext uri="{FF2B5EF4-FFF2-40B4-BE49-F238E27FC236}">
              <a16:creationId xmlns:a16="http://schemas.microsoft.com/office/drawing/2014/main" id="{00000000-0008-0000-0400-0000B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7" name="Picture 29" descr="Uruguay">
          <a:hlinkClick xmlns:r="http://schemas.openxmlformats.org/officeDocument/2006/relationships" r:id="rId101"/>
          <a:extLst>
            <a:ext uri="{FF2B5EF4-FFF2-40B4-BE49-F238E27FC236}">
              <a16:creationId xmlns:a16="http://schemas.microsoft.com/office/drawing/2014/main" id="{00000000-0008-0000-0400-0000B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8" name="Picture 30" descr="Italia">
          <a:hlinkClick xmlns:r="http://schemas.openxmlformats.org/officeDocument/2006/relationships" r:id="rId96"/>
          <a:extLst>
            <a:ext uri="{FF2B5EF4-FFF2-40B4-BE49-F238E27FC236}">
              <a16:creationId xmlns:a16="http://schemas.microsoft.com/office/drawing/2014/main" id="{00000000-0008-0000-0400-0000B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9" name="Picture 31" descr="Nederland">
          <a:hlinkClick xmlns:r="http://schemas.openxmlformats.org/officeDocument/2006/relationships" r:id="rId95"/>
          <a:extLst>
            <a:ext uri="{FF2B5EF4-FFF2-40B4-BE49-F238E27FC236}">
              <a16:creationId xmlns:a16="http://schemas.microsoft.com/office/drawing/2014/main" id="{00000000-0008-0000-0400-0000B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0" name="Picture 32" descr="Italia">
          <a:hlinkClick xmlns:r="http://schemas.openxmlformats.org/officeDocument/2006/relationships" r:id="rId96"/>
          <a:extLst>
            <a:ext uri="{FF2B5EF4-FFF2-40B4-BE49-F238E27FC236}">
              <a16:creationId xmlns:a16="http://schemas.microsoft.com/office/drawing/2014/main" id="{00000000-0008-0000-0400-0000B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1" name="Picture 34" descr="Deutschland">
          <a:hlinkClick xmlns:r="http://schemas.openxmlformats.org/officeDocument/2006/relationships" r:id="rId102"/>
          <a:extLst>
            <a:ext uri="{FF2B5EF4-FFF2-40B4-BE49-F238E27FC236}">
              <a16:creationId xmlns:a16="http://schemas.microsoft.com/office/drawing/2014/main" id="{00000000-0008-0000-0400-0000B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2" name="Picture 36" descr="Israel">
          <a:hlinkClick xmlns:r="http://schemas.openxmlformats.org/officeDocument/2006/relationships" r:id="rId103"/>
          <a:extLst>
            <a:ext uri="{FF2B5EF4-FFF2-40B4-BE49-F238E27FC236}">
              <a16:creationId xmlns:a16="http://schemas.microsoft.com/office/drawing/2014/main" id="{00000000-0008-0000-0400-0000B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3" name="Picture 37" descr="Slovensko">
          <a:hlinkClick xmlns:r="http://schemas.openxmlformats.org/officeDocument/2006/relationships" r:id="rId104"/>
          <a:extLst>
            <a:ext uri="{FF2B5EF4-FFF2-40B4-BE49-F238E27FC236}">
              <a16:creationId xmlns:a16="http://schemas.microsoft.com/office/drawing/2014/main" id="{00000000-0008-0000-0400-0000B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4" name="Picture 2" descr="España">
          <a:hlinkClick xmlns:r="http://schemas.openxmlformats.org/officeDocument/2006/relationships" r:id="rId90"/>
          <a:extLst>
            <a:ext uri="{FF2B5EF4-FFF2-40B4-BE49-F238E27FC236}">
              <a16:creationId xmlns:a16="http://schemas.microsoft.com/office/drawing/2014/main" id="{00000000-0008-0000-0400-0000B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5" name="Picture 3" descr="USA">
          <a:hlinkClick xmlns:r="http://schemas.openxmlformats.org/officeDocument/2006/relationships" r:id="rId91"/>
          <a:extLst>
            <a:ext uri="{FF2B5EF4-FFF2-40B4-BE49-F238E27FC236}">
              <a16:creationId xmlns:a16="http://schemas.microsoft.com/office/drawing/2014/main" id="{00000000-0008-0000-0400-0000B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6" name="Picture 5" descr="España">
          <a:hlinkClick xmlns:r="http://schemas.openxmlformats.org/officeDocument/2006/relationships" r:id="rId90"/>
          <a:extLst>
            <a:ext uri="{FF2B5EF4-FFF2-40B4-BE49-F238E27FC236}">
              <a16:creationId xmlns:a16="http://schemas.microsoft.com/office/drawing/2014/main" id="{00000000-0008-0000-0400-0000B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7" name="Picture 6" descr="España">
          <a:hlinkClick xmlns:r="http://schemas.openxmlformats.org/officeDocument/2006/relationships" r:id="rId90"/>
          <a:extLst>
            <a:ext uri="{FF2B5EF4-FFF2-40B4-BE49-F238E27FC236}">
              <a16:creationId xmlns:a16="http://schemas.microsoft.com/office/drawing/2014/main" id="{00000000-0008-0000-0400-0000B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8" name="Picture 8" descr="Česká republika">
          <a:hlinkClick xmlns:r="http://schemas.openxmlformats.org/officeDocument/2006/relationships" r:id="rId92"/>
          <a:extLst>
            <a:ext uri="{FF2B5EF4-FFF2-40B4-BE49-F238E27FC236}">
              <a16:creationId xmlns:a16="http://schemas.microsoft.com/office/drawing/2014/main" id="{00000000-0008-0000-0400-0000B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9" name="Picture 9" descr="Sverige">
          <a:hlinkClick xmlns:r="http://schemas.openxmlformats.org/officeDocument/2006/relationships" r:id="rId93"/>
          <a:extLst>
            <a:ext uri="{FF2B5EF4-FFF2-40B4-BE49-F238E27FC236}">
              <a16:creationId xmlns:a16="http://schemas.microsoft.com/office/drawing/2014/main" id="{00000000-0008-0000-0400-0000B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0" name="Picture 11" descr="Suomi">
          <a:hlinkClick xmlns:r="http://schemas.openxmlformats.org/officeDocument/2006/relationships" r:id="rId94"/>
          <a:extLst>
            <a:ext uri="{FF2B5EF4-FFF2-40B4-BE49-F238E27FC236}">
              <a16:creationId xmlns:a16="http://schemas.microsoft.com/office/drawing/2014/main" id="{00000000-0008-0000-0400-0000B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1" name="Picture 12" descr="España">
          <a:hlinkClick xmlns:r="http://schemas.openxmlformats.org/officeDocument/2006/relationships" r:id="rId90"/>
          <a:extLst>
            <a:ext uri="{FF2B5EF4-FFF2-40B4-BE49-F238E27FC236}">
              <a16:creationId xmlns:a16="http://schemas.microsoft.com/office/drawing/2014/main" id="{00000000-0008-0000-0400-0000B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2" name="Picture 13" descr="Nederland">
          <a:hlinkClick xmlns:r="http://schemas.openxmlformats.org/officeDocument/2006/relationships" r:id="rId95"/>
          <a:extLst>
            <a:ext uri="{FF2B5EF4-FFF2-40B4-BE49-F238E27FC236}">
              <a16:creationId xmlns:a16="http://schemas.microsoft.com/office/drawing/2014/main" id="{00000000-0008-0000-0400-0000C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3" name="Picture 14" descr="Italia">
          <a:hlinkClick xmlns:r="http://schemas.openxmlformats.org/officeDocument/2006/relationships" r:id="rId96"/>
          <a:extLst>
            <a:ext uri="{FF2B5EF4-FFF2-40B4-BE49-F238E27FC236}">
              <a16:creationId xmlns:a16="http://schemas.microsoft.com/office/drawing/2014/main" id="{00000000-0008-0000-0400-0000C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4" name="Picture 16" descr="España">
          <a:hlinkClick xmlns:r="http://schemas.openxmlformats.org/officeDocument/2006/relationships" r:id="rId90"/>
          <a:extLst>
            <a:ext uri="{FF2B5EF4-FFF2-40B4-BE49-F238E27FC236}">
              <a16:creationId xmlns:a16="http://schemas.microsoft.com/office/drawing/2014/main" id="{00000000-0008-0000-0400-0000C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5" name="Picture 18" descr="France">
          <a:hlinkClick xmlns:r="http://schemas.openxmlformats.org/officeDocument/2006/relationships" r:id="rId97"/>
          <a:extLst>
            <a:ext uri="{FF2B5EF4-FFF2-40B4-BE49-F238E27FC236}">
              <a16:creationId xmlns:a16="http://schemas.microsoft.com/office/drawing/2014/main" id="{00000000-0008-0000-0400-0000C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6" name="Picture 19" descr="France">
          <a:hlinkClick xmlns:r="http://schemas.openxmlformats.org/officeDocument/2006/relationships" r:id="rId97"/>
          <a:extLst>
            <a:ext uri="{FF2B5EF4-FFF2-40B4-BE49-F238E27FC236}">
              <a16:creationId xmlns:a16="http://schemas.microsoft.com/office/drawing/2014/main" id="{00000000-0008-0000-0400-0000C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7" name="Picture 21" descr="Argentina">
          <a:hlinkClick xmlns:r="http://schemas.openxmlformats.org/officeDocument/2006/relationships" r:id="rId98"/>
          <a:extLst>
            <a:ext uri="{FF2B5EF4-FFF2-40B4-BE49-F238E27FC236}">
              <a16:creationId xmlns:a16="http://schemas.microsoft.com/office/drawing/2014/main" id="{00000000-0008-0000-0400-0000C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8" name="Picture 23" descr="España">
          <a:hlinkClick xmlns:r="http://schemas.openxmlformats.org/officeDocument/2006/relationships" r:id="rId90"/>
          <a:extLst>
            <a:ext uri="{FF2B5EF4-FFF2-40B4-BE49-F238E27FC236}">
              <a16:creationId xmlns:a16="http://schemas.microsoft.com/office/drawing/2014/main" id="{00000000-0008-0000-0400-0000C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9" name="Picture 25" descr="Lubnan">
          <a:hlinkClick xmlns:r="http://schemas.openxmlformats.org/officeDocument/2006/relationships" r:id="rId99"/>
          <a:extLst>
            <a:ext uri="{FF2B5EF4-FFF2-40B4-BE49-F238E27FC236}">
              <a16:creationId xmlns:a16="http://schemas.microsoft.com/office/drawing/2014/main" id="{00000000-0008-0000-0400-0000C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0" name="Picture 27" descr="Magyarország">
          <a:hlinkClick xmlns:r="http://schemas.openxmlformats.org/officeDocument/2006/relationships" r:id="rId100"/>
          <a:extLst>
            <a:ext uri="{FF2B5EF4-FFF2-40B4-BE49-F238E27FC236}">
              <a16:creationId xmlns:a16="http://schemas.microsoft.com/office/drawing/2014/main" id="{00000000-0008-0000-0400-0000C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1" name="Picture 29" descr="Uruguay">
          <a:hlinkClick xmlns:r="http://schemas.openxmlformats.org/officeDocument/2006/relationships" r:id="rId101"/>
          <a:extLst>
            <a:ext uri="{FF2B5EF4-FFF2-40B4-BE49-F238E27FC236}">
              <a16:creationId xmlns:a16="http://schemas.microsoft.com/office/drawing/2014/main" id="{00000000-0008-0000-0400-0000C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2" name="Picture 30" descr="Italia">
          <a:hlinkClick xmlns:r="http://schemas.openxmlformats.org/officeDocument/2006/relationships" r:id="rId96"/>
          <a:extLst>
            <a:ext uri="{FF2B5EF4-FFF2-40B4-BE49-F238E27FC236}">
              <a16:creationId xmlns:a16="http://schemas.microsoft.com/office/drawing/2014/main" id="{00000000-0008-0000-0400-0000C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3" name="Picture 31" descr="Nederland">
          <a:hlinkClick xmlns:r="http://schemas.openxmlformats.org/officeDocument/2006/relationships" r:id="rId95"/>
          <a:extLst>
            <a:ext uri="{FF2B5EF4-FFF2-40B4-BE49-F238E27FC236}">
              <a16:creationId xmlns:a16="http://schemas.microsoft.com/office/drawing/2014/main" id="{00000000-0008-0000-0400-0000C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4" name="Picture 32" descr="Italia">
          <a:hlinkClick xmlns:r="http://schemas.openxmlformats.org/officeDocument/2006/relationships" r:id="rId96"/>
          <a:extLst>
            <a:ext uri="{FF2B5EF4-FFF2-40B4-BE49-F238E27FC236}">
              <a16:creationId xmlns:a16="http://schemas.microsoft.com/office/drawing/2014/main" id="{00000000-0008-0000-0400-0000C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5" name="Picture 34" descr="Deutschland">
          <a:hlinkClick xmlns:r="http://schemas.openxmlformats.org/officeDocument/2006/relationships" r:id="rId102"/>
          <a:extLst>
            <a:ext uri="{FF2B5EF4-FFF2-40B4-BE49-F238E27FC236}">
              <a16:creationId xmlns:a16="http://schemas.microsoft.com/office/drawing/2014/main" id="{00000000-0008-0000-0400-0000C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6" name="Picture 36" descr="Israel">
          <a:hlinkClick xmlns:r="http://schemas.openxmlformats.org/officeDocument/2006/relationships" r:id="rId103"/>
          <a:extLst>
            <a:ext uri="{FF2B5EF4-FFF2-40B4-BE49-F238E27FC236}">
              <a16:creationId xmlns:a16="http://schemas.microsoft.com/office/drawing/2014/main" id="{00000000-0008-0000-0400-0000C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7" name="Picture 37" descr="Slovensko">
          <a:hlinkClick xmlns:r="http://schemas.openxmlformats.org/officeDocument/2006/relationships" r:id="rId104"/>
          <a:extLst>
            <a:ext uri="{FF2B5EF4-FFF2-40B4-BE49-F238E27FC236}">
              <a16:creationId xmlns:a16="http://schemas.microsoft.com/office/drawing/2014/main" id="{00000000-0008-0000-0400-0000C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8" name="Picture 2" descr="España">
          <a:hlinkClick xmlns:r="http://schemas.openxmlformats.org/officeDocument/2006/relationships" r:id="rId90"/>
          <a:extLst>
            <a:ext uri="{FF2B5EF4-FFF2-40B4-BE49-F238E27FC236}">
              <a16:creationId xmlns:a16="http://schemas.microsoft.com/office/drawing/2014/main" id="{00000000-0008-0000-0400-0000D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9" name="Picture 3" descr="USA">
          <a:hlinkClick xmlns:r="http://schemas.openxmlformats.org/officeDocument/2006/relationships" r:id="rId91"/>
          <a:extLst>
            <a:ext uri="{FF2B5EF4-FFF2-40B4-BE49-F238E27FC236}">
              <a16:creationId xmlns:a16="http://schemas.microsoft.com/office/drawing/2014/main" id="{00000000-0008-0000-0400-0000D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0" name="Picture 5" descr="España">
          <a:hlinkClick xmlns:r="http://schemas.openxmlformats.org/officeDocument/2006/relationships" r:id="rId90"/>
          <a:extLst>
            <a:ext uri="{FF2B5EF4-FFF2-40B4-BE49-F238E27FC236}">
              <a16:creationId xmlns:a16="http://schemas.microsoft.com/office/drawing/2014/main" id="{00000000-0008-0000-0400-0000D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1" name="Picture 6" descr="España">
          <a:hlinkClick xmlns:r="http://schemas.openxmlformats.org/officeDocument/2006/relationships" r:id="rId90"/>
          <a:extLst>
            <a:ext uri="{FF2B5EF4-FFF2-40B4-BE49-F238E27FC236}">
              <a16:creationId xmlns:a16="http://schemas.microsoft.com/office/drawing/2014/main" id="{00000000-0008-0000-0400-0000D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2" name="Picture 8" descr="Česká republika">
          <a:hlinkClick xmlns:r="http://schemas.openxmlformats.org/officeDocument/2006/relationships" r:id="rId92"/>
          <a:extLst>
            <a:ext uri="{FF2B5EF4-FFF2-40B4-BE49-F238E27FC236}">
              <a16:creationId xmlns:a16="http://schemas.microsoft.com/office/drawing/2014/main" id="{00000000-0008-0000-0400-0000D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3" name="Picture 9" descr="Sverige">
          <a:hlinkClick xmlns:r="http://schemas.openxmlformats.org/officeDocument/2006/relationships" r:id="rId93"/>
          <a:extLst>
            <a:ext uri="{FF2B5EF4-FFF2-40B4-BE49-F238E27FC236}">
              <a16:creationId xmlns:a16="http://schemas.microsoft.com/office/drawing/2014/main" id="{00000000-0008-0000-0400-0000D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4" name="Picture 11" descr="Suomi">
          <a:hlinkClick xmlns:r="http://schemas.openxmlformats.org/officeDocument/2006/relationships" r:id="rId94"/>
          <a:extLst>
            <a:ext uri="{FF2B5EF4-FFF2-40B4-BE49-F238E27FC236}">
              <a16:creationId xmlns:a16="http://schemas.microsoft.com/office/drawing/2014/main" id="{00000000-0008-0000-0400-0000D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5" name="Picture 12" descr="España">
          <a:hlinkClick xmlns:r="http://schemas.openxmlformats.org/officeDocument/2006/relationships" r:id="rId90"/>
          <a:extLst>
            <a:ext uri="{FF2B5EF4-FFF2-40B4-BE49-F238E27FC236}">
              <a16:creationId xmlns:a16="http://schemas.microsoft.com/office/drawing/2014/main" id="{00000000-0008-0000-0400-0000D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6" name="Picture 13" descr="Nederland">
          <a:hlinkClick xmlns:r="http://schemas.openxmlformats.org/officeDocument/2006/relationships" r:id="rId95"/>
          <a:extLst>
            <a:ext uri="{FF2B5EF4-FFF2-40B4-BE49-F238E27FC236}">
              <a16:creationId xmlns:a16="http://schemas.microsoft.com/office/drawing/2014/main" id="{00000000-0008-0000-0400-0000D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7" name="Picture 14" descr="Italia">
          <a:hlinkClick xmlns:r="http://schemas.openxmlformats.org/officeDocument/2006/relationships" r:id="rId96"/>
          <a:extLst>
            <a:ext uri="{FF2B5EF4-FFF2-40B4-BE49-F238E27FC236}">
              <a16:creationId xmlns:a16="http://schemas.microsoft.com/office/drawing/2014/main" id="{00000000-0008-0000-0400-0000D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8" name="Picture 16" descr="España">
          <a:hlinkClick xmlns:r="http://schemas.openxmlformats.org/officeDocument/2006/relationships" r:id="rId90"/>
          <a:extLst>
            <a:ext uri="{FF2B5EF4-FFF2-40B4-BE49-F238E27FC236}">
              <a16:creationId xmlns:a16="http://schemas.microsoft.com/office/drawing/2014/main" id="{00000000-0008-0000-0400-0000D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9" name="Picture 18" descr="France">
          <a:hlinkClick xmlns:r="http://schemas.openxmlformats.org/officeDocument/2006/relationships" r:id="rId97"/>
          <a:extLst>
            <a:ext uri="{FF2B5EF4-FFF2-40B4-BE49-F238E27FC236}">
              <a16:creationId xmlns:a16="http://schemas.microsoft.com/office/drawing/2014/main" id="{00000000-0008-0000-0400-0000D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0" name="Picture 19" descr="France">
          <a:hlinkClick xmlns:r="http://schemas.openxmlformats.org/officeDocument/2006/relationships" r:id="rId97"/>
          <a:extLst>
            <a:ext uri="{FF2B5EF4-FFF2-40B4-BE49-F238E27FC236}">
              <a16:creationId xmlns:a16="http://schemas.microsoft.com/office/drawing/2014/main" id="{00000000-0008-0000-0400-0000D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1" name="Picture 21" descr="Argentina">
          <a:hlinkClick xmlns:r="http://schemas.openxmlformats.org/officeDocument/2006/relationships" r:id="rId98"/>
          <a:extLst>
            <a:ext uri="{FF2B5EF4-FFF2-40B4-BE49-F238E27FC236}">
              <a16:creationId xmlns:a16="http://schemas.microsoft.com/office/drawing/2014/main" id="{00000000-0008-0000-0400-0000D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2" name="Picture 23" descr="España">
          <a:hlinkClick xmlns:r="http://schemas.openxmlformats.org/officeDocument/2006/relationships" r:id="rId90"/>
          <a:extLst>
            <a:ext uri="{FF2B5EF4-FFF2-40B4-BE49-F238E27FC236}">
              <a16:creationId xmlns:a16="http://schemas.microsoft.com/office/drawing/2014/main" id="{00000000-0008-0000-0400-0000D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3" name="Picture 25" descr="Lubnan">
          <a:hlinkClick xmlns:r="http://schemas.openxmlformats.org/officeDocument/2006/relationships" r:id="rId99"/>
          <a:extLst>
            <a:ext uri="{FF2B5EF4-FFF2-40B4-BE49-F238E27FC236}">
              <a16:creationId xmlns:a16="http://schemas.microsoft.com/office/drawing/2014/main" id="{00000000-0008-0000-0400-0000D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4" name="Picture 27" descr="Magyarország">
          <a:hlinkClick xmlns:r="http://schemas.openxmlformats.org/officeDocument/2006/relationships" r:id="rId100"/>
          <a:extLst>
            <a:ext uri="{FF2B5EF4-FFF2-40B4-BE49-F238E27FC236}">
              <a16:creationId xmlns:a16="http://schemas.microsoft.com/office/drawing/2014/main" id="{00000000-0008-0000-0400-0000E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5" name="Picture 29" descr="Uruguay">
          <a:hlinkClick xmlns:r="http://schemas.openxmlformats.org/officeDocument/2006/relationships" r:id="rId101"/>
          <a:extLst>
            <a:ext uri="{FF2B5EF4-FFF2-40B4-BE49-F238E27FC236}">
              <a16:creationId xmlns:a16="http://schemas.microsoft.com/office/drawing/2014/main" id="{00000000-0008-0000-0400-0000E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6" name="Picture 30" descr="Italia">
          <a:hlinkClick xmlns:r="http://schemas.openxmlformats.org/officeDocument/2006/relationships" r:id="rId96"/>
          <a:extLst>
            <a:ext uri="{FF2B5EF4-FFF2-40B4-BE49-F238E27FC236}">
              <a16:creationId xmlns:a16="http://schemas.microsoft.com/office/drawing/2014/main" id="{00000000-0008-0000-0400-0000E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7" name="Picture 31" descr="Nederland">
          <a:hlinkClick xmlns:r="http://schemas.openxmlformats.org/officeDocument/2006/relationships" r:id="rId95"/>
          <a:extLst>
            <a:ext uri="{FF2B5EF4-FFF2-40B4-BE49-F238E27FC236}">
              <a16:creationId xmlns:a16="http://schemas.microsoft.com/office/drawing/2014/main" id="{00000000-0008-0000-0400-0000E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8" name="Picture 32" descr="Italia">
          <a:hlinkClick xmlns:r="http://schemas.openxmlformats.org/officeDocument/2006/relationships" r:id="rId96"/>
          <a:extLst>
            <a:ext uri="{FF2B5EF4-FFF2-40B4-BE49-F238E27FC236}">
              <a16:creationId xmlns:a16="http://schemas.microsoft.com/office/drawing/2014/main" id="{00000000-0008-0000-0400-0000E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9" name="Picture 34" descr="Deutschland">
          <a:hlinkClick xmlns:r="http://schemas.openxmlformats.org/officeDocument/2006/relationships" r:id="rId102"/>
          <a:extLst>
            <a:ext uri="{FF2B5EF4-FFF2-40B4-BE49-F238E27FC236}">
              <a16:creationId xmlns:a16="http://schemas.microsoft.com/office/drawing/2014/main" id="{00000000-0008-0000-0400-0000E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0" name="Picture 36" descr="Israel">
          <a:hlinkClick xmlns:r="http://schemas.openxmlformats.org/officeDocument/2006/relationships" r:id="rId103"/>
          <a:extLst>
            <a:ext uri="{FF2B5EF4-FFF2-40B4-BE49-F238E27FC236}">
              <a16:creationId xmlns:a16="http://schemas.microsoft.com/office/drawing/2014/main" id="{00000000-0008-0000-0400-0000E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1" name="Picture 37" descr="Slovensko">
          <a:hlinkClick xmlns:r="http://schemas.openxmlformats.org/officeDocument/2006/relationships" r:id="rId104"/>
          <a:extLst>
            <a:ext uri="{FF2B5EF4-FFF2-40B4-BE49-F238E27FC236}">
              <a16:creationId xmlns:a16="http://schemas.microsoft.com/office/drawing/2014/main" id="{00000000-0008-0000-0400-0000E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2" name="Picture 2" descr="España">
          <a:hlinkClick xmlns:r="http://schemas.openxmlformats.org/officeDocument/2006/relationships" r:id="rId90"/>
          <a:extLst>
            <a:ext uri="{FF2B5EF4-FFF2-40B4-BE49-F238E27FC236}">
              <a16:creationId xmlns:a16="http://schemas.microsoft.com/office/drawing/2014/main" id="{00000000-0008-0000-0400-0000E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3" name="Picture 3" descr="USA">
          <a:hlinkClick xmlns:r="http://schemas.openxmlformats.org/officeDocument/2006/relationships" r:id="rId91"/>
          <a:extLst>
            <a:ext uri="{FF2B5EF4-FFF2-40B4-BE49-F238E27FC236}">
              <a16:creationId xmlns:a16="http://schemas.microsoft.com/office/drawing/2014/main" id="{00000000-0008-0000-0400-0000E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4" name="Picture 5" descr="España">
          <a:hlinkClick xmlns:r="http://schemas.openxmlformats.org/officeDocument/2006/relationships" r:id="rId90"/>
          <a:extLst>
            <a:ext uri="{FF2B5EF4-FFF2-40B4-BE49-F238E27FC236}">
              <a16:creationId xmlns:a16="http://schemas.microsoft.com/office/drawing/2014/main" id="{00000000-0008-0000-0400-0000E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5" name="Picture 6" descr="España">
          <a:hlinkClick xmlns:r="http://schemas.openxmlformats.org/officeDocument/2006/relationships" r:id="rId90"/>
          <a:extLst>
            <a:ext uri="{FF2B5EF4-FFF2-40B4-BE49-F238E27FC236}">
              <a16:creationId xmlns:a16="http://schemas.microsoft.com/office/drawing/2014/main" id="{00000000-0008-0000-0400-0000E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6" name="Picture 8" descr="Česká republika">
          <a:hlinkClick xmlns:r="http://schemas.openxmlformats.org/officeDocument/2006/relationships" r:id="rId92"/>
          <a:extLst>
            <a:ext uri="{FF2B5EF4-FFF2-40B4-BE49-F238E27FC236}">
              <a16:creationId xmlns:a16="http://schemas.microsoft.com/office/drawing/2014/main" id="{00000000-0008-0000-0400-0000E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7" name="Picture 9" descr="Sverige">
          <a:hlinkClick xmlns:r="http://schemas.openxmlformats.org/officeDocument/2006/relationships" r:id="rId93"/>
          <a:extLst>
            <a:ext uri="{FF2B5EF4-FFF2-40B4-BE49-F238E27FC236}">
              <a16:creationId xmlns:a16="http://schemas.microsoft.com/office/drawing/2014/main" id="{00000000-0008-0000-0400-0000E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8" name="Picture 11" descr="Suomi">
          <a:hlinkClick xmlns:r="http://schemas.openxmlformats.org/officeDocument/2006/relationships" r:id="rId94"/>
          <a:extLst>
            <a:ext uri="{FF2B5EF4-FFF2-40B4-BE49-F238E27FC236}">
              <a16:creationId xmlns:a16="http://schemas.microsoft.com/office/drawing/2014/main" id="{00000000-0008-0000-0400-0000E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9" name="Picture 12" descr="España">
          <a:hlinkClick xmlns:r="http://schemas.openxmlformats.org/officeDocument/2006/relationships" r:id="rId90"/>
          <a:extLst>
            <a:ext uri="{FF2B5EF4-FFF2-40B4-BE49-F238E27FC236}">
              <a16:creationId xmlns:a16="http://schemas.microsoft.com/office/drawing/2014/main" id="{00000000-0008-0000-0400-0000E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0" name="Picture 13" descr="Nederland">
          <a:hlinkClick xmlns:r="http://schemas.openxmlformats.org/officeDocument/2006/relationships" r:id="rId95"/>
          <a:extLst>
            <a:ext uri="{FF2B5EF4-FFF2-40B4-BE49-F238E27FC236}">
              <a16:creationId xmlns:a16="http://schemas.microsoft.com/office/drawing/2014/main" id="{00000000-0008-0000-0400-0000F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1" name="Picture 14" descr="Italia">
          <a:hlinkClick xmlns:r="http://schemas.openxmlformats.org/officeDocument/2006/relationships" r:id="rId96"/>
          <a:extLst>
            <a:ext uri="{FF2B5EF4-FFF2-40B4-BE49-F238E27FC236}">
              <a16:creationId xmlns:a16="http://schemas.microsoft.com/office/drawing/2014/main" id="{00000000-0008-0000-0400-0000F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2" name="Picture 16" descr="España">
          <a:hlinkClick xmlns:r="http://schemas.openxmlformats.org/officeDocument/2006/relationships" r:id="rId90"/>
          <a:extLst>
            <a:ext uri="{FF2B5EF4-FFF2-40B4-BE49-F238E27FC236}">
              <a16:creationId xmlns:a16="http://schemas.microsoft.com/office/drawing/2014/main" id="{00000000-0008-0000-0400-0000F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3" name="Picture 18" descr="France">
          <a:hlinkClick xmlns:r="http://schemas.openxmlformats.org/officeDocument/2006/relationships" r:id="rId97"/>
          <a:extLst>
            <a:ext uri="{FF2B5EF4-FFF2-40B4-BE49-F238E27FC236}">
              <a16:creationId xmlns:a16="http://schemas.microsoft.com/office/drawing/2014/main" id="{00000000-0008-0000-0400-0000F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4" name="Picture 19" descr="France">
          <a:hlinkClick xmlns:r="http://schemas.openxmlformats.org/officeDocument/2006/relationships" r:id="rId97"/>
          <a:extLst>
            <a:ext uri="{FF2B5EF4-FFF2-40B4-BE49-F238E27FC236}">
              <a16:creationId xmlns:a16="http://schemas.microsoft.com/office/drawing/2014/main" id="{00000000-0008-0000-0400-0000F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5" name="Picture 21" descr="Argentina">
          <a:hlinkClick xmlns:r="http://schemas.openxmlformats.org/officeDocument/2006/relationships" r:id="rId98"/>
          <a:extLst>
            <a:ext uri="{FF2B5EF4-FFF2-40B4-BE49-F238E27FC236}">
              <a16:creationId xmlns:a16="http://schemas.microsoft.com/office/drawing/2014/main" id="{00000000-0008-0000-0400-0000F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6" name="Picture 23" descr="España">
          <a:hlinkClick xmlns:r="http://schemas.openxmlformats.org/officeDocument/2006/relationships" r:id="rId90"/>
          <a:extLst>
            <a:ext uri="{FF2B5EF4-FFF2-40B4-BE49-F238E27FC236}">
              <a16:creationId xmlns:a16="http://schemas.microsoft.com/office/drawing/2014/main" id="{00000000-0008-0000-0400-0000F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7" name="Picture 25" descr="Lubnan">
          <a:hlinkClick xmlns:r="http://schemas.openxmlformats.org/officeDocument/2006/relationships" r:id="rId99"/>
          <a:extLst>
            <a:ext uri="{FF2B5EF4-FFF2-40B4-BE49-F238E27FC236}">
              <a16:creationId xmlns:a16="http://schemas.microsoft.com/office/drawing/2014/main" id="{00000000-0008-0000-0400-0000F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8" name="Picture 27" descr="Magyarország">
          <a:hlinkClick xmlns:r="http://schemas.openxmlformats.org/officeDocument/2006/relationships" r:id="rId100"/>
          <a:extLst>
            <a:ext uri="{FF2B5EF4-FFF2-40B4-BE49-F238E27FC236}">
              <a16:creationId xmlns:a16="http://schemas.microsoft.com/office/drawing/2014/main" id="{00000000-0008-0000-0400-0000F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9" name="Picture 29" descr="Uruguay">
          <a:hlinkClick xmlns:r="http://schemas.openxmlformats.org/officeDocument/2006/relationships" r:id="rId101"/>
          <a:extLst>
            <a:ext uri="{FF2B5EF4-FFF2-40B4-BE49-F238E27FC236}">
              <a16:creationId xmlns:a16="http://schemas.microsoft.com/office/drawing/2014/main" id="{00000000-0008-0000-0400-0000F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0" name="Picture 30" descr="Italia">
          <a:hlinkClick xmlns:r="http://schemas.openxmlformats.org/officeDocument/2006/relationships" r:id="rId96"/>
          <a:extLst>
            <a:ext uri="{FF2B5EF4-FFF2-40B4-BE49-F238E27FC236}">
              <a16:creationId xmlns:a16="http://schemas.microsoft.com/office/drawing/2014/main" id="{00000000-0008-0000-0400-0000F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1" name="Picture 31" descr="Nederland">
          <a:hlinkClick xmlns:r="http://schemas.openxmlformats.org/officeDocument/2006/relationships" r:id="rId95"/>
          <a:extLst>
            <a:ext uri="{FF2B5EF4-FFF2-40B4-BE49-F238E27FC236}">
              <a16:creationId xmlns:a16="http://schemas.microsoft.com/office/drawing/2014/main" id="{00000000-0008-0000-0400-0000F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2" name="Picture 32" descr="Italia">
          <a:hlinkClick xmlns:r="http://schemas.openxmlformats.org/officeDocument/2006/relationships" r:id="rId96"/>
          <a:extLst>
            <a:ext uri="{FF2B5EF4-FFF2-40B4-BE49-F238E27FC236}">
              <a16:creationId xmlns:a16="http://schemas.microsoft.com/office/drawing/2014/main" id="{00000000-0008-0000-0400-0000F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3" name="Picture 34" descr="Deutschland">
          <a:hlinkClick xmlns:r="http://schemas.openxmlformats.org/officeDocument/2006/relationships" r:id="rId102"/>
          <a:extLst>
            <a:ext uri="{FF2B5EF4-FFF2-40B4-BE49-F238E27FC236}">
              <a16:creationId xmlns:a16="http://schemas.microsoft.com/office/drawing/2014/main" id="{00000000-0008-0000-0400-0000F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4" name="Picture 36" descr="Israel">
          <a:hlinkClick xmlns:r="http://schemas.openxmlformats.org/officeDocument/2006/relationships" r:id="rId103"/>
          <a:extLst>
            <a:ext uri="{FF2B5EF4-FFF2-40B4-BE49-F238E27FC236}">
              <a16:creationId xmlns:a16="http://schemas.microsoft.com/office/drawing/2014/main" id="{00000000-0008-0000-0400-0000F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5" name="Picture 37" descr="Slovensko">
          <a:hlinkClick xmlns:r="http://schemas.openxmlformats.org/officeDocument/2006/relationships" r:id="rId104"/>
          <a:extLst>
            <a:ext uri="{FF2B5EF4-FFF2-40B4-BE49-F238E27FC236}">
              <a16:creationId xmlns:a16="http://schemas.microsoft.com/office/drawing/2014/main" id="{00000000-0008-0000-0400-0000F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6" name="Picture 2" descr="España">
          <a:hlinkClick xmlns:r="http://schemas.openxmlformats.org/officeDocument/2006/relationships" r:id="rId90"/>
          <a:extLst>
            <a:ext uri="{FF2B5EF4-FFF2-40B4-BE49-F238E27FC236}">
              <a16:creationId xmlns:a16="http://schemas.microsoft.com/office/drawing/2014/main" id="{00000000-0008-0000-0400-00000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7" name="Picture 3" descr="USA">
          <a:hlinkClick xmlns:r="http://schemas.openxmlformats.org/officeDocument/2006/relationships" r:id="rId91"/>
          <a:extLst>
            <a:ext uri="{FF2B5EF4-FFF2-40B4-BE49-F238E27FC236}">
              <a16:creationId xmlns:a16="http://schemas.microsoft.com/office/drawing/2014/main" id="{00000000-0008-0000-0400-00000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8" name="Picture 5" descr="España">
          <a:hlinkClick xmlns:r="http://schemas.openxmlformats.org/officeDocument/2006/relationships" r:id="rId90"/>
          <a:extLst>
            <a:ext uri="{FF2B5EF4-FFF2-40B4-BE49-F238E27FC236}">
              <a16:creationId xmlns:a16="http://schemas.microsoft.com/office/drawing/2014/main" id="{00000000-0008-0000-0400-00000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9" name="Picture 6" descr="España">
          <a:hlinkClick xmlns:r="http://schemas.openxmlformats.org/officeDocument/2006/relationships" r:id="rId90"/>
          <a:extLst>
            <a:ext uri="{FF2B5EF4-FFF2-40B4-BE49-F238E27FC236}">
              <a16:creationId xmlns:a16="http://schemas.microsoft.com/office/drawing/2014/main" id="{00000000-0008-0000-0400-00000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0" name="Picture 8" descr="Česká republika">
          <a:hlinkClick xmlns:r="http://schemas.openxmlformats.org/officeDocument/2006/relationships" r:id="rId92"/>
          <a:extLst>
            <a:ext uri="{FF2B5EF4-FFF2-40B4-BE49-F238E27FC236}">
              <a16:creationId xmlns:a16="http://schemas.microsoft.com/office/drawing/2014/main" id="{00000000-0008-0000-0400-00000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1" name="Picture 9" descr="Sverige">
          <a:hlinkClick xmlns:r="http://schemas.openxmlformats.org/officeDocument/2006/relationships" r:id="rId93"/>
          <a:extLst>
            <a:ext uri="{FF2B5EF4-FFF2-40B4-BE49-F238E27FC236}">
              <a16:creationId xmlns:a16="http://schemas.microsoft.com/office/drawing/2014/main" id="{00000000-0008-0000-0400-00000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2" name="Picture 11" descr="Suomi">
          <a:hlinkClick xmlns:r="http://schemas.openxmlformats.org/officeDocument/2006/relationships" r:id="rId94"/>
          <a:extLst>
            <a:ext uri="{FF2B5EF4-FFF2-40B4-BE49-F238E27FC236}">
              <a16:creationId xmlns:a16="http://schemas.microsoft.com/office/drawing/2014/main" id="{00000000-0008-0000-0400-00000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3" name="Picture 12" descr="España">
          <a:hlinkClick xmlns:r="http://schemas.openxmlformats.org/officeDocument/2006/relationships" r:id="rId90"/>
          <a:extLst>
            <a:ext uri="{FF2B5EF4-FFF2-40B4-BE49-F238E27FC236}">
              <a16:creationId xmlns:a16="http://schemas.microsoft.com/office/drawing/2014/main" id="{00000000-0008-0000-0400-00000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4" name="Picture 13" descr="Nederland">
          <a:hlinkClick xmlns:r="http://schemas.openxmlformats.org/officeDocument/2006/relationships" r:id="rId95"/>
          <a:extLst>
            <a:ext uri="{FF2B5EF4-FFF2-40B4-BE49-F238E27FC236}">
              <a16:creationId xmlns:a16="http://schemas.microsoft.com/office/drawing/2014/main" id="{00000000-0008-0000-0400-00000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5" name="Picture 14" descr="Italia">
          <a:hlinkClick xmlns:r="http://schemas.openxmlformats.org/officeDocument/2006/relationships" r:id="rId96"/>
          <a:extLst>
            <a:ext uri="{FF2B5EF4-FFF2-40B4-BE49-F238E27FC236}">
              <a16:creationId xmlns:a16="http://schemas.microsoft.com/office/drawing/2014/main" id="{00000000-0008-0000-0400-00000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6" name="Picture 16" descr="España">
          <a:hlinkClick xmlns:r="http://schemas.openxmlformats.org/officeDocument/2006/relationships" r:id="rId90"/>
          <a:extLst>
            <a:ext uri="{FF2B5EF4-FFF2-40B4-BE49-F238E27FC236}">
              <a16:creationId xmlns:a16="http://schemas.microsoft.com/office/drawing/2014/main" id="{00000000-0008-0000-0400-00000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7" name="Picture 18" descr="France">
          <a:hlinkClick xmlns:r="http://schemas.openxmlformats.org/officeDocument/2006/relationships" r:id="rId97"/>
          <a:extLst>
            <a:ext uri="{FF2B5EF4-FFF2-40B4-BE49-F238E27FC236}">
              <a16:creationId xmlns:a16="http://schemas.microsoft.com/office/drawing/2014/main" id="{00000000-0008-0000-0400-00000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8" name="Picture 19" descr="France">
          <a:hlinkClick xmlns:r="http://schemas.openxmlformats.org/officeDocument/2006/relationships" r:id="rId97"/>
          <a:extLst>
            <a:ext uri="{FF2B5EF4-FFF2-40B4-BE49-F238E27FC236}">
              <a16:creationId xmlns:a16="http://schemas.microsoft.com/office/drawing/2014/main" id="{00000000-0008-0000-0400-00000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9" name="Picture 21" descr="Argentina">
          <a:hlinkClick xmlns:r="http://schemas.openxmlformats.org/officeDocument/2006/relationships" r:id="rId98"/>
          <a:extLst>
            <a:ext uri="{FF2B5EF4-FFF2-40B4-BE49-F238E27FC236}">
              <a16:creationId xmlns:a16="http://schemas.microsoft.com/office/drawing/2014/main" id="{00000000-0008-0000-0400-00000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0" name="Picture 23" descr="España">
          <a:hlinkClick xmlns:r="http://schemas.openxmlformats.org/officeDocument/2006/relationships" r:id="rId90"/>
          <a:extLst>
            <a:ext uri="{FF2B5EF4-FFF2-40B4-BE49-F238E27FC236}">
              <a16:creationId xmlns:a16="http://schemas.microsoft.com/office/drawing/2014/main" id="{00000000-0008-0000-0400-00000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1" name="Picture 25" descr="Lubnan">
          <a:hlinkClick xmlns:r="http://schemas.openxmlformats.org/officeDocument/2006/relationships" r:id="rId99"/>
          <a:extLst>
            <a:ext uri="{FF2B5EF4-FFF2-40B4-BE49-F238E27FC236}">
              <a16:creationId xmlns:a16="http://schemas.microsoft.com/office/drawing/2014/main" id="{00000000-0008-0000-0400-00000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2" name="Picture 27" descr="Magyarország">
          <a:hlinkClick xmlns:r="http://schemas.openxmlformats.org/officeDocument/2006/relationships" r:id="rId100"/>
          <a:extLst>
            <a:ext uri="{FF2B5EF4-FFF2-40B4-BE49-F238E27FC236}">
              <a16:creationId xmlns:a16="http://schemas.microsoft.com/office/drawing/2014/main" id="{00000000-0008-0000-0400-00001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3" name="Picture 29" descr="Uruguay">
          <a:hlinkClick xmlns:r="http://schemas.openxmlformats.org/officeDocument/2006/relationships" r:id="rId101"/>
          <a:extLst>
            <a:ext uri="{FF2B5EF4-FFF2-40B4-BE49-F238E27FC236}">
              <a16:creationId xmlns:a16="http://schemas.microsoft.com/office/drawing/2014/main" id="{00000000-0008-0000-0400-00001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4" name="Picture 30" descr="Italia">
          <a:hlinkClick xmlns:r="http://schemas.openxmlformats.org/officeDocument/2006/relationships" r:id="rId96"/>
          <a:extLst>
            <a:ext uri="{FF2B5EF4-FFF2-40B4-BE49-F238E27FC236}">
              <a16:creationId xmlns:a16="http://schemas.microsoft.com/office/drawing/2014/main" id="{00000000-0008-0000-0400-00001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5" name="Picture 31" descr="Nederland">
          <a:hlinkClick xmlns:r="http://schemas.openxmlformats.org/officeDocument/2006/relationships" r:id="rId95"/>
          <a:extLst>
            <a:ext uri="{FF2B5EF4-FFF2-40B4-BE49-F238E27FC236}">
              <a16:creationId xmlns:a16="http://schemas.microsoft.com/office/drawing/2014/main" id="{00000000-0008-0000-0400-00001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6" name="Picture 32" descr="Italia">
          <a:hlinkClick xmlns:r="http://schemas.openxmlformats.org/officeDocument/2006/relationships" r:id="rId96"/>
          <a:extLst>
            <a:ext uri="{FF2B5EF4-FFF2-40B4-BE49-F238E27FC236}">
              <a16:creationId xmlns:a16="http://schemas.microsoft.com/office/drawing/2014/main" id="{00000000-0008-0000-0400-00001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7" name="Picture 34" descr="Deutschland">
          <a:hlinkClick xmlns:r="http://schemas.openxmlformats.org/officeDocument/2006/relationships" r:id="rId102"/>
          <a:extLst>
            <a:ext uri="{FF2B5EF4-FFF2-40B4-BE49-F238E27FC236}">
              <a16:creationId xmlns:a16="http://schemas.microsoft.com/office/drawing/2014/main" id="{00000000-0008-0000-0400-00001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8" name="Picture 36" descr="Israel">
          <a:hlinkClick xmlns:r="http://schemas.openxmlformats.org/officeDocument/2006/relationships" r:id="rId103"/>
          <a:extLst>
            <a:ext uri="{FF2B5EF4-FFF2-40B4-BE49-F238E27FC236}">
              <a16:creationId xmlns:a16="http://schemas.microsoft.com/office/drawing/2014/main" id="{00000000-0008-0000-0400-00001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9" name="Picture 37" descr="Slovensko">
          <a:hlinkClick xmlns:r="http://schemas.openxmlformats.org/officeDocument/2006/relationships" r:id="rId104"/>
          <a:extLst>
            <a:ext uri="{FF2B5EF4-FFF2-40B4-BE49-F238E27FC236}">
              <a16:creationId xmlns:a16="http://schemas.microsoft.com/office/drawing/2014/main" id="{00000000-0008-0000-0400-00001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0" name="Picture 2" descr="España">
          <a:hlinkClick xmlns:r="http://schemas.openxmlformats.org/officeDocument/2006/relationships" r:id="rId90"/>
          <a:extLst>
            <a:ext uri="{FF2B5EF4-FFF2-40B4-BE49-F238E27FC236}">
              <a16:creationId xmlns:a16="http://schemas.microsoft.com/office/drawing/2014/main" id="{00000000-0008-0000-0400-00001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1" name="Picture 3" descr="USA">
          <a:hlinkClick xmlns:r="http://schemas.openxmlformats.org/officeDocument/2006/relationships" r:id="rId91"/>
          <a:extLst>
            <a:ext uri="{FF2B5EF4-FFF2-40B4-BE49-F238E27FC236}">
              <a16:creationId xmlns:a16="http://schemas.microsoft.com/office/drawing/2014/main" id="{00000000-0008-0000-0400-00001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2" name="Picture 5" descr="España">
          <a:hlinkClick xmlns:r="http://schemas.openxmlformats.org/officeDocument/2006/relationships" r:id="rId90"/>
          <a:extLst>
            <a:ext uri="{FF2B5EF4-FFF2-40B4-BE49-F238E27FC236}">
              <a16:creationId xmlns:a16="http://schemas.microsoft.com/office/drawing/2014/main" id="{00000000-0008-0000-0400-00001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3" name="Picture 6" descr="España">
          <a:hlinkClick xmlns:r="http://schemas.openxmlformats.org/officeDocument/2006/relationships" r:id="rId90"/>
          <a:extLst>
            <a:ext uri="{FF2B5EF4-FFF2-40B4-BE49-F238E27FC236}">
              <a16:creationId xmlns:a16="http://schemas.microsoft.com/office/drawing/2014/main" id="{00000000-0008-0000-0400-00001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4" name="Picture 8" descr="Česká republika">
          <a:hlinkClick xmlns:r="http://schemas.openxmlformats.org/officeDocument/2006/relationships" r:id="rId92"/>
          <a:extLst>
            <a:ext uri="{FF2B5EF4-FFF2-40B4-BE49-F238E27FC236}">
              <a16:creationId xmlns:a16="http://schemas.microsoft.com/office/drawing/2014/main" id="{00000000-0008-0000-0400-00001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5" name="Picture 9" descr="Sverige">
          <a:hlinkClick xmlns:r="http://schemas.openxmlformats.org/officeDocument/2006/relationships" r:id="rId93"/>
          <a:extLst>
            <a:ext uri="{FF2B5EF4-FFF2-40B4-BE49-F238E27FC236}">
              <a16:creationId xmlns:a16="http://schemas.microsoft.com/office/drawing/2014/main" id="{00000000-0008-0000-0400-00001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6" name="Picture 11" descr="Suomi">
          <a:hlinkClick xmlns:r="http://schemas.openxmlformats.org/officeDocument/2006/relationships" r:id="rId94"/>
          <a:extLst>
            <a:ext uri="{FF2B5EF4-FFF2-40B4-BE49-F238E27FC236}">
              <a16:creationId xmlns:a16="http://schemas.microsoft.com/office/drawing/2014/main" id="{00000000-0008-0000-0400-00001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7" name="Picture 12" descr="España">
          <a:hlinkClick xmlns:r="http://schemas.openxmlformats.org/officeDocument/2006/relationships" r:id="rId90"/>
          <a:extLst>
            <a:ext uri="{FF2B5EF4-FFF2-40B4-BE49-F238E27FC236}">
              <a16:creationId xmlns:a16="http://schemas.microsoft.com/office/drawing/2014/main" id="{00000000-0008-0000-0400-00001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8" name="Picture 13" descr="Nederland">
          <a:hlinkClick xmlns:r="http://schemas.openxmlformats.org/officeDocument/2006/relationships" r:id="rId95"/>
          <a:extLst>
            <a:ext uri="{FF2B5EF4-FFF2-40B4-BE49-F238E27FC236}">
              <a16:creationId xmlns:a16="http://schemas.microsoft.com/office/drawing/2014/main" id="{00000000-0008-0000-0400-00002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9" name="Picture 14" descr="Italia">
          <a:hlinkClick xmlns:r="http://schemas.openxmlformats.org/officeDocument/2006/relationships" r:id="rId96"/>
          <a:extLst>
            <a:ext uri="{FF2B5EF4-FFF2-40B4-BE49-F238E27FC236}">
              <a16:creationId xmlns:a16="http://schemas.microsoft.com/office/drawing/2014/main" id="{00000000-0008-0000-0400-00002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0" name="Picture 16" descr="España">
          <a:hlinkClick xmlns:r="http://schemas.openxmlformats.org/officeDocument/2006/relationships" r:id="rId90"/>
          <a:extLst>
            <a:ext uri="{FF2B5EF4-FFF2-40B4-BE49-F238E27FC236}">
              <a16:creationId xmlns:a16="http://schemas.microsoft.com/office/drawing/2014/main" id="{00000000-0008-0000-0400-00002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1" name="Picture 18" descr="France">
          <a:hlinkClick xmlns:r="http://schemas.openxmlformats.org/officeDocument/2006/relationships" r:id="rId97"/>
          <a:extLst>
            <a:ext uri="{FF2B5EF4-FFF2-40B4-BE49-F238E27FC236}">
              <a16:creationId xmlns:a16="http://schemas.microsoft.com/office/drawing/2014/main" id="{00000000-0008-0000-0400-00002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2" name="Picture 19" descr="France">
          <a:hlinkClick xmlns:r="http://schemas.openxmlformats.org/officeDocument/2006/relationships" r:id="rId97"/>
          <a:extLst>
            <a:ext uri="{FF2B5EF4-FFF2-40B4-BE49-F238E27FC236}">
              <a16:creationId xmlns:a16="http://schemas.microsoft.com/office/drawing/2014/main" id="{00000000-0008-0000-0400-00002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3" name="Picture 21" descr="Argentina">
          <a:hlinkClick xmlns:r="http://schemas.openxmlformats.org/officeDocument/2006/relationships" r:id="rId98"/>
          <a:extLst>
            <a:ext uri="{FF2B5EF4-FFF2-40B4-BE49-F238E27FC236}">
              <a16:creationId xmlns:a16="http://schemas.microsoft.com/office/drawing/2014/main" id="{00000000-0008-0000-0400-00002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4" name="Picture 23" descr="España">
          <a:hlinkClick xmlns:r="http://schemas.openxmlformats.org/officeDocument/2006/relationships" r:id="rId90"/>
          <a:extLst>
            <a:ext uri="{FF2B5EF4-FFF2-40B4-BE49-F238E27FC236}">
              <a16:creationId xmlns:a16="http://schemas.microsoft.com/office/drawing/2014/main" id="{00000000-0008-0000-0400-00002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5" name="Picture 25" descr="Lubnan">
          <a:hlinkClick xmlns:r="http://schemas.openxmlformats.org/officeDocument/2006/relationships" r:id="rId99"/>
          <a:extLst>
            <a:ext uri="{FF2B5EF4-FFF2-40B4-BE49-F238E27FC236}">
              <a16:creationId xmlns:a16="http://schemas.microsoft.com/office/drawing/2014/main" id="{00000000-0008-0000-0400-00002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6" name="Picture 27" descr="Magyarország">
          <a:hlinkClick xmlns:r="http://schemas.openxmlformats.org/officeDocument/2006/relationships" r:id="rId100"/>
          <a:extLst>
            <a:ext uri="{FF2B5EF4-FFF2-40B4-BE49-F238E27FC236}">
              <a16:creationId xmlns:a16="http://schemas.microsoft.com/office/drawing/2014/main" id="{00000000-0008-0000-0400-00002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7" name="Picture 29" descr="Uruguay">
          <a:hlinkClick xmlns:r="http://schemas.openxmlformats.org/officeDocument/2006/relationships" r:id="rId101"/>
          <a:extLst>
            <a:ext uri="{FF2B5EF4-FFF2-40B4-BE49-F238E27FC236}">
              <a16:creationId xmlns:a16="http://schemas.microsoft.com/office/drawing/2014/main" id="{00000000-0008-0000-0400-00002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8" name="Picture 30" descr="Italia">
          <a:hlinkClick xmlns:r="http://schemas.openxmlformats.org/officeDocument/2006/relationships" r:id="rId96"/>
          <a:extLst>
            <a:ext uri="{FF2B5EF4-FFF2-40B4-BE49-F238E27FC236}">
              <a16:creationId xmlns:a16="http://schemas.microsoft.com/office/drawing/2014/main" id="{00000000-0008-0000-0400-00002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9" name="Picture 31" descr="Nederland">
          <a:hlinkClick xmlns:r="http://schemas.openxmlformats.org/officeDocument/2006/relationships" r:id="rId95"/>
          <a:extLst>
            <a:ext uri="{FF2B5EF4-FFF2-40B4-BE49-F238E27FC236}">
              <a16:creationId xmlns:a16="http://schemas.microsoft.com/office/drawing/2014/main" id="{00000000-0008-0000-0400-00002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0" name="Picture 32" descr="Italia">
          <a:hlinkClick xmlns:r="http://schemas.openxmlformats.org/officeDocument/2006/relationships" r:id="rId96"/>
          <a:extLst>
            <a:ext uri="{FF2B5EF4-FFF2-40B4-BE49-F238E27FC236}">
              <a16:creationId xmlns:a16="http://schemas.microsoft.com/office/drawing/2014/main" id="{00000000-0008-0000-0400-00002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1" name="Picture 34" descr="Deutschland">
          <a:hlinkClick xmlns:r="http://schemas.openxmlformats.org/officeDocument/2006/relationships" r:id="rId102"/>
          <a:extLst>
            <a:ext uri="{FF2B5EF4-FFF2-40B4-BE49-F238E27FC236}">
              <a16:creationId xmlns:a16="http://schemas.microsoft.com/office/drawing/2014/main" id="{00000000-0008-0000-0400-00002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2" name="Picture 36" descr="Israel">
          <a:hlinkClick xmlns:r="http://schemas.openxmlformats.org/officeDocument/2006/relationships" r:id="rId103"/>
          <a:extLst>
            <a:ext uri="{FF2B5EF4-FFF2-40B4-BE49-F238E27FC236}">
              <a16:creationId xmlns:a16="http://schemas.microsoft.com/office/drawing/2014/main" id="{00000000-0008-0000-0400-00002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3" name="Picture 37" descr="Slovensko">
          <a:hlinkClick xmlns:r="http://schemas.openxmlformats.org/officeDocument/2006/relationships" r:id="rId104"/>
          <a:extLst>
            <a:ext uri="{FF2B5EF4-FFF2-40B4-BE49-F238E27FC236}">
              <a16:creationId xmlns:a16="http://schemas.microsoft.com/office/drawing/2014/main" id="{00000000-0008-0000-0400-00002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4" name="Picture 2" descr="España">
          <a:hlinkClick xmlns:r="http://schemas.openxmlformats.org/officeDocument/2006/relationships" r:id="rId90"/>
          <a:extLst>
            <a:ext uri="{FF2B5EF4-FFF2-40B4-BE49-F238E27FC236}">
              <a16:creationId xmlns:a16="http://schemas.microsoft.com/office/drawing/2014/main" id="{00000000-0008-0000-0400-00003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5" name="Picture 3" descr="USA">
          <a:hlinkClick xmlns:r="http://schemas.openxmlformats.org/officeDocument/2006/relationships" r:id="rId91"/>
          <a:extLst>
            <a:ext uri="{FF2B5EF4-FFF2-40B4-BE49-F238E27FC236}">
              <a16:creationId xmlns:a16="http://schemas.microsoft.com/office/drawing/2014/main" id="{00000000-0008-0000-0400-00003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6" name="Picture 5" descr="España">
          <a:hlinkClick xmlns:r="http://schemas.openxmlformats.org/officeDocument/2006/relationships" r:id="rId90"/>
          <a:extLst>
            <a:ext uri="{FF2B5EF4-FFF2-40B4-BE49-F238E27FC236}">
              <a16:creationId xmlns:a16="http://schemas.microsoft.com/office/drawing/2014/main" id="{00000000-0008-0000-0400-00003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7" name="Picture 6" descr="España">
          <a:hlinkClick xmlns:r="http://schemas.openxmlformats.org/officeDocument/2006/relationships" r:id="rId90"/>
          <a:extLst>
            <a:ext uri="{FF2B5EF4-FFF2-40B4-BE49-F238E27FC236}">
              <a16:creationId xmlns:a16="http://schemas.microsoft.com/office/drawing/2014/main" id="{00000000-0008-0000-0400-00003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8" name="Picture 8" descr="Česká republika">
          <a:hlinkClick xmlns:r="http://schemas.openxmlformats.org/officeDocument/2006/relationships" r:id="rId92"/>
          <a:extLst>
            <a:ext uri="{FF2B5EF4-FFF2-40B4-BE49-F238E27FC236}">
              <a16:creationId xmlns:a16="http://schemas.microsoft.com/office/drawing/2014/main" id="{00000000-0008-0000-0400-00003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9" name="Picture 9" descr="Sverige">
          <a:hlinkClick xmlns:r="http://schemas.openxmlformats.org/officeDocument/2006/relationships" r:id="rId93"/>
          <a:extLst>
            <a:ext uri="{FF2B5EF4-FFF2-40B4-BE49-F238E27FC236}">
              <a16:creationId xmlns:a16="http://schemas.microsoft.com/office/drawing/2014/main" id="{00000000-0008-0000-0400-00003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0" name="Picture 11" descr="Suomi">
          <a:hlinkClick xmlns:r="http://schemas.openxmlformats.org/officeDocument/2006/relationships" r:id="rId94"/>
          <a:extLst>
            <a:ext uri="{FF2B5EF4-FFF2-40B4-BE49-F238E27FC236}">
              <a16:creationId xmlns:a16="http://schemas.microsoft.com/office/drawing/2014/main" id="{00000000-0008-0000-0400-00003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1" name="Picture 12" descr="España">
          <a:hlinkClick xmlns:r="http://schemas.openxmlformats.org/officeDocument/2006/relationships" r:id="rId90"/>
          <a:extLst>
            <a:ext uri="{FF2B5EF4-FFF2-40B4-BE49-F238E27FC236}">
              <a16:creationId xmlns:a16="http://schemas.microsoft.com/office/drawing/2014/main" id="{00000000-0008-0000-0400-00003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2" name="Picture 13" descr="Nederland">
          <a:hlinkClick xmlns:r="http://schemas.openxmlformats.org/officeDocument/2006/relationships" r:id="rId95"/>
          <a:extLst>
            <a:ext uri="{FF2B5EF4-FFF2-40B4-BE49-F238E27FC236}">
              <a16:creationId xmlns:a16="http://schemas.microsoft.com/office/drawing/2014/main" id="{00000000-0008-0000-0400-00003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3" name="Picture 14" descr="Italia">
          <a:hlinkClick xmlns:r="http://schemas.openxmlformats.org/officeDocument/2006/relationships" r:id="rId96"/>
          <a:extLst>
            <a:ext uri="{FF2B5EF4-FFF2-40B4-BE49-F238E27FC236}">
              <a16:creationId xmlns:a16="http://schemas.microsoft.com/office/drawing/2014/main" id="{00000000-0008-0000-0400-00003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4" name="Picture 16" descr="España">
          <a:hlinkClick xmlns:r="http://schemas.openxmlformats.org/officeDocument/2006/relationships" r:id="rId90"/>
          <a:extLst>
            <a:ext uri="{FF2B5EF4-FFF2-40B4-BE49-F238E27FC236}">
              <a16:creationId xmlns:a16="http://schemas.microsoft.com/office/drawing/2014/main" id="{00000000-0008-0000-0400-00003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5" name="Picture 18" descr="France">
          <a:hlinkClick xmlns:r="http://schemas.openxmlformats.org/officeDocument/2006/relationships" r:id="rId97"/>
          <a:extLst>
            <a:ext uri="{FF2B5EF4-FFF2-40B4-BE49-F238E27FC236}">
              <a16:creationId xmlns:a16="http://schemas.microsoft.com/office/drawing/2014/main" id="{00000000-0008-0000-0400-00003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6" name="Picture 19" descr="France">
          <a:hlinkClick xmlns:r="http://schemas.openxmlformats.org/officeDocument/2006/relationships" r:id="rId97"/>
          <a:extLst>
            <a:ext uri="{FF2B5EF4-FFF2-40B4-BE49-F238E27FC236}">
              <a16:creationId xmlns:a16="http://schemas.microsoft.com/office/drawing/2014/main" id="{00000000-0008-0000-0400-00003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7" name="Picture 21" descr="Argentina">
          <a:hlinkClick xmlns:r="http://schemas.openxmlformats.org/officeDocument/2006/relationships" r:id="rId98"/>
          <a:extLst>
            <a:ext uri="{FF2B5EF4-FFF2-40B4-BE49-F238E27FC236}">
              <a16:creationId xmlns:a16="http://schemas.microsoft.com/office/drawing/2014/main" id="{00000000-0008-0000-0400-00003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8" name="Picture 23" descr="España">
          <a:hlinkClick xmlns:r="http://schemas.openxmlformats.org/officeDocument/2006/relationships" r:id="rId90"/>
          <a:extLst>
            <a:ext uri="{FF2B5EF4-FFF2-40B4-BE49-F238E27FC236}">
              <a16:creationId xmlns:a16="http://schemas.microsoft.com/office/drawing/2014/main" id="{00000000-0008-0000-0400-00003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9" name="Picture 25" descr="Lubnan">
          <a:hlinkClick xmlns:r="http://schemas.openxmlformats.org/officeDocument/2006/relationships" r:id="rId99"/>
          <a:extLst>
            <a:ext uri="{FF2B5EF4-FFF2-40B4-BE49-F238E27FC236}">
              <a16:creationId xmlns:a16="http://schemas.microsoft.com/office/drawing/2014/main" id="{00000000-0008-0000-0400-00003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0" name="Picture 27" descr="Magyarország">
          <a:hlinkClick xmlns:r="http://schemas.openxmlformats.org/officeDocument/2006/relationships" r:id="rId100"/>
          <a:extLst>
            <a:ext uri="{FF2B5EF4-FFF2-40B4-BE49-F238E27FC236}">
              <a16:creationId xmlns:a16="http://schemas.microsoft.com/office/drawing/2014/main" id="{00000000-0008-0000-0400-00004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1" name="Picture 29" descr="Uruguay">
          <a:hlinkClick xmlns:r="http://schemas.openxmlformats.org/officeDocument/2006/relationships" r:id="rId101"/>
          <a:extLst>
            <a:ext uri="{FF2B5EF4-FFF2-40B4-BE49-F238E27FC236}">
              <a16:creationId xmlns:a16="http://schemas.microsoft.com/office/drawing/2014/main" id="{00000000-0008-0000-0400-00004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2" name="Picture 30" descr="Italia">
          <a:hlinkClick xmlns:r="http://schemas.openxmlformats.org/officeDocument/2006/relationships" r:id="rId96"/>
          <a:extLst>
            <a:ext uri="{FF2B5EF4-FFF2-40B4-BE49-F238E27FC236}">
              <a16:creationId xmlns:a16="http://schemas.microsoft.com/office/drawing/2014/main" id="{00000000-0008-0000-0400-00004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3" name="Picture 31" descr="Nederland">
          <a:hlinkClick xmlns:r="http://schemas.openxmlformats.org/officeDocument/2006/relationships" r:id="rId95"/>
          <a:extLst>
            <a:ext uri="{FF2B5EF4-FFF2-40B4-BE49-F238E27FC236}">
              <a16:creationId xmlns:a16="http://schemas.microsoft.com/office/drawing/2014/main" id="{00000000-0008-0000-0400-00004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4" name="Picture 32" descr="Italia">
          <a:hlinkClick xmlns:r="http://schemas.openxmlformats.org/officeDocument/2006/relationships" r:id="rId96"/>
          <a:extLst>
            <a:ext uri="{FF2B5EF4-FFF2-40B4-BE49-F238E27FC236}">
              <a16:creationId xmlns:a16="http://schemas.microsoft.com/office/drawing/2014/main" id="{00000000-0008-0000-0400-00004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5" name="Picture 34" descr="Deutschland">
          <a:hlinkClick xmlns:r="http://schemas.openxmlformats.org/officeDocument/2006/relationships" r:id="rId102"/>
          <a:extLst>
            <a:ext uri="{FF2B5EF4-FFF2-40B4-BE49-F238E27FC236}">
              <a16:creationId xmlns:a16="http://schemas.microsoft.com/office/drawing/2014/main" id="{00000000-0008-0000-0400-00004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6" name="Picture 36" descr="Israel">
          <a:hlinkClick xmlns:r="http://schemas.openxmlformats.org/officeDocument/2006/relationships" r:id="rId103"/>
          <a:extLst>
            <a:ext uri="{FF2B5EF4-FFF2-40B4-BE49-F238E27FC236}">
              <a16:creationId xmlns:a16="http://schemas.microsoft.com/office/drawing/2014/main" id="{00000000-0008-0000-0400-00004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7" name="Picture 37" descr="Slovensko">
          <a:hlinkClick xmlns:r="http://schemas.openxmlformats.org/officeDocument/2006/relationships" r:id="rId104"/>
          <a:extLst>
            <a:ext uri="{FF2B5EF4-FFF2-40B4-BE49-F238E27FC236}">
              <a16:creationId xmlns:a16="http://schemas.microsoft.com/office/drawing/2014/main" id="{00000000-0008-0000-0400-00004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8" name="Picture 2" descr="España">
          <a:hlinkClick xmlns:r="http://schemas.openxmlformats.org/officeDocument/2006/relationships" r:id="rId90"/>
          <a:extLst>
            <a:ext uri="{FF2B5EF4-FFF2-40B4-BE49-F238E27FC236}">
              <a16:creationId xmlns:a16="http://schemas.microsoft.com/office/drawing/2014/main" id="{00000000-0008-0000-0400-00004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9" name="Picture 3" descr="USA">
          <a:hlinkClick xmlns:r="http://schemas.openxmlformats.org/officeDocument/2006/relationships" r:id="rId91"/>
          <a:extLst>
            <a:ext uri="{FF2B5EF4-FFF2-40B4-BE49-F238E27FC236}">
              <a16:creationId xmlns:a16="http://schemas.microsoft.com/office/drawing/2014/main" id="{00000000-0008-0000-0400-00004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0" name="Picture 5" descr="España">
          <a:hlinkClick xmlns:r="http://schemas.openxmlformats.org/officeDocument/2006/relationships" r:id="rId90"/>
          <a:extLst>
            <a:ext uri="{FF2B5EF4-FFF2-40B4-BE49-F238E27FC236}">
              <a16:creationId xmlns:a16="http://schemas.microsoft.com/office/drawing/2014/main" id="{00000000-0008-0000-0400-00004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1" name="Picture 6" descr="España">
          <a:hlinkClick xmlns:r="http://schemas.openxmlformats.org/officeDocument/2006/relationships" r:id="rId90"/>
          <a:extLst>
            <a:ext uri="{FF2B5EF4-FFF2-40B4-BE49-F238E27FC236}">
              <a16:creationId xmlns:a16="http://schemas.microsoft.com/office/drawing/2014/main" id="{00000000-0008-0000-0400-00004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2" name="Picture 8" descr="Česká republika">
          <a:hlinkClick xmlns:r="http://schemas.openxmlformats.org/officeDocument/2006/relationships" r:id="rId92"/>
          <a:extLst>
            <a:ext uri="{FF2B5EF4-FFF2-40B4-BE49-F238E27FC236}">
              <a16:creationId xmlns:a16="http://schemas.microsoft.com/office/drawing/2014/main" id="{00000000-0008-0000-0400-00004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3" name="Picture 9" descr="Sverige">
          <a:hlinkClick xmlns:r="http://schemas.openxmlformats.org/officeDocument/2006/relationships" r:id="rId93"/>
          <a:extLst>
            <a:ext uri="{FF2B5EF4-FFF2-40B4-BE49-F238E27FC236}">
              <a16:creationId xmlns:a16="http://schemas.microsoft.com/office/drawing/2014/main" id="{00000000-0008-0000-0400-00004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4" name="Picture 11" descr="Suomi">
          <a:hlinkClick xmlns:r="http://schemas.openxmlformats.org/officeDocument/2006/relationships" r:id="rId94"/>
          <a:extLst>
            <a:ext uri="{FF2B5EF4-FFF2-40B4-BE49-F238E27FC236}">
              <a16:creationId xmlns:a16="http://schemas.microsoft.com/office/drawing/2014/main" id="{00000000-0008-0000-0400-00004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5" name="Picture 12" descr="España">
          <a:hlinkClick xmlns:r="http://schemas.openxmlformats.org/officeDocument/2006/relationships" r:id="rId90"/>
          <a:extLst>
            <a:ext uri="{FF2B5EF4-FFF2-40B4-BE49-F238E27FC236}">
              <a16:creationId xmlns:a16="http://schemas.microsoft.com/office/drawing/2014/main" id="{00000000-0008-0000-0400-00004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6" name="Picture 13" descr="Nederland">
          <a:hlinkClick xmlns:r="http://schemas.openxmlformats.org/officeDocument/2006/relationships" r:id="rId95"/>
          <a:extLst>
            <a:ext uri="{FF2B5EF4-FFF2-40B4-BE49-F238E27FC236}">
              <a16:creationId xmlns:a16="http://schemas.microsoft.com/office/drawing/2014/main" id="{00000000-0008-0000-0400-00005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7" name="Picture 14" descr="Italia">
          <a:hlinkClick xmlns:r="http://schemas.openxmlformats.org/officeDocument/2006/relationships" r:id="rId96"/>
          <a:extLst>
            <a:ext uri="{FF2B5EF4-FFF2-40B4-BE49-F238E27FC236}">
              <a16:creationId xmlns:a16="http://schemas.microsoft.com/office/drawing/2014/main" id="{00000000-0008-0000-0400-00005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8" name="Picture 16" descr="España">
          <a:hlinkClick xmlns:r="http://schemas.openxmlformats.org/officeDocument/2006/relationships" r:id="rId90"/>
          <a:extLst>
            <a:ext uri="{FF2B5EF4-FFF2-40B4-BE49-F238E27FC236}">
              <a16:creationId xmlns:a16="http://schemas.microsoft.com/office/drawing/2014/main" id="{00000000-0008-0000-0400-00005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9" name="Picture 18" descr="France">
          <a:hlinkClick xmlns:r="http://schemas.openxmlformats.org/officeDocument/2006/relationships" r:id="rId97"/>
          <a:extLst>
            <a:ext uri="{FF2B5EF4-FFF2-40B4-BE49-F238E27FC236}">
              <a16:creationId xmlns:a16="http://schemas.microsoft.com/office/drawing/2014/main" id="{00000000-0008-0000-0400-00005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0" name="Picture 19" descr="France">
          <a:hlinkClick xmlns:r="http://schemas.openxmlformats.org/officeDocument/2006/relationships" r:id="rId97"/>
          <a:extLst>
            <a:ext uri="{FF2B5EF4-FFF2-40B4-BE49-F238E27FC236}">
              <a16:creationId xmlns:a16="http://schemas.microsoft.com/office/drawing/2014/main" id="{00000000-0008-0000-0400-00005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1" name="Picture 21" descr="Argentina">
          <a:hlinkClick xmlns:r="http://schemas.openxmlformats.org/officeDocument/2006/relationships" r:id="rId98"/>
          <a:extLst>
            <a:ext uri="{FF2B5EF4-FFF2-40B4-BE49-F238E27FC236}">
              <a16:creationId xmlns:a16="http://schemas.microsoft.com/office/drawing/2014/main" id="{00000000-0008-0000-0400-00005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2" name="Picture 23" descr="España">
          <a:hlinkClick xmlns:r="http://schemas.openxmlformats.org/officeDocument/2006/relationships" r:id="rId90"/>
          <a:extLst>
            <a:ext uri="{FF2B5EF4-FFF2-40B4-BE49-F238E27FC236}">
              <a16:creationId xmlns:a16="http://schemas.microsoft.com/office/drawing/2014/main" id="{00000000-0008-0000-0400-00005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3" name="Picture 25" descr="Lubnan">
          <a:hlinkClick xmlns:r="http://schemas.openxmlformats.org/officeDocument/2006/relationships" r:id="rId99"/>
          <a:extLst>
            <a:ext uri="{FF2B5EF4-FFF2-40B4-BE49-F238E27FC236}">
              <a16:creationId xmlns:a16="http://schemas.microsoft.com/office/drawing/2014/main" id="{00000000-0008-0000-0400-00005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4" name="Picture 27" descr="Magyarország">
          <a:hlinkClick xmlns:r="http://schemas.openxmlformats.org/officeDocument/2006/relationships" r:id="rId100"/>
          <a:extLst>
            <a:ext uri="{FF2B5EF4-FFF2-40B4-BE49-F238E27FC236}">
              <a16:creationId xmlns:a16="http://schemas.microsoft.com/office/drawing/2014/main" id="{00000000-0008-0000-0400-00005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5" name="Picture 29" descr="Uruguay">
          <a:hlinkClick xmlns:r="http://schemas.openxmlformats.org/officeDocument/2006/relationships" r:id="rId101"/>
          <a:extLst>
            <a:ext uri="{FF2B5EF4-FFF2-40B4-BE49-F238E27FC236}">
              <a16:creationId xmlns:a16="http://schemas.microsoft.com/office/drawing/2014/main" id="{00000000-0008-0000-0400-00005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6" name="Picture 30" descr="Italia">
          <a:hlinkClick xmlns:r="http://schemas.openxmlformats.org/officeDocument/2006/relationships" r:id="rId96"/>
          <a:extLst>
            <a:ext uri="{FF2B5EF4-FFF2-40B4-BE49-F238E27FC236}">
              <a16:creationId xmlns:a16="http://schemas.microsoft.com/office/drawing/2014/main" id="{00000000-0008-0000-0400-00005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7" name="Picture 31" descr="Nederland">
          <a:hlinkClick xmlns:r="http://schemas.openxmlformats.org/officeDocument/2006/relationships" r:id="rId95"/>
          <a:extLst>
            <a:ext uri="{FF2B5EF4-FFF2-40B4-BE49-F238E27FC236}">
              <a16:creationId xmlns:a16="http://schemas.microsoft.com/office/drawing/2014/main" id="{00000000-0008-0000-0400-00005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8" name="Picture 32" descr="Italia">
          <a:hlinkClick xmlns:r="http://schemas.openxmlformats.org/officeDocument/2006/relationships" r:id="rId96"/>
          <a:extLst>
            <a:ext uri="{FF2B5EF4-FFF2-40B4-BE49-F238E27FC236}">
              <a16:creationId xmlns:a16="http://schemas.microsoft.com/office/drawing/2014/main" id="{00000000-0008-0000-0400-00005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9" name="Picture 34" descr="Deutschland">
          <a:hlinkClick xmlns:r="http://schemas.openxmlformats.org/officeDocument/2006/relationships" r:id="rId102"/>
          <a:extLst>
            <a:ext uri="{FF2B5EF4-FFF2-40B4-BE49-F238E27FC236}">
              <a16:creationId xmlns:a16="http://schemas.microsoft.com/office/drawing/2014/main" id="{00000000-0008-0000-0400-00005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0" name="Picture 36" descr="Israel">
          <a:hlinkClick xmlns:r="http://schemas.openxmlformats.org/officeDocument/2006/relationships" r:id="rId103"/>
          <a:extLst>
            <a:ext uri="{FF2B5EF4-FFF2-40B4-BE49-F238E27FC236}">
              <a16:creationId xmlns:a16="http://schemas.microsoft.com/office/drawing/2014/main" id="{00000000-0008-0000-0400-00005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1" name="Picture 37" descr="Slovensko">
          <a:hlinkClick xmlns:r="http://schemas.openxmlformats.org/officeDocument/2006/relationships" r:id="rId104"/>
          <a:extLst>
            <a:ext uri="{FF2B5EF4-FFF2-40B4-BE49-F238E27FC236}">
              <a16:creationId xmlns:a16="http://schemas.microsoft.com/office/drawing/2014/main" id="{00000000-0008-0000-0400-00005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2" name="Picture 2" descr="España">
          <a:hlinkClick xmlns:r="http://schemas.openxmlformats.org/officeDocument/2006/relationships" r:id="rId90"/>
          <a:extLst>
            <a:ext uri="{FF2B5EF4-FFF2-40B4-BE49-F238E27FC236}">
              <a16:creationId xmlns:a16="http://schemas.microsoft.com/office/drawing/2014/main" id="{00000000-0008-0000-0400-00006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3" name="Picture 3" descr="USA">
          <a:hlinkClick xmlns:r="http://schemas.openxmlformats.org/officeDocument/2006/relationships" r:id="rId91"/>
          <a:extLst>
            <a:ext uri="{FF2B5EF4-FFF2-40B4-BE49-F238E27FC236}">
              <a16:creationId xmlns:a16="http://schemas.microsoft.com/office/drawing/2014/main" id="{00000000-0008-0000-0400-00006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4" name="Picture 5" descr="España">
          <a:hlinkClick xmlns:r="http://schemas.openxmlformats.org/officeDocument/2006/relationships" r:id="rId90"/>
          <a:extLst>
            <a:ext uri="{FF2B5EF4-FFF2-40B4-BE49-F238E27FC236}">
              <a16:creationId xmlns:a16="http://schemas.microsoft.com/office/drawing/2014/main" id="{00000000-0008-0000-0400-00006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5" name="Picture 6" descr="España">
          <a:hlinkClick xmlns:r="http://schemas.openxmlformats.org/officeDocument/2006/relationships" r:id="rId90"/>
          <a:extLst>
            <a:ext uri="{FF2B5EF4-FFF2-40B4-BE49-F238E27FC236}">
              <a16:creationId xmlns:a16="http://schemas.microsoft.com/office/drawing/2014/main" id="{00000000-0008-0000-0400-00006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6" name="Picture 8" descr="Česká republika">
          <a:hlinkClick xmlns:r="http://schemas.openxmlformats.org/officeDocument/2006/relationships" r:id="rId92"/>
          <a:extLst>
            <a:ext uri="{FF2B5EF4-FFF2-40B4-BE49-F238E27FC236}">
              <a16:creationId xmlns:a16="http://schemas.microsoft.com/office/drawing/2014/main" id="{00000000-0008-0000-0400-00006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7" name="Picture 9" descr="Sverige">
          <a:hlinkClick xmlns:r="http://schemas.openxmlformats.org/officeDocument/2006/relationships" r:id="rId93"/>
          <a:extLst>
            <a:ext uri="{FF2B5EF4-FFF2-40B4-BE49-F238E27FC236}">
              <a16:creationId xmlns:a16="http://schemas.microsoft.com/office/drawing/2014/main" id="{00000000-0008-0000-0400-00006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8" name="Picture 11" descr="Suomi">
          <a:hlinkClick xmlns:r="http://schemas.openxmlformats.org/officeDocument/2006/relationships" r:id="rId94"/>
          <a:extLst>
            <a:ext uri="{FF2B5EF4-FFF2-40B4-BE49-F238E27FC236}">
              <a16:creationId xmlns:a16="http://schemas.microsoft.com/office/drawing/2014/main" id="{00000000-0008-0000-0400-00006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9" name="Picture 12" descr="España">
          <a:hlinkClick xmlns:r="http://schemas.openxmlformats.org/officeDocument/2006/relationships" r:id="rId90"/>
          <a:extLst>
            <a:ext uri="{FF2B5EF4-FFF2-40B4-BE49-F238E27FC236}">
              <a16:creationId xmlns:a16="http://schemas.microsoft.com/office/drawing/2014/main" id="{00000000-0008-0000-0400-00006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0" name="Picture 13" descr="Nederland">
          <a:hlinkClick xmlns:r="http://schemas.openxmlformats.org/officeDocument/2006/relationships" r:id="rId95"/>
          <a:extLst>
            <a:ext uri="{FF2B5EF4-FFF2-40B4-BE49-F238E27FC236}">
              <a16:creationId xmlns:a16="http://schemas.microsoft.com/office/drawing/2014/main" id="{00000000-0008-0000-0400-00006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1" name="Picture 14" descr="Italia">
          <a:hlinkClick xmlns:r="http://schemas.openxmlformats.org/officeDocument/2006/relationships" r:id="rId96"/>
          <a:extLst>
            <a:ext uri="{FF2B5EF4-FFF2-40B4-BE49-F238E27FC236}">
              <a16:creationId xmlns:a16="http://schemas.microsoft.com/office/drawing/2014/main" id="{00000000-0008-0000-0400-00006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2" name="Picture 16" descr="España">
          <a:hlinkClick xmlns:r="http://schemas.openxmlformats.org/officeDocument/2006/relationships" r:id="rId90"/>
          <a:extLst>
            <a:ext uri="{FF2B5EF4-FFF2-40B4-BE49-F238E27FC236}">
              <a16:creationId xmlns:a16="http://schemas.microsoft.com/office/drawing/2014/main" id="{00000000-0008-0000-0400-00006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3" name="Picture 18" descr="France">
          <a:hlinkClick xmlns:r="http://schemas.openxmlformats.org/officeDocument/2006/relationships" r:id="rId97"/>
          <a:extLst>
            <a:ext uri="{FF2B5EF4-FFF2-40B4-BE49-F238E27FC236}">
              <a16:creationId xmlns:a16="http://schemas.microsoft.com/office/drawing/2014/main" id="{00000000-0008-0000-0400-00006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4" name="Picture 19" descr="France">
          <a:hlinkClick xmlns:r="http://schemas.openxmlformats.org/officeDocument/2006/relationships" r:id="rId97"/>
          <a:extLst>
            <a:ext uri="{FF2B5EF4-FFF2-40B4-BE49-F238E27FC236}">
              <a16:creationId xmlns:a16="http://schemas.microsoft.com/office/drawing/2014/main" id="{00000000-0008-0000-0400-00006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5" name="Picture 21" descr="Argentina">
          <a:hlinkClick xmlns:r="http://schemas.openxmlformats.org/officeDocument/2006/relationships" r:id="rId98"/>
          <a:extLst>
            <a:ext uri="{FF2B5EF4-FFF2-40B4-BE49-F238E27FC236}">
              <a16:creationId xmlns:a16="http://schemas.microsoft.com/office/drawing/2014/main" id="{00000000-0008-0000-0400-00006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6" name="Picture 23" descr="España">
          <a:hlinkClick xmlns:r="http://schemas.openxmlformats.org/officeDocument/2006/relationships" r:id="rId90"/>
          <a:extLst>
            <a:ext uri="{FF2B5EF4-FFF2-40B4-BE49-F238E27FC236}">
              <a16:creationId xmlns:a16="http://schemas.microsoft.com/office/drawing/2014/main" id="{00000000-0008-0000-0400-00006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7" name="Picture 25" descr="Lubnan">
          <a:hlinkClick xmlns:r="http://schemas.openxmlformats.org/officeDocument/2006/relationships" r:id="rId99"/>
          <a:extLst>
            <a:ext uri="{FF2B5EF4-FFF2-40B4-BE49-F238E27FC236}">
              <a16:creationId xmlns:a16="http://schemas.microsoft.com/office/drawing/2014/main" id="{00000000-0008-0000-0400-00006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8" name="Picture 27" descr="Magyarország">
          <a:hlinkClick xmlns:r="http://schemas.openxmlformats.org/officeDocument/2006/relationships" r:id="rId100"/>
          <a:extLst>
            <a:ext uri="{FF2B5EF4-FFF2-40B4-BE49-F238E27FC236}">
              <a16:creationId xmlns:a16="http://schemas.microsoft.com/office/drawing/2014/main" id="{00000000-0008-0000-0400-00007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9" name="Picture 29" descr="Uruguay">
          <a:hlinkClick xmlns:r="http://schemas.openxmlformats.org/officeDocument/2006/relationships" r:id="rId101"/>
          <a:extLst>
            <a:ext uri="{FF2B5EF4-FFF2-40B4-BE49-F238E27FC236}">
              <a16:creationId xmlns:a16="http://schemas.microsoft.com/office/drawing/2014/main" id="{00000000-0008-0000-0400-00007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0" name="Picture 30" descr="Italia">
          <a:hlinkClick xmlns:r="http://schemas.openxmlformats.org/officeDocument/2006/relationships" r:id="rId96"/>
          <a:extLst>
            <a:ext uri="{FF2B5EF4-FFF2-40B4-BE49-F238E27FC236}">
              <a16:creationId xmlns:a16="http://schemas.microsoft.com/office/drawing/2014/main" id="{00000000-0008-0000-0400-00007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1" name="Picture 31" descr="Nederland">
          <a:hlinkClick xmlns:r="http://schemas.openxmlformats.org/officeDocument/2006/relationships" r:id="rId95"/>
          <a:extLst>
            <a:ext uri="{FF2B5EF4-FFF2-40B4-BE49-F238E27FC236}">
              <a16:creationId xmlns:a16="http://schemas.microsoft.com/office/drawing/2014/main" id="{00000000-0008-0000-0400-00007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2" name="Picture 32" descr="Italia">
          <a:hlinkClick xmlns:r="http://schemas.openxmlformats.org/officeDocument/2006/relationships" r:id="rId96"/>
          <a:extLst>
            <a:ext uri="{FF2B5EF4-FFF2-40B4-BE49-F238E27FC236}">
              <a16:creationId xmlns:a16="http://schemas.microsoft.com/office/drawing/2014/main" id="{00000000-0008-0000-0400-00007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3" name="Picture 34" descr="Deutschland">
          <a:hlinkClick xmlns:r="http://schemas.openxmlformats.org/officeDocument/2006/relationships" r:id="rId102"/>
          <a:extLst>
            <a:ext uri="{FF2B5EF4-FFF2-40B4-BE49-F238E27FC236}">
              <a16:creationId xmlns:a16="http://schemas.microsoft.com/office/drawing/2014/main" id="{00000000-0008-0000-0400-00007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4" name="Picture 36" descr="Israel">
          <a:hlinkClick xmlns:r="http://schemas.openxmlformats.org/officeDocument/2006/relationships" r:id="rId103"/>
          <a:extLst>
            <a:ext uri="{FF2B5EF4-FFF2-40B4-BE49-F238E27FC236}">
              <a16:creationId xmlns:a16="http://schemas.microsoft.com/office/drawing/2014/main" id="{00000000-0008-0000-0400-00007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5" name="Picture 37" descr="Slovensko">
          <a:hlinkClick xmlns:r="http://schemas.openxmlformats.org/officeDocument/2006/relationships" r:id="rId104"/>
          <a:extLst>
            <a:ext uri="{FF2B5EF4-FFF2-40B4-BE49-F238E27FC236}">
              <a16:creationId xmlns:a16="http://schemas.microsoft.com/office/drawing/2014/main" id="{00000000-0008-0000-0400-00007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6" name="Picture 2" descr="España">
          <a:hlinkClick xmlns:r="http://schemas.openxmlformats.org/officeDocument/2006/relationships" r:id="rId90"/>
          <a:extLst>
            <a:ext uri="{FF2B5EF4-FFF2-40B4-BE49-F238E27FC236}">
              <a16:creationId xmlns:a16="http://schemas.microsoft.com/office/drawing/2014/main" id="{00000000-0008-0000-0400-00007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7" name="Picture 3" descr="USA">
          <a:hlinkClick xmlns:r="http://schemas.openxmlformats.org/officeDocument/2006/relationships" r:id="rId91"/>
          <a:extLst>
            <a:ext uri="{FF2B5EF4-FFF2-40B4-BE49-F238E27FC236}">
              <a16:creationId xmlns:a16="http://schemas.microsoft.com/office/drawing/2014/main" id="{00000000-0008-0000-0400-00007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8" name="Picture 5" descr="España">
          <a:hlinkClick xmlns:r="http://schemas.openxmlformats.org/officeDocument/2006/relationships" r:id="rId90"/>
          <a:extLst>
            <a:ext uri="{FF2B5EF4-FFF2-40B4-BE49-F238E27FC236}">
              <a16:creationId xmlns:a16="http://schemas.microsoft.com/office/drawing/2014/main" id="{00000000-0008-0000-0400-00007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9" name="Picture 6" descr="España">
          <a:hlinkClick xmlns:r="http://schemas.openxmlformats.org/officeDocument/2006/relationships" r:id="rId90"/>
          <a:extLst>
            <a:ext uri="{FF2B5EF4-FFF2-40B4-BE49-F238E27FC236}">
              <a16:creationId xmlns:a16="http://schemas.microsoft.com/office/drawing/2014/main" id="{00000000-0008-0000-0400-00007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0" name="Picture 8" descr="Česká republika">
          <a:hlinkClick xmlns:r="http://schemas.openxmlformats.org/officeDocument/2006/relationships" r:id="rId92"/>
          <a:extLst>
            <a:ext uri="{FF2B5EF4-FFF2-40B4-BE49-F238E27FC236}">
              <a16:creationId xmlns:a16="http://schemas.microsoft.com/office/drawing/2014/main" id="{00000000-0008-0000-0400-00007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1" name="Picture 9" descr="Sverige">
          <a:hlinkClick xmlns:r="http://schemas.openxmlformats.org/officeDocument/2006/relationships" r:id="rId93"/>
          <a:extLst>
            <a:ext uri="{FF2B5EF4-FFF2-40B4-BE49-F238E27FC236}">
              <a16:creationId xmlns:a16="http://schemas.microsoft.com/office/drawing/2014/main" id="{00000000-0008-0000-0400-00007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2" name="Picture 11" descr="Suomi">
          <a:hlinkClick xmlns:r="http://schemas.openxmlformats.org/officeDocument/2006/relationships" r:id="rId94"/>
          <a:extLst>
            <a:ext uri="{FF2B5EF4-FFF2-40B4-BE49-F238E27FC236}">
              <a16:creationId xmlns:a16="http://schemas.microsoft.com/office/drawing/2014/main" id="{00000000-0008-0000-0400-00007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3" name="Picture 12" descr="España">
          <a:hlinkClick xmlns:r="http://schemas.openxmlformats.org/officeDocument/2006/relationships" r:id="rId90"/>
          <a:extLst>
            <a:ext uri="{FF2B5EF4-FFF2-40B4-BE49-F238E27FC236}">
              <a16:creationId xmlns:a16="http://schemas.microsoft.com/office/drawing/2014/main" id="{00000000-0008-0000-0400-00007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4" name="Picture 13" descr="Nederland">
          <a:hlinkClick xmlns:r="http://schemas.openxmlformats.org/officeDocument/2006/relationships" r:id="rId95"/>
          <a:extLst>
            <a:ext uri="{FF2B5EF4-FFF2-40B4-BE49-F238E27FC236}">
              <a16:creationId xmlns:a16="http://schemas.microsoft.com/office/drawing/2014/main" id="{00000000-0008-0000-0400-00008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5" name="Picture 14" descr="Italia">
          <a:hlinkClick xmlns:r="http://schemas.openxmlformats.org/officeDocument/2006/relationships" r:id="rId96"/>
          <a:extLst>
            <a:ext uri="{FF2B5EF4-FFF2-40B4-BE49-F238E27FC236}">
              <a16:creationId xmlns:a16="http://schemas.microsoft.com/office/drawing/2014/main" id="{00000000-0008-0000-0400-00008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6" name="Picture 16" descr="España">
          <a:hlinkClick xmlns:r="http://schemas.openxmlformats.org/officeDocument/2006/relationships" r:id="rId90"/>
          <a:extLst>
            <a:ext uri="{FF2B5EF4-FFF2-40B4-BE49-F238E27FC236}">
              <a16:creationId xmlns:a16="http://schemas.microsoft.com/office/drawing/2014/main" id="{00000000-0008-0000-0400-00008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7" name="Picture 18" descr="France">
          <a:hlinkClick xmlns:r="http://schemas.openxmlformats.org/officeDocument/2006/relationships" r:id="rId97"/>
          <a:extLst>
            <a:ext uri="{FF2B5EF4-FFF2-40B4-BE49-F238E27FC236}">
              <a16:creationId xmlns:a16="http://schemas.microsoft.com/office/drawing/2014/main" id="{00000000-0008-0000-0400-00008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8" name="Picture 19" descr="France">
          <a:hlinkClick xmlns:r="http://schemas.openxmlformats.org/officeDocument/2006/relationships" r:id="rId97"/>
          <a:extLst>
            <a:ext uri="{FF2B5EF4-FFF2-40B4-BE49-F238E27FC236}">
              <a16:creationId xmlns:a16="http://schemas.microsoft.com/office/drawing/2014/main" id="{00000000-0008-0000-0400-00008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9" name="Picture 21" descr="Argentina">
          <a:hlinkClick xmlns:r="http://schemas.openxmlformats.org/officeDocument/2006/relationships" r:id="rId98"/>
          <a:extLst>
            <a:ext uri="{FF2B5EF4-FFF2-40B4-BE49-F238E27FC236}">
              <a16:creationId xmlns:a16="http://schemas.microsoft.com/office/drawing/2014/main" id="{00000000-0008-0000-0400-00008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0" name="Picture 23" descr="España">
          <a:hlinkClick xmlns:r="http://schemas.openxmlformats.org/officeDocument/2006/relationships" r:id="rId90"/>
          <a:extLst>
            <a:ext uri="{FF2B5EF4-FFF2-40B4-BE49-F238E27FC236}">
              <a16:creationId xmlns:a16="http://schemas.microsoft.com/office/drawing/2014/main" id="{00000000-0008-0000-0400-00008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1" name="Picture 25" descr="Lubnan">
          <a:hlinkClick xmlns:r="http://schemas.openxmlformats.org/officeDocument/2006/relationships" r:id="rId99"/>
          <a:extLst>
            <a:ext uri="{FF2B5EF4-FFF2-40B4-BE49-F238E27FC236}">
              <a16:creationId xmlns:a16="http://schemas.microsoft.com/office/drawing/2014/main" id="{00000000-0008-0000-0400-00008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2" name="Picture 27" descr="Magyarország">
          <a:hlinkClick xmlns:r="http://schemas.openxmlformats.org/officeDocument/2006/relationships" r:id="rId100"/>
          <a:extLst>
            <a:ext uri="{FF2B5EF4-FFF2-40B4-BE49-F238E27FC236}">
              <a16:creationId xmlns:a16="http://schemas.microsoft.com/office/drawing/2014/main" id="{00000000-0008-0000-0400-00008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3" name="Picture 29" descr="Uruguay">
          <a:hlinkClick xmlns:r="http://schemas.openxmlformats.org/officeDocument/2006/relationships" r:id="rId101"/>
          <a:extLst>
            <a:ext uri="{FF2B5EF4-FFF2-40B4-BE49-F238E27FC236}">
              <a16:creationId xmlns:a16="http://schemas.microsoft.com/office/drawing/2014/main" id="{00000000-0008-0000-0400-00008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4" name="Picture 30" descr="Italia">
          <a:hlinkClick xmlns:r="http://schemas.openxmlformats.org/officeDocument/2006/relationships" r:id="rId96"/>
          <a:extLst>
            <a:ext uri="{FF2B5EF4-FFF2-40B4-BE49-F238E27FC236}">
              <a16:creationId xmlns:a16="http://schemas.microsoft.com/office/drawing/2014/main" id="{00000000-0008-0000-0400-00008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5" name="Picture 31" descr="Nederland">
          <a:hlinkClick xmlns:r="http://schemas.openxmlformats.org/officeDocument/2006/relationships" r:id="rId95"/>
          <a:extLst>
            <a:ext uri="{FF2B5EF4-FFF2-40B4-BE49-F238E27FC236}">
              <a16:creationId xmlns:a16="http://schemas.microsoft.com/office/drawing/2014/main" id="{00000000-0008-0000-0400-00008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6" name="Picture 32" descr="Italia">
          <a:hlinkClick xmlns:r="http://schemas.openxmlformats.org/officeDocument/2006/relationships" r:id="rId96"/>
          <a:extLst>
            <a:ext uri="{FF2B5EF4-FFF2-40B4-BE49-F238E27FC236}">
              <a16:creationId xmlns:a16="http://schemas.microsoft.com/office/drawing/2014/main" id="{00000000-0008-0000-0400-00008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7" name="Picture 34" descr="Deutschland">
          <a:hlinkClick xmlns:r="http://schemas.openxmlformats.org/officeDocument/2006/relationships" r:id="rId102"/>
          <a:extLst>
            <a:ext uri="{FF2B5EF4-FFF2-40B4-BE49-F238E27FC236}">
              <a16:creationId xmlns:a16="http://schemas.microsoft.com/office/drawing/2014/main" id="{00000000-0008-0000-0400-00008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8" name="Picture 36" descr="Israel">
          <a:hlinkClick xmlns:r="http://schemas.openxmlformats.org/officeDocument/2006/relationships" r:id="rId103"/>
          <a:extLst>
            <a:ext uri="{FF2B5EF4-FFF2-40B4-BE49-F238E27FC236}">
              <a16:creationId xmlns:a16="http://schemas.microsoft.com/office/drawing/2014/main" id="{00000000-0008-0000-0400-00008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9" name="Picture 37" descr="Slovensko">
          <a:hlinkClick xmlns:r="http://schemas.openxmlformats.org/officeDocument/2006/relationships" r:id="rId104"/>
          <a:extLst>
            <a:ext uri="{FF2B5EF4-FFF2-40B4-BE49-F238E27FC236}">
              <a16:creationId xmlns:a16="http://schemas.microsoft.com/office/drawing/2014/main" id="{00000000-0008-0000-0400-00008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0" name="Picture 2" descr="España">
          <a:hlinkClick xmlns:r="http://schemas.openxmlformats.org/officeDocument/2006/relationships" r:id="rId90"/>
          <a:extLst>
            <a:ext uri="{FF2B5EF4-FFF2-40B4-BE49-F238E27FC236}">
              <a16:creationId xmlns:a16="http://schemas.microsoft.com/office/drawing/2014/main" id="{00000000-0008-0000-0400-00009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1" name="Picture 3" descr="USA">
          <a:hlinkClick xmlns:r="http://schemas.openxmlformats.org/officeDocument/2006/relationships" r:id="rId91"/>
          <a:extLst>
            <a:ext uri="{FF2B5EF4-FFF2-40B4-BE49-F238E27FC236}">
              <a16:creationId xmlns:a16="http://schemas.microsoft.com/office/drawing/2014/main" id="{00000000-0008-0000-0400-00009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2" name="Picture 5" descr="España">
          <a:hlinkClick xmlns:r="http://schemas.openxmlformats.org/officeDocument/2006/relationships" r:id="rId90"/>
          <a:extLst>
            <a:ext uri="{FF2B5EF4-FFF2-40B4-BE49-F238E27FC236}">
              <a16:creationId xmlns:a16="http://schemas.microsoft.com/office/drawing/2014/main" id="{00000000-0008-0000-0400-00009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3" name="Picture 6" descr="España">
          <a:hlinkClick xmlns:r="http://schemas.openxmlformats.org/officeDocument/2006/relationships" r:id="rId90"/>
          <a:extLst>
            <a:ext uri="{FF2B5EF4-FFF2-40B4-BE49-F238E27FC236}">
              <a16:creationId xmlns:a16="http://schemas.microsoft.com/office/drawing/2014/main" id="{00000000-0008-0000-0400-00009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4" name="Picture 8" descr="Česká republika">
          <a:hlinkClick xmlns:r="http://schemas.openxmlformats.org/officeDocument/2006/relationships" r:id="rId92"/>
          <a:extLst>
            <a:ext uri="{FF2B5EF4-FFF2-40B4-BE49-F238E27FC236}">
              <a16:creationId xmlns:a16="http://schemas.microsoft.com/office/drawing/2014/main" id="{00000000-0008-0000-0400-00009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5" name="Picture 9" descr="Sverige">
          <a:hlinkClick xmlns:r="http://schemas.openxmlformats.org/officeDocument/2006/relationships" r:id="rId93"/>
          <a:extLst>
            <a:ext uri="{FF2B5EF4-FFF2-40B4-BE49-F238E27FC236}">
              <a16:creationId xmlns:a16="http://schemas.microsoft.com/office/drawing/2014/main" id="{00000000-0008-0000-0400-00009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6" name="Picture 11" descr="Suomi">
          <a:hlinkClick xmlns:r="http://schemas.openxmlformats.org/officeDocument/2006/relationships" r:id="rId94"/>
          <a:extLst>
            <a:ext uri="{FF2B5EF4-FFF2-40B4-BE49-F238E27FC236}">
              <a16:creationId xmlns:a16="http://schemas.microsoft.com/office/drawing/2014/main" id="{00000000-0008-0000-0400-00009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7" name="Picture 12" descr="España">
          <a:hlinkClick xmlns:r="http://schemas.openxmlformats.org/officeDocument/2006/relationships" r:id="rId90"/>
          <a:extLst>
            <a:ext uri="{FF2B5EF4-FFF2-40B4-BE49-F238E27FC236}">
              <a16:creationId xmlns:a16="http://schemas.microsoft.com/office/drawing/2014/main" id="{00000000-0008-0000-0400-00009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8" name="Picture 13" descr="Nederland">
          <a:hlinkClick xmlns:r="http://schemas.openxmlformats.org/officeDocument/2006/relationships" r:id="rId95"/>
          <a:extLst>
            <a:ext uri="{FF2B5EF4-FFF2-40B4-BE49-F238E27FC236}">
              <a16:creationId xmlns:a16="http://schemas.microsoft.com/office/drawing/2014/main" id="{00000000-0008-0000-0400-00009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9" name="Picture 14" descr="Italia">
          <a:hlinkClick xmlns:r="http://schemas.openxmlformats.org/officeDocument/2006/relationships" r:id="rId96"/>
          <a:extLst>
            <a:ext uri="{FF2B5EF4-FFF2-40B4-BE49-F238E27FC236}">
              <a16:creationId xmlns:a16="http://schemas.microsoft.com/office/drawing/2014/main" id="{00000000-0008-0000-0400-00009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0" name="Picture 16" descr="España">
          <a:hlinkClick xmlns:r="http://schemas.openxmlformats.org/officeDocument/2006/relationships" r:id="rId90"/>
          <a:extLst>
            <a:ext uri="{FF2B5EF4-FFF2-40B4-BE49-F238E27FC236}">
              <a16:creationId xmlns:a16="http://schemas.microsoft.com/office/drawing/2014/main" id="{00000000-0008-0000-0400-00009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1" name="Picture 18" descr="France">
          <a:hlinkClick xmlns:r="http://schemas.openxmlformats.org/officeDocument/2006/relationships" r:id="rId97"/>
          <a:extLst>
            <a:ext uri="{FF2B5EF4-FFF2-40B4-BE49-F238E27FC236}">
              <a16:creationId xmlns:a16="http://schemas.microsoft.com/office/drawing/2014/main" id="{00000000-0008-0000-0400-00009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2" name="Picture 19" descr="France">
          <a:hlinkClick xmlns:r="http://schemas.openxmlformats.org/officeDocument/2006/relationships" r:id="rId97"/>
          <a:extLst>
            <a:ext uri="{FF2B5EF4-FFF2-40B4-BE49-F238E27FC236}">
              <a16:creationId xmlns:a16="http://schemas.microsoft.com/office/drawing/2014/main" id="{00000000-0008-0000-0400-00009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3" name="Picture 21" descr="Argentina">
          <a:hlinkClick xmlns:r="http://schemas.openxmlformats.org/officeDocument/2006/relationships" r:id="rId98"/>
          <a:extLst>
            <a:ext uri="{FF2B5EF4-FFF2-40B4-BE49-F238E27FC236}">
              <a16:creationId xmlns:a16="http://schemas.microsoft.com/office/drawing/2014/main" id="{00000000-0008-0000-0400-00009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4" name="Picture 23" descr="España">
          <a:hlinkClick xmlns:r="http://schemas.openxmlformats.org/officeDocument/2006/relationships" r:id="rId90"/>
          <a:extLst>
            <a:ext uri="{FF2B5EF4-FFF2-40B4-BE49-F238E27FC236}">
              <a16:creationId xmlns:a16="http://schemas.microsoft.com/office/drawing/2014/main" id="{00000000-0008-0000-0400-00009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5" name="Picture 25" descr="Lubnan">
          <a:hlinkClick xmlns:r="http://schemas.openxmlformats.org/officeDocument/2006/relationships" r:id="rId99"/>
          <a:extLst>
            <a:ext uri="{FF2B5EF4-FFF2-40B4-BE49-F238E27FC236}">
              <a16:creationId xmlns:a16="http://schemas.microsoft.com/office/drawing/2014/main" id="{00000000-0008-0000-0400-00009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6" name="Picture 27" descr="Magyarország">
          <a:hlinkClick xmlns:r="http://schemas.openxmlformats.org/officeDocument/2006/relationships" r:id="rId100"/>
          <a:extLst>
            <a:ext uri="{FF2B5EF4-FFF2-40B4-BE49-F238E27FC236}">
              <a16:creationId xmlns:a16="http://schemas.microsoft.com/office/drawing/2014/main" id="{00000000-0008-0000-0400-0000A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7" name="Picture 29" descr="Uruguay">
          <a:hlinkClick xmlns:r="http://schemas.openxmlformats.org/officeDocument/2006/relationships" r:id="rId101"/>
          <a:extLst>
            <a:ext uri="{FF2B5EF4-FFF2-40B4-BE49-F238E27FC236}">
              <a16:creationId xmlns:a16="http://schemas.microsoft.com/office/drawing/2014/main" id="{00000000-0008-0000-0400-0000A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8" name="Picture 30" descr="Italia">
          <a:hlinkClick xmlns:r="http://schemas.openxmlformats.org/officeDocument/2006/relationships" r:id="rId96"/>
          <a:extLst>
            <a:ext uri="{FF2B5EF4-FFF2-40B4-BE49-F238E27FC236}">
              <a16:creationId xmlns:a16="http://schemas.microsoft.com/office/drawing/2014/main" id="{00000000-0008-0000-0400-0000A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9" name="Picture 31" descr="Nederland">
          <a:hlinkClick xmlns:r="http://schemas.openxmlformats.org/officeDocument/2006/relationships" r:id="rId95"/>
          <a:extLst>
            <a:ext uri="{FF2B5EF4-FFF2-40B4-BE49-F238E27FC236}">
              <a16:creationId xmlns:a16="http://schemas.microsoft.com/office/drawing/2014/main" id="{00000000-0008-0000-0400-0000A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0" name="Picture 32" descr="Italia">
          <a:hlinkClick xmlns:r="http://schemas.openxmlformats.org/officeDocument/2006/relationships" r:id="rId96"/>
          <a:extLst>
            <a:ext uri="{FF2B5EF4-FFF2-40B4-BE49-F238E27FC236}">
              <a16:creationId xmlns:a16="http://schemas.microsoft.com/office/drawing/2014/main" id="{00000000-0008-0000-0400-0000A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1" name="Picture 34" descr="Deutschland">
          <a:hlinkClick xmlns:r="http://schemas.openxmlformats.org/officeDocument/2006/relationships" r:id="rId102"/>
          <a:extLst>
            <a:ext uri="{FF2B5EF4-FFF2-40B4-BE49-F238E27FC236}">
              <a16:creationId xmlns:a16="http://schemas.microsoft.com/office/drawing/2014/main" id="{00000000-0008-0000-0400-0000A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2" name="Picture 36" descr="Israel">
          <a:hlinkClick xmlns:r="http://schemas.openxmlformats.org/officeDocument/2006/relationships" r:id="rId103"/>
          <a:extLst>
            <a:ext uri="{FF2B5EF4-FFF2-40B4-BE49-F238E27FC236}">
              <a16:creationId xmlns:a16="http://schemas.microsoft.com/office/drawing/2014/main" id="{00000000-0008-0000-0400-0000A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3" name="Picture 37" descr="Slovensko">
          <a:hlinkClick xmlns:r="http://schemas.openxmlformats.org/officeDocument/2006/relationships" r:id="rId104"/>
          <a:extLst>
            <a:ext uri="{FF2B5EF4-FFF2-40B4-BE49-F238E27FC236}">
              <a16:creationId xmlns:a16="http://schemas.microsoft.com/office/drawing/2014/main" id="{00000000-0008-0000-0400-0000A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4" name="Picture 2" descr="España">
          <a:hlinkClick xmlns:r="http://schemas.openxmlformats.org/officeDocument/2006/relationships" r:id="rId90"/>
          <a:extLst>
            <a:ext uri="{FF2B5EF4-FFF2-40B4-BE49-F238E27FC236}">
              <a16:creationId xmlns:a16="http://schemas.microsoft.com/office/drawing/2014/main" id="{00000000-0008-0000-0400-0000A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5" name="Picture 3" descr="USA">
          <a:hlinkClick xmlns:r="http://schemas.openxmlformats.org/officeDocument/2006/relationships" r:id="rId91"/>
          <a:extLst>
            <a:ext uri="{FF2B5EF4-FFF2-40B4-BE49-F238E27FC236}">
              <a16:creationId xmlns:a16="http://schemas.microsoft.com/office/drawing/2014/main" id="{00000000-0008-0000-0400-0000A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6" name="Picture 5" descr="España">
          <a:hlinkClick xmlns:r="http://schemas.openxmlformats.org/officeDocument/2006/relationships" r:id="rId90"/>
          <a:extLst>
            <a:ext uri="{FF2B5EF4-FFF2-40B4-BE49-F238E27FC236}">
              <a16:creationId xmlns:a16="http://schemas.microsoft.com/office/drawing/2014/main" id="{00000000-0008-0000-0400-0000A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7" name="Picture 6" descr="España">
          <a:hlinkClick xmlns:r="http://schemas.openxmlformats.org/officeDocument/2006/relationships" r:id="rId90"/>
          <a:extLst>
            <a:ext uri="{FF2B5EF4-FFF2-40B4-BE49-F238E27FC236}">
              <a16:creationId xmlns:a16="http://schemas.microsoft.com/office/drawing/2014/main" id="{00000000-0008-0000-0400-0000A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8" name="Picture 7" descr="Sverige">
          <a:hlinkClick xmlns:r="http://schemas.openxmlformats.org/officeDocument/2006/relationships" r:id="rId93"/>
          <a:extLst>
            <a:ext uri="{FF2B5EF4-FFF2-40B4-BE49-F238E27FC236}">
              <a16:creationId xmlns:a16="http://schemas.microsoft.com/office/drawing/2014/main" id="{00000000-0008-0000-0400-0000A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9" name="Picture 9" descr="Suomi">
          <a:hlinkClick xmlns:r="http://schemas.openxmlformats.org/officeDocument/2006/relationships" r:id="rId94"/>
          <a:extLst>
            <a:ext uri="{FF2B5EF4-FFF2-40B4-BE49-F238E27FC236}">
              <a16:creationId xmlns:a16="http://schemas.microsoft.com/office/drawing/2014/main" id="{00000000-0008-0000-0400-0000A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0" name="Picture 10" descr="España">
          <a:hlinkClick xmlns:r="http://schemas.openxmlformats.org/officeDocument/2006/relationships" r:id="rId90"/>
          <a:extLst>
            <a:ext uri="{FF2B5EF4-FFF2-40B4-BE49-F238E27FC236}">
              <a16:creationId xmlns:a16="http://schemas.microsoft.com/office/drawing/2014/main" id="{00000000-0008-0000-0400-0000A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1" name="Picture 11" descr="Nederland">
          <a:hlinkClick xmlns:r="http://schemas.openxmlformats.org/officeDocument/2006/relationships" r:id="rId95"/>
          <a:extLst>
            <a:ext uri="{FF2B5EF4-FFF2-40B4-BE49-F238E27FC236}">
              <a16:creationId xmlns:a16="http://schemas.microsoft.com/office/drawing/2014/main" id="{00000000-0008-0000-0400-0000A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2" name="Picture 13" descr="Deutschland">
          <a:hlinkClick xmlns:r="http://schemas.openxmlformats.org/officeDocument/2006/relationships" r:id="rId102"/>
          <a:extLst>
            <a:ext uri="{FF2B5EF4-FFF2-40B4-BE49-F238E27FC236}">
              <a16:creationId xmlns:a16="http://schemas.microsoft.com/office/drawing/2014/main" id="{00000000-0008-0000-0400-0000B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3" name="Picture 14" descr="España">
          <a:hlinkClick xmlns:r="http://schemas.openxmlformats.org/officeDocument/2006/relationships" r:id="rId90"/>
          <a:extLst>
            <a:ext uri="{FF2B5EF4-FFF2-40B4-BE49-F238E27FC236}">
              <a16:creationId xmlns:a16="http://schemas.microsoft.com/office/drawing/2014/main" id="{00000000-0008-0000-0400-0000B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4" name="Picture 16" descr="France">
          <a:hlinkClick xmlns:r="http://schemas.openxmlformats.org/officeDocument/2006/relationships" r:id="rId97"/>
          <a:extLst>
            <a:ext uri="{FF2B5EF4-FFF2-40B4-BE49-F238E27FC236}">
              <a16:creationId xmlns:a16="http://schemas.microsoft.com/office/drawing/2014/main" id="{00000000-0008-0000-0400-0000B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5" name="Picture 18" descr="France">
          <a:hlinkClick xmlns:r="http://schemas.openxmlformats.org/officeDocument/2006/relationships" r:id="rId97"/>
          <a:extLst>
            <a:ext uri="{FF2B5EF4-FFF2-40B4-BE49-F238E27FC236}">
              <a16:creationId xmlns:a16="http://schemas.microsoft.com/office/drawing/2014/main" id="{00000000-0008-0000-0400-0000B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6" name="Picture 19" descr="Argentina">
          <a:hlinkClick xmlns:r="http://schemas.openxmlformats.org/officeDocument/2006/relationships" r:id="rId98"/>
          <a:extLst>
            <a:ext uri="{FF2B5EF4-FFF2-40B4-BE49-F238E27FC236}">
              <a16:creationId xmlns:a16="http://schemas.microsoft.com/office/drawing/2014/main" id="{00000000-0008-0000-0400-0000B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7" name="Picture 20" descr="España">
          <a:hlinkClick xmlns:r="http://schemas.openxmlformats.org/officeDocument/2006/relationships" r:id="rId90"/>
          <a:extLst>
            <a:ext uri="{FF2B5EF4-FFF2-40B4-BE49-F238E27FC236}">
              <a16:creationId xmlns:a16="http://schemas.microsoft.com/office/drawing/2014/main" id="{00000000-0008-0000-0400-0000B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8" name="Picture 21" descr="Lubnan">
          <a:hlinkClick xmlns:r="http://schemas.openxmlformats.org/officeDocument/2006/relationships" r:id="rId99"/>
          <a:extLst>
            <a:ext uri="{FF2B5EF4-FFF2-40B4-BE49-F238E27FC236}">
              <a16:creationId xmlns:a16="http://schemas.microsoft.com/office/drawing/2014/main" id="{00000000-0008-0000-0400-0000B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9" name="Picture 23" descr="Magyarország">
          <a:hlinkClick xmlns:r="http://schemas.openxmlformats.org/officeDocument/2006/relationships" r:id="rId100"/>
          <a:extLst>
            <a:ext uri="{FF2B5EF4-FFF2-40B4-BE49-F238E27FC236}">
              <a16:creationId xmlns:a16="http://schemas.microsoft.com/office/drawing/2014/main" id="{00000000-0008-0000-0400-0000B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0" name="Picture 25" descr="Uruguay">
          <a:hlinkClick xmlns:r="http://schemas.openxmlformats.org/officeDocument/2006/relationships" r:id="rId101"/>
          <a:extLst>
            <a:ext uri="{FF2B5EF4-FFF2-40B4-BE49-F238E27FC236}">
              <a16:creationId xmlns:a16="http://schemas.microsoft.com/office/drawing/2014/main" id="{00000000-0008-0000-0400-0000B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1" name="Picture 26" descr="Italia">
          <a:hlinkClick xmlns:r="http://schemas.openxmlformats.org/officeDocument/2006/relationships" r:id="rId96"/>
          <a:extLst>
            <a:ext uri="{FF2B5EF4-FFF2-40B4-BE49-F238E27FC236}">
              <a16:creationId xmlns:a16="http://schemas.microsoft.com/office/drawing/2014/main" id="{00000000-0008-0000-0400-0000B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2" name="Picture 27" descr="España">
          <a:hlinkClick xmlns:r="http://schemas.openxmlformats.org/officeDocument/2006/relationships" r:id="rId90"/>
          <a:extLst>
            <a:ext uri="{FF2B5EF4-FFF2-40B4-BE49-F238E27FC236}">
              <a16:creationId xmlns:a16="http://schemas.microsoft.com/office/drawing/2014/main" id="{00000000-0008-0000-0400-0000B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3" name="Picture 28" descr="Nederland">
          <a:hlinkClick xmlns:r="http://schemas.openxmlformats.org/officeDocument/2006/relationships" r:id="rId95"/>
          <a:extLst>
            <a:ext uri="{FF2B5EF4-FFF2-40B4-BE49-F238E27FC236}">
              <a16:creationId xmlns:a16="http://schemas.microsoft.com/office/drawing/2014/main" id="{00000000-0008-0000-0400-0000B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4" name="Picture 29" descr="Italia">
          <a:hlinkClick xmlns:r="http://schemas.openxmlformats.org/officeDocument/2006/relationships" r:id="rId96"/>
          <a:extLst>
            <a:ext uri="{FF2B5EF4-FFF2-40B4-BE49-F238E27FC236}">
              <a16:creationId xmlns:a16="http://schemas.microsoft.com/office/drawing/2014/main" id="{00000000-0008-0000-0400-0000B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5" name="Picture 30" descr="Deutschland">
          <a:hlinkClick xmlns:r="http://schemas.openxmlformats.org/officeDocument/2006/relationships" r:id="rId102"/>
          <a:extLst>
            <a:ext uri="{FF2B5EF4-FFF2-40B4-BE49-F238E27FC236}">
              <a16:creationId xmlns:a16="http://schemas.microsoft.com/office/drawing/2014/main" id="{00000000-0008-0000-0400-0000B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6" name="Picture 32" descr="Israel">
          <a:hlinkClick xmlns:r="http://schemas.openxmlformats.org/officeDocument/2006/relationships" r:id="rId103"/>
          <a:extLst>
            <a:ext uri="{FF2B5EF4-FFF2-40B4-BE49-F238E27FC236}">
              <a16:creationId xmlns:a16="http://schemas.microsoft.com/office/drawing/2014/main" id="{00000000-0008-0000-0400-0000B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7" name="Picture 33" descr="Slovensko">
          <a:hlinkClick xmlns:r="http://schemas.openxmlformats.org/officeDocument/2006/relationships" r:id="rId104"/>
          <a:extLst>
            <a:ext uri="{FF2B5EF4-FFF2-40B4-BE49-F238E27FC236}">
              <a16:creationId xmlns:a16="http://schemas.microsoft.com/office/drawing/2014/main" id="{00000000-0008-0000-0400-0000B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008" name="Picture 36" descr="España">
          <a:hlinkClick xmlns:r="http://schemas.openxmlformats.org/officeDocument/2006/relationships" r:id="rId77"/>
          <a:extLst>
            <a:ext uri="{FF2B5EF4-FFF2-40B4-BE49-F238E27FC236}">
              <a16:creationId xmlns:a16="http://schemas.microsoft.com/office/drawing/2014/main" id="{00000000-0008-0000-0400-0000C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009" name="Picture 36" descr="España">
          <a:hlinkClick xmlns:r="http://schemas.openxmlformats.org/officeDocument/2006/relationships" r:id="rId77"/>
          <a:extLst>
            <a:ext uri="{FF2B5EF4-FFF2-40B4-BE49-F238E27FC236}">
              <a16:creationId xmlns:a16="http://schemas.microsoft.com/office/drawing/2014/main" id="{00000000-0008-0000-0400-0000C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7</xdr:row>
      <xdr:rowOff>0</xdr:rowOff>
    </xdr:from>
    <xdr:ext cx="9525" cy="9525"/>
    <xdr:pic>
      <xdr:nvPicPr>
        <xdr:cNvPr id="3010" name="Picture 18" descr="Nederland">
          <a:hlinkClick xmlns:r="http://schemas.openxmlformats.org/officeDocument/2006/relationships" r:id="rId10"/>
          <a:extLst>
            <a:ext uri="{FF2B5EF4-FFF2-40B4-BE49-F238E27FC236}">
              <a16:creationId xmlns:a16="http://schemas.microsoft.com/office/drawing/2014/main" id="{00000000-0008-0000-0400-0000C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1" name="Picture 29" descr="Belgium">
          <a:hlinkClick xmlns:r="http://schemas.openxmlformats.org/officeDocument/2006/relationships" r:id="rId15"/>
          <a:extLst>
            <a:ext uri="{FF2B5EF4-FFF2-40B4-BE49-F238E27FC236}">
              <a16:creationId xmlns:a16="http://schemas.microsoft.com/office/drawing/2014/main" id="{00000000-0008-0000-0400-0000C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2" name="Picture 16" descr="Colombia">
          <a:hlinkClick xmlns:r="http://schemas.openxmlformats.org/officeDocument/2006/relationships" r:id="rId21"/>
          <a:extLst>
            <a:ext uri="{FF2B5EF4-FFF2-40B4-BE49-F238E27FC236}">
              <a16:creationId xmlns:a16="http://schemas.microsoft.com/office/drawing/2014/main" id="{00000000-0008-0000-0400-0000C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3" name="Picture 30" descr="España">
          <a:hlinkClick xmlns:r="http://schemas.openxmlformats.org/officeDocument/2006/relationships" r:id="rId17"/>
          <a:extLst>
            <a:ext uri="{FF2B5EF4-FFF2-40B4-BE49-F238E27FC236}">
              <a16:creationId xmlns:a16="http://schemas.microsoft.com/office/drawing/2014/main" id="{00000000-0008-0000-0400-0000C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4" name="Picture 36" descr="España">
          <a:hlinkClick xmlns:r="http://schemas.openxmlformats.org/officeDocument/2006/relationships" r:id="rId17"/>
          <a:extLst>
            <a:ext uri="{FF2B5EF4-FFF2-40B4-BE49-F238E27FC236}">
              <a16:creationId xmlns:a16="http://schemas.microsoft.com/office/drawing/2014/main" id="{00000000-0008-0000-0400-0000C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5" name="Picture 42" descr="Portugal">
          <a:hlinkClick xmlns:r="http://schemas.openxmlformats.org/officeDocument/2006/relationships" r:id="rId22"/>
          <a:extLst>
            <a:ext uri="{FF2B5EF4-FFF2-40B4-BE49-F238E27FC236}">
              <a16:creationId xmlns:a16="http://schemas.microsoft.com/office/drawing/2014/main" id="{00000000-0008-0000-0400-0000C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6" name="Picture 11" descr="Deutschland">
          <a:hlinkClick xmlns:r="http://schemas.openxmlformats.org/officeDocument/2006/relationships" r:id="rId34"/>
          <a:extLst>
            <a:ext uri="{FF2B5EF4-FFF2-40B4-BE49-F238E27FC236}">
              <a16:creationId xmlns:a16="http://schemas.microsoft.com/office/drawing/2014/main" id="{00000000-0008-0000-0400-0000C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7" name="Picture 22" descr="Deutschland">
          <a:hlinkClick xmlns:r="http://schemas.openxmlformats.org/officeDocument/2006/relationships" r:id="rId34"/>
          <a:extLst>
            <a:ext uri="{FF2B5EF4-FFF2-40B4-BE49-F238E27FC236}">
              <a16:creationId xmlns:a16="http://schemas.microsoft.com/office/drawing/2014/main" id="{00000000-0008-0000-0400-0000C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8" name="Picture 28" descr="España">
          <a:hlinkClick xmlns:r="http://schemas.openxmlformats.org/officeDocument/2006/relationships" r:id="rId31"/>
          <a:extLst>
            <a:ext uri="{FF2B5EF4-FFF2-40B4-BE49-F238E27FC236}">
              <a16:creationId xmlns:a16="http://schemas.microsoft.com/office/drawing/2014/main" id="{00000000-0008-0000-0400-0000C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9" name="Picture 34" descr="România">
          <a:hlinkClick xmlns:r="http://schemas.openxmlformats.org/officeDocument/2006/relationships" r:id="rId44"/>
          <a:extLst>
            <a:ext uri="{FF2B5EF4-FFF2-40B4-BE49-F238E27FC236}">
              <a16:creationId xmlns:a16="http://schemas.microsoft.com/office/drawing/2014/main" id="{00000000-0008-0000-0400-0000C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0" name="Picture 11" descr="Deutschland">
          <a:hlinkClick xmlns:r="http://schemas.openxmlformats.org/officeDocument/2006/relationships" r:id="rId48"/>
          <a:extLst>
            <a:ext uri="{FF2B5EF4-FFF2-40B4-BE49-F238E27FC236}">
              <a16:creationId xmlns:a16="http://schemas.microsoft.com/office/drawing/2014/main" id="{00000000-0008-0000-0400-0000C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1" name="Picture 23" descr="España">
          <a:hlinkClick xmlns:r="http://schemas.openxmlformats.org/officeDocument/2006/relationships" r:id="rId45"/>
          <a:extLst>
            <a:ext uri="{FF2B5EF4-FFF2-40B4-BE49-F238E27FC236}">
              <a16:creationId xmlns:a16="http://schemas.microsoft.com/office/drawing/2014/main" id="{00000000-0008-0000-0400-0000C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2" name="Picture 29" descr="España">
          <a:hlinkClick xmlns:r="http://schemas.openxmlformats.org/officeDocument/2006/relationships" r:id="rId45"/>
          <a:extLst>
            <a:ext uri="{FF2B5EF4-FFF2-40B4-BE49-F238E27FC236}">
              <a16:creationId xmlns:a16="http://schemas.microsoft.com/office/drawing/2014/main" id="{00000000-0008-0000-0400-0000C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3" name="Picture 35" descr="España">
          <a:hlinkClick xmlns:r="http://schemas.openxmlformats.org/officeDocument/2006/relationships" r:id="rId45"/>
          <a:extLst>
            <a:ext uri="{FF2B5EF4-FFF2-40B4-BE49-F238E27FC236}">
              <a16:creationId xmlns:a16="http://schemas.microsoft.com/office/drawing/2014/main" id="{00000000-0008-0000-0400-0000C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4" name="Picture 11" descr="Deutschland">
          <a:hlinkClick xmlns:r="http://schemas.openxmlformats.org/officeDocument/2006/relationships" r:id="rId12"/>
          <a:extLst>
            <a:ext uri="{FF2B5EF4-FFF2-40B4-BE49-F238E27FC236}">
              <a16:creationId xmlns:a16="http://schemas.microsoft.com/office/drawing/2014/main" id="{00000000-0008-0000-0400-0000D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5" name="Picture 23" descr="España">
          <a:hlinkClick xmlns:r="http://schemas.openxmlformats.org/officeDocument/2006/relationships" r:id="rId1"/>
          <a:extLst>
            <a:ext uri="{FF2B5EF4-FFF2-40B4-BE49-F238E27FC236}">
              <a16:creationId xmlns:a16="http://schemas.microsoft.com/office/drawing/2014/main" id="{00000000-0008-0000-0400-0000D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6" name="Picture 27" descr="España">
          <a:hlinkClick xmlns:r="http://schemas.openxmlformats.org/officeDocument/2006/relationships" r:id="rId1"/>
          <a:extLst>
            <a:ext uri="{FF2B5EF4-FFF2-40B4-BE49-F238E27FC236}">
              <a16:creationId xmlns:a16="http://schemas.microsoft.com/office/drawing/2014/main" id="{00000000-0008-0000-0400-0000D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7" name="Picture 34" descr="España">
          <a:hlinkClick xmlns:r="http://schemas.openxmlformats.org/officeDocument/2006/relationships" r:id="rId1"/>
          <a:extLst>
            <a:ext uri="{FF2B5EF4-FFF2-40B4-BE49-F238E27FC236}">
              <a16:creationId xmlns:a16="http://schemas.microsoft.com/office/drawing/2014/main" id="{00000000-0008-0000-0400-0000D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8" name="Picture 11" descr="Deutschland">
          <a:hlinkClick xmlns:r="http://schemas.openxmlformats.org/officeDocument/2006/relationships" r:id="rId66"/>
          <a:extLst>
            <a:ext uri="{FF2B5EF4-FFF2-40B4-BE49-F238E27FC236}">
              <a16:creationId xmlns:a16="http://schemas.microsoft.com/office/drawing/2014/main" id="{00000000-0008-0000-0400-0000D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9" name="Picture 24" descr="España">
          <a:hlinkClick xmlns:r="http://schemas.openxmlformats.org/officeDocument/2006/relationships" r:id="rId63"/>
          <a:extLst>
            <a:ext uri="{FF2B5EF4-FFF2-40B4-BE49-F238E27FC236}">
              <a16:creationId xmlns:a16="http://schemas.microsoft.com/office/drawing/2014/main" id="{00000000-0008-0000-0400-0000D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0" name="Picture 29" descr="España">
          <a:hlinkClick xmlns:r="http://schemas.openxmlformats.org/officeDocument/2006/relationships" r:id="rId63"/>
          <a:extLst>
            <a:ext uri="{FF2B5EF4-FFF2-40B4-BE49-F238E27FC236}">
              <a16:creationId xmlns:a16="http://schemas.microsoft.com/office/drawing/2014/main" id="{00000000-0008-0000-0400-0000D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1" name="Picture 36" descr="España">
          <a:hlinkClick xmlns:r="http://schemas.openxmlformats.org/officeDocument/2006/relationships" r:id="rId63"/>
          <a:extLst>
            <a:ext uri="{FF2B5EF4-FFF2-40B4-BE49-F238E27FC236}">
              <a16:creationId xmlns:a16="http://schemas.microsoft.com/office/drawing/2014/main" id="{00000000-0008-0000-0400-0000D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2" name="Picture 11" descr="Deutschland">
          <a:hlinkClick xmlns:r="http://schemas.openxmlformats.org/officeDocument/2006/relationships" r:id="rId79"/>
          <a:extLst>
            <a:ext uri="{FF2B5EF4-FFF2-40B4-BE49-F238E27FC236}">
              <a16:creationId xmlns:a16="http://schemas.microsoft.com/office/drawing/2014/main" id="{00000000-0008-0000-0400-0000D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3" name="Picture 23" descr="Slovenija">
          <a:hlinkClick xmlns:r="http://schemas.openxmlformats.org/officeDocument/2006/relationships" r:id="rId87"/>
          <a:extLst>
            <a:ext uri="{FF2B5EF4-FFF2-40B4-BE49-F238E27FC236}">
              <a16:creationId xmlns:a16="http://schemas.microsoft.com/office/drawing/2014/main" id="{00000000-0008-0000-0400-0000D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4" name="Picture 27" descr="Polska">
          <a:hlinkClick xmlns:r="http://schemas.openxmlformats.org/officeDocument/2006/relationships" r:id="rId85"/>
          <a:extLst>
            <a:ext uri="{FF2B5EF4-FFF2-40B4-BE49-F238E27FC236}">
              <a16:creationId xmlns:a16="http://schemas.microsoft.com/office/drawing/2014/main" id="{00000000-0008-0000-0400-0000D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5" name="Picture 32" descr="España">
          <a:hlinkClick xmlns:r="http://schemas.openxmlformats.org/officeDocument/2006/relationships" r:id="rId77"/>
          <a:extLst>
            <a:ext uri="{FF2B5EF4-FFF2-40B4-BE49-F238E27FC236}">
              <a16:creationId xmlns:a16="http://schemas.microsoft.com/office/drawing/2014/main" id="{00000000-0008-0000-0400-0000D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11</xdr:row>
      <xdr:rowOff>0</xdr:rowOff>
    </xdr:from>
    <xdr:ext cx="9525" cy="9525"/>
    <xdr:pic>
      <xdr:nvPicPr>
        <xdr:cNvPr id="3036" name="Picture 14" descr="España">
          <a:hlinkClick xmlns:r="http://schemas.openxmlformats.org/officeDocument/2006/relationships" r:id="rId1"/>
          <a:extLst>
            <a:ext uri="{FF2B5EF4-FFF2-40B4-BE49-F238E27FC236}">
              <a16:creationId xmlns:a16="http://schemas.microsoft.com/office/drawing/2014/main" id="{00000000-0008-0000-0400-0000D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7" name="Picture 16" descr="Nederland">
          <a:hlinkClick xmlns:r="http://schemas.openxmlformats.org/officeDocument/2006/relationships" r:id="rId10"/>
          <a:extLst>
            <a:ext uri="{FF2B5EF4-FFF2-40B4-BE49-F238E27FC236}">
              <a16:creationId xmlns:a16="http://schemas.microsoft.com/office/drawing/2014/main" id="{00000000-0008-0000-0400-0000D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8" name="Picture 17" descr="Polska">
          <a:hlinkClick xmlns:r="http://schemas.openxmlformats.org/officeDocument/2006/relationships" r:id="rId5"/>
          <a:extLst>
            <a:ext uri="{FF2B5EF4-FFF2-40B4-BE49-F238E27FC236}">
              <a16:creationId xmlns:a16="http://schemas.microsoft.com/office/drawing/2014/main" id="{00000000-0008-0000-0400-0000D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9" name="Picture 19" descr="Danmark">
          <a:hlinkClick xmlns:r="http://schemas.openxmlformats.org/officeDocument/2006/relationships" r:id="rId11"/>
          <a:extLst>
            <a:ext uri="{FF2B5EF4-FFF2-40B4-BE49-F238E27FC236}">
              <a16:creationId xmlns:a16="http://schemas.microsoft.com/office/drawing/2014/main" id="{00000000-0008-0000-0400-0000D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0" name="Picture 20" descr="España">
          <a:hlinkClick xmlns:r="http://schemas.openxmlformats.org/officeDocument/2006/relationships" r:id="rId1"/>
          <a:extLst>
            <a:ext uri="{FF2B5EF4-FFF2-40B4-BE49-F238E27FC236}">
              <a16:creationId xmlns:a16="http://schemas.microsoft.com/office/drawing/2014/main" id="{00000000-0008-0000-0400-0000E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1" name="Picture 21" descr="Deutschland">
          <a:hlinkClick xmlns:r="http://schemas.openxmlformats.org/officeDocument/2006/relationships" r:id="rId12"/>
          <a:extLst>
            <a:ext uri="{FF2B5EF4-FFF2-40B4-BE49-F238E27FC236}">
              <a16:creationId xmlns:a16="http://schemas.microsoft.com/office/drawing/2014/main" id="{00000000-0008-0000-0400-0000E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2" name="Picture 22" descr="España">
          <a:hlinkClick xmlns:r="http://schemas.openxmlformats.org/officeDocument/2006/relationships" r:id="rId1"/>
          <a:extLst>
            <a:ext uri="{FF2B5EF4-FFF2-40B4-BE49-F238E27FC236}">
              <a16:creationId xmlns:a16="http://schemas.microsoft.com/office/drawing/2014/main" id="{00000000-0008-0000-0400-0000E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3" name="Picture 23" descr="España">
          <a:hlinkClick xmlns:r="http://schemas.openxmlformats.org/officeDocument/2006/relationships" r:id="rId1"/>
          <a:extLst>
            <a:ext uri="{FF2B5EF4-FFF2-40B4-BE49-F238E27FC236}">
              <a16:creationId xmlns:a16="http://schemas.microsoft.com/office/drawing/2014/main" id="{00000000-0008-0000-0400-0000E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4" name="Picture 24" descr="España">
          <a:hlinkClick xmlns:r="http://schemas.openxmlformats.org/officeDocument/2006/relationships" r:id="rId1"/>
          <a:extLst>
            <a:ext uri="{FF2B5EF4-FFF2-40B4-BE49-F238E27FC236}">
              <a16:creationId xmlns:a16="http://schemas.microsoft.com/office/drawing/2014/main" id="{00000000-0008-0000-0400-0000E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5" name="Picture 25" descr="Israel">
          <a:hlinkClick xmlns:r="http://schemas.openxmlformats.org/officeDocument/2006/relationships" r:id="rId13"/>
          <a:extLst>
            <a:ext uri="{FF2B5EF4-FFF2-40B4-BE49-F238E27FC236}">
              <a16:creationId xmlns:a16="http://schemas.microsoft.com/office/drawing/2014/main" id="{00000000-0008-0000-0400-0000E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6" name="Picture 26" descr="España">
          <a:hlinkClick xmlns:r="http://schemas.openxmlformats.org/officeDocument/2006/relationships" r:id="rId1"/>
          <a:extLst>
            <a:ext uri="{FF2B5EF4-FFF2-40B4-BE49-F238E27FC236}">
              <a16:creationId xmlns:a16="http://schemas.microsoft.com/office/drawing/2014/main" id="{00000000-0008-0000-0400-0000E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7" name="Picture 27" descr="Việt Nam">
          <a:hlinkClick xmlns:r="http://schemas.openxmlformats.org/officeDocument/2006/relationships" r:id="rId14"/>
          <a:extLst>
            <a:ext uri="{FF2B5EF4-FFF2-40B4-BE49-F238E27FC236}">
              <a16:creationId xmlns:a16="http://schemas.microsoft.com/office/drawing/2014/main" id="{00000000-0008-0000-0400-0000E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8" name="Picture 28" descr="Italia">
          <a:hlinkClick xmlns:r="http://schemas.openxmlformats.org/officeDocument/2006/relationships" r:id="rId4"/>
          <a:extLst>
            <a:ext uri="{FF2B5EF4-FFF2-40B4-BE49-F238E27FC236}">
              <a16:creationId xmlns:a16="http://schemas.microsoft.com/office/drawing/2014/main" id="{00000000-0008-0000-0400-0000E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9" name="Picture 30" descr="España">
          <a:hlinkClick xmlns:r="http://schemas.openxmlformats.org/officeDocument/2006/relationships" r:id="rId1"/>
          <a:extLst>
            <a:ext uri="{FF2B5EF4-FFF2-40B4-BE49-F238E27FC236}">
              <a16:creationId xmlns:a16="http://schemas.microsoft.com/office/drawing/2014/main" id="{00000000-0008-0000-0400-0000E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0" name="Picture 32" descr="Portugal">
          <a:hlinkClick xmlns:r="http://schemas.openxmlformats.org/officeDocument/2006/relationships" r:id="rId16"/>
          <a:extLst>
            <a:ext uri="{FF2B5EF4-FFF2-40B4-BE49-F238E27FC236}">
              <a16:creationId xmlns:a16="http://schemas.microsoft.com/office/drawing/2014/main" id="{00000000-0008-0000-0400-0000E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1" name="Picture 12" descr="Suomi">
          <a:hlinkClick xmlns:r="http://schemas.openxmlformats.org/officeDocument/2006/relationships" r:id="rId19"/>
          <a:extLst>
            <a:ext uri="{FF2B5EF4-FFF2-40B4-BE49-F238E27FC236}">
              <a16:creationId xmlns:a16="http://schemas.microsoft.com/office/drawing/2014/main" id="{00000000-0008-0000-0400-0000E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2" name="Picture 14" descr="Deutschland">
          <a:hlinkClick xmlns:r="http://schemas.openxmlformats.org/officeDocument/2006/relationships" r:id="rId20"/>
          <a:extLst>
            <a:ext uri="{FF2B5EF4-FFF2-40B4-BE49-F238E27FC236}">
              <a16:creationId xmlns:a16="http://schemas.microsoft.com/office/drawing/2014/main" id="{00000000-0008-0000-0400-0000E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3" name="Picture 15" descr="España">
          <a:hlinkClick xmlns:r="http://schemas.openxmlformats.org/officeDocument/2006/relationships" r:id="rId17"/>
          <a:extLst>
            <a:ext uri="{FF2B5EF4-FFF2-40B4-BE49-F238E27FC236}">
              <a16:creationId xmlns:a16="http://schemas.microsoft.com/office/drawing/2014/main" id="{00000000-0008-0000-0400-0000E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4" name="Picture 17" descr="Portugal">
          <a:hlinkClick xmlns:r="http://schemas.openxmlformats.org/officeDocument/2006/relationships" r:id="rId22"/>
          <a:extLst>
            <a:ext uri="{FF2B5EF4-FFF2-40B4-BE49-F238E27FC236}">
              <a16:creationId xmlns:a16="http://schemas.microsoft.com/office/drawing/2014/main" id="{00000000-0008-0000-0400-0000E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5" name="Picture 18" descr="Nederland">
          <a:hlinkClick xmlns:r="http://schemas.openxmlformats.org/officeDocument/2006/relationships" r:id="rId23"/>
          <a:extLst>
            <a:ext uri="{FF2B5EF4-FFF2-40B4-BE49-F238E27FC236}">
              <a16:creationId xmlns:a16="http://schemas.microsoft.com/office/drawing/2014/main" id="{00000000-0008-0000-0400-0000E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6" name="Picture 19" descr="Northern Ireland">
          <a:hlinkClick xmlns:r="http://schemas.openxmlformats.org/officeDocument/2006/relationships" r:id="rId24"/>
          <a:extLst>
            <a:ext uri="{FF2B5EF4-FFF2-40B4-BE49-F238E27FC236}">
              <a16:creationId xmlns:a16="http://schemas.microsoft.com/office/drawing/2014/main" id="{00000000-0008-0000-0400-0000F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7" name="Picture 20" descr="China">
          <a:hlinkClick xmlns:r="http://schemas.openxmlformats.org/officeDocument/2006/relationships" r:id="rId25"/>
          <a:extLst>
            <a:ext uri="{FF2B5EF4-FFF2-40B4-BE49-F238E27FC236}">
              <a16:creationId xmlns:a16="http://schemas.microsoft.com/office/drawing/2014/main" id="{00000000-0008-0000-0400-0000F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8" name="Picture 21" descr="Polska">
          <a:hlinkClick xmlns:r="http://schemas.openxmlformats.org/officeDocument/2006/relationships" r:id="rId26"/>
          <a:extLst>
            <a:ext uri="{FF2B5EF4-FFF2-40B4-BE49-F238E27FC236}">
              <a16:creationId xmlns:a16="http://schemas.microsoft.com/office/drawing/2014/main" id="{00000000-0008-0000-0400-0000F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9" name="Picture 23" descr="Nederland">
          <a:hlinkClick xmlns:r="http://schemas.openxmlformats.org/officeDocument/2006/relationships" r:id="rId23"/>
          <a:extLst>
            <a:ext uri="{FF2B5EF4-FFF2-40B4-BE49-F238E27FC236}">
              <a16:creationId xmlns:a16="http://schemas.microsoft.com/office/drawing/2014/main" id="{00000000-0008-0000-0400-0000F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0" name="Picture 25" descr="Danmark">
          <a:hlinkClick xmlns:r="http://schemas.openxmlformats.org/officeDocument/2006/relationships" r:id="rId27"/>
          <a:extLst>
            <a:ext uri="{FF2B5EF4-FFF2-40B4-BE49-F238E27FC236}">
              <a16:creationId xmlns:a16="http://schemas.microsoft.com/office/drawing/2014/main" id="{00000000-0008-0000-0400-0000F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1" name="Picture 26" descr="España">
          <a:hlinkClick xmlns:r="http://schemas.openxmlformats.org/officeDocument/2006/relationships" r:id="rId17"/>
          <a:extLst>
            <a:ext uri="{FF2B5EF4-FFF2-40B4-BE49-F238E27FC236}">
              <a16:creationId xmlns:a16="http://schemas.microsoft.com/office/drawing/2014/main" id="{00000000-0008-0000-0400-0000F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2" name="Picture 27" descr="Deutschland">
          <a:hlinkClick xmlns:r="http://schemas.openxmlformats.org/officeDocument/2006/relationships" r:id="rId20"/>
          <a:extLst>
            <a:ext uri="{FF2B5EF4-FFF2-40B4-BE49-F238E27FC236}">
              <a16:creationId xmlns:a16="http://schemas.microsoft.com/office/drawing/2014/main" id="{00000000-0008-0000-0400-0000F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3" name="Picture 28" descr="Polska">
          <a:hlinkClick xmlns:r="http://schemas.openxmlformats.org/officeDocument/2006/relationships" r:id="rId26"/>
          <a:extLst>
            <a:ext uri="{FF2B5EF4-FFF2-40B4-BE49-F238E27FC236}">
              <a16:creationId xmlns:a16="http://schemas.microsoft.com/office/drawing/2014/main" id="{00000000-0008-0000-0400-0000F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4" name="Picture 31" descr="España">
          <a:hlinkClick xmlns:r="http://schemas.openxmlformats.org/officeDocument/2006/relationships" r:id="rId17"/>
          <a:extLst>
            <a:ext uri="{FF2B5EF4-FFF2-40B4-BE49-F238E27FC236}">
              <a16:creationId xmlns:a16="http://schemas.microsoft.com/office/drawing/2014/main" id="{00000000-0008-0000-0400-0000F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5" name="Picture 33" descr="España">
          <a:hlinkClick xmlns:r="http://schemas.openxmlformats.org/officeDocument/2006/relationships" r:id="rId17"/>
          <a:extLst>
            <a:ext uri="{FF2B5EF4-FFF2-40B4-BE49-F238E27FC236}">
              <a16:creationId xmlns:a16="http://schemas.microsoft.com/office/drawing/2014/main" id="{00000000-0008-0000-0400-0000F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6" name="Picture 37" descr="Việt Nam">
          <a:hlinkClick xmlns:r="http://schemas.openxmlformats.org/officeDocument/2006/relationships" r:id="rId28"/>
          <a:extLst>
            <a:ext uri="{FF2B5EF4-FFF2-40B4-BE49-F238E27FC236}">
              <a16:creationId xmlns:a16="http://schemas.microsoft.com/office/drawing/2014/main" id="{00000000-0008-0000-0400-0000F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7" name="Picture 38" descr="Italia">
          <a:hlinkClick xmlns:r="http://schemas.openxmlformats.org/officeDocument/2006/relationships" r:id="rId29"/>
          <a:extLst>
            <a:ext uri="{FF2B5EF4-FFF2-40B4-BE49-F238E27FC236}">
              <a16:creationId xmlns:a16="http://schemas.microsoft.com/office/drawing/2014/main" id="{00000000-0008-0000-0400-0000F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8" name="Picture 39" descr="España">
          <a:hlinkClick xmlns:r="http://schemas.openxmlformats.org/officeDocument/2006/relationships" r:id="rId17"/>
          <a:extLst>
            <a:ext uri="{FF2B5EF4-FFF2-40B4-BE49-F238E27FC236}">
              <a16:creationId xmlns:a16="http://schemas.microsoft.com/office/drawing/2014/main" id="{00000000-0008-0000-0400-0000F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9" name="Picture 7" descr="España">
          <a:hlinkClick xmlns:r="http://schemas.openxmlformats.org/officeDocument/2006/relationships" r:id="rId31"/>
          <a:extLst>
            <a:ext uri="{FF2B5EF4-FFF2-40B4-BE49-F238E27FC236}">
              <a16:creationId xmlns:a16="http://schemas.microsoft.com/office/drawing/2014/main" id="{00000000-0008-0000-0400-0000F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0" name="Picture 9" descr="España">
          <a:hlinkClick xmlns:r="http://schemas.openxmlformats.org/officeDocument/2006/relationships" r:id="rId31"/>
          <a:extLst>
            <a:ext uri="{FF2B5EF4-FFF2-40B4-BE49-F238E27FC236}">
              <a16:creationId xmlns:a16="http://schemas.microsoft.com/office/drawing/2014/main" id="{00000000-0008-0000-0400-0000F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1" name="Picture 10" descr="Suomi">
          <a:hlinkClick xmlns:r="http://schemas.openxmlformats.org/officeDocument/2006/relationships" r:id="rId33"/>
          <a:extLst>
            <a:ext uri="{FF2B5EF4-FFF2-40B4-BE49-F238E27FC236}">
              <a16:creationId xmlns:a16="http://schemas.microsoft.com/office/drawing/2014/main" id="{00000000-0008-0000-0400-0000F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2" name="Picture 12" descr="Deutschland">
          <a:hlinkClick xmlns:r="http://schemas.openxmlformats.org/officeDocument/2006/relationships" r:id="rId34"/>
          <a:extLst>
            <a:ext uri="{FF2B5EF4-FFF2-40B4-BE49-F238E27FC236}">
              <a16:creationId xmlns:a16="http://schemas.microsoft.com/office/drawing/2014/main" id="{00000000-0008-0000-0400-00000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3" name="Picture 13" descr="España">
          <a:hlinkClick xmlns:r="http://schemas.openxmlformats.org/officeDocument/2006/relationships" r:id="rId31"/>
          <a:extLst>
            <a:ext uri="{FF2B5EF4-FFF2-40B4-BE49-F238E27FC236}">
              <a16:creationId xmlns:a16="http://schemas.microsoft.com/office/drawing/2014/main" id="{00000000-0008-0000-0400-00000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4" name="Picture 14" descr="Colombia">
          <a:hlinkClick xmlns:r="http://schemas.openxmlformats.org/officeDocument/2006/relationships" r:id="rId35"/>
          <a:extLst>
            <a:ext uri="{FF2B5EF4-FFF2-40B4-BE49-F238E27FC236}">
              <a16:creationId xmlns:a16="http://schemas.microsoft.com/office/drawing/2014/main" id="{00000000-0008-0000-0400-00000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5" name="Picture 15" descr="Portugal">
          <a:hlinkClick xmlns:r="http://schemas.openxmlformats.org/officeDocument/2006/relationships" r:id="rId36"/>
          <a:extLst>
            <a:ext uri="{FF2B5EF4-FFF2-40B4-BE49-F238E27FC236}">
              <a16:creationId xmlns:a16="http://schemas.microsoft.com/office/drawing/2014/main" id="{00000000-0008-0000-0400-00000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6" name="Picture 16" descr="Nederland">
          <a:hlinkClick xmlns:r="http://schemas.openxmlformats.org/officeDocument/2006/relationships" r:id="rId37"/>
          <a:extLst>
            <a:ext uri="{FF2B5EF4-FFF2-40B4-BE49-F238E27FC236}">
              <a16:creationId xmlns:a16="http://schemas.microsoft.com/office/drawing/2014/main" id="{00000000-0008-0000-0400-00000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7" name="Picture 17" descr="Northern Ireland">
          <a:hlinkClick xmlns:r="http://schemas.openxmlformats.org/officeDocument/2006/relationships" r:id="rId38"/>
          <a:extLst>
            <a:ext uri="{FF2B5EF4-FFF2-40B4-BE49-F238E27FC236}">
              <a16:creationId xmlns:a16="http://schemas.microsoft.com/office/drawing/2014/main" id="{00000000-0008-0000-0400-00000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8" name="Picture 18" descr="China">
          <a:hlinkClick xmlns:r="http://schemas.openxmlformats.org/officeDocument/2006/relationships" r:id="rId39"/>
          <a:extLst>
            <a:ext uri="{FF2B5EF4-FFF2-40B4-BE49-F238E27FC236}">
              <a16:creationId xmlns:a16="http://schemas.microsoft.com/office/drawing/2014/main" id="{00000000-0008-0000-0400-00000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9" name="Picture 19" descr="Polska">
          <a:hlinkClick xmlns:r="http://schemas.openxmlformats.org/officeDocument/2006/relationships" r:id="rId40"/>
          <a:extLst>
            <a:ext uri="{FF2B5EF4-FFF2-40B4-BE49-F238E27FC236}">
              <a16:creationId xmlns:a16="http://schemas.microsoft.com/office/drawing/2014/main" id="{00000000-0008-0000-0400-00000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0" name="Picture 20" descr="Danmark">
          <a:hlinkClick xmlns:r="http://schemas.openxmlformats.org/officeDocument/2006/relationships" r:id="rId41"/>
          <a:extLst>
            <a:ext uri="{FF2B5EF4-FFF2-40B4-BE49-F238E27FC236}">
              <a16:creationId xmlns:a16="http://schemas.microsoft.com/office/drawing/2014/main" id="{00000000-0008-0000-0400-00000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1" name="Picture 21" descr="España">
          <a:hlinkClick xmlns:r="http://schemas.openxmlformats.org/officeDocument/2006/relationships" r:id="rId31"/>
          <a:extLst>
            <a:ext uri="{FF2B5EF4-FFF2-40B4-BE49-F238E27FC236}">
              <a16:creationId xmlns:a16="http://schemas.microsoft.com/office/drawing/2014/main" id="{00000000-0008-0000-0400-00000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2" name="Picture 24" descr="Polska">
          <a:hlinkClick xmlns:r="http://schemas.openxmlformats.org/officeDocument/2006/relationships" r:id="rId40"/>
          <a:extLst>
            <a:ext uri="{FF2B5EF4-FFF2-40B4-BE49-F238E27FC236}">
              <a16:creationId xmlns:a16="http://schemas.microsoft.com/office/drawing/2014/main" id="{00000000-0008-0000-0400-00000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3" name="Picture 27" descr="España">
          <a:hlinkClick xmlns:r="http://schemas.openxmlformats.org/officeDocument/2006/relationships" r:id="rId31"/>
          <a:extLst>
            <a:ext uri="{FF2B5EF4-FFF2-40B4-BE49-F238E27FC236}">
              <a16:creationId xmlns:a16="http://schemas.microsoft.com/office/drawing/2014/main" id="{00000000-0008-0000-0400-00000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4" name="Picture 29" descr="España">
          <a:hlinkClick xmlns:r="http://schemas.openxmlformats.org/officeDocument/2006/relationships" r:id="rId31"/>
          <a:extLst>
            <a:ext uri="{FF2B5EF4-FFF2-40B4-BE49-F238E27FC236}">
              <a16:creationId xmlns:a16="http://schemas.microsoft.com/office/drawing/2014/main" id="{00000000-0008-0000-0400-00000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5" name="Picture 30" descr="Việt Nam">
          <a:hlinkClick xmlns:r="http://schemas.openxmlformats.org/officeDocument/2006/relationships" r:id="rId42"/>
          <a:extLst>
            <a:ext uri="{FF2B5EF4-FFF2-40B4-BE49-F238E27FC236}">
              <a16:creationId xmlns:a16="http://schemas.microsoft.com/office/drawing/2014/main" id="{00000000-0008-0000-0400-00000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6" name="Picture 31" descr="Italia">
          <a:hlinkClick xmlns:r="http://schemas.openxmlformats.org/officeDocument/2006/relationships" r:id="rId43"/>
          <a:extLst>
            <a:ext uri="{FF2B5EF4-FFF2-40B4-BE49-F238E27FC236}">
              <a16:creationId xmlns:a16="http://schemas.microsoft.com/office/drawing/2014/main" id="{00000000-0008-0000-0400-00000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7" name="Picture 35" descr="España">
          <a:hlinkClick xmlns:r="http://schemas.openxmlformats.org/officeDocument/2006/relationships" r:id="rId31"/>
          <a:extLst>
            <a:ext uri="{FF2B5EF4-FFF2-40B4-BE49-F238E27FC236}">
              <a16:creationId xmlns:a16="http://schemas.microsoft.com/office/drawing/2014/main" id="{00000000-0008-0000-0400-00000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8" name="Picture 7" descr="España">
          <a:hlinkClick xmlns:r="http://schemas.openxmlformats.org/officeDocument/2006/relationships" r:id="rId45"/>
          <a:extLst>
            <a:ext uri="{FF2B5EF4-FFF2-40B4-BE49-F238E27FC236}">
              <a16:creationId xmlns:a16="http://schemas.microsoft.com/office/drawing/2014/main" id="{00000000-0008-0000-0400-00001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9" name="Picture 9" descr="España">
          <a:hlinkClick xmlns:r="http://schemas.openxmlformats.org/officeDocument/2006/relationships" r:id="rId45"/>
          <a:extLst>
            <a:ext uri="{FF2B5EF4-FFF2-40B4-BE49-F238E27FC236}">
              <a16:creationId xmlns:a16="http://schemas.microsoft.com/office/drawing/2014/main" id="{00000000-0008-0000-0400-00001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0" name="Picture 10" descr="Suomi">
          <a:hlinkClick xmlns:r="http://schemas.openxmlformats.org/officeDocument/2006/relationships" r:id="rId47"/>
          <a:extLst>
            <a:ext uri="{FF2B5EF4-FFF2-40B4-BE49-F238E27FC236}">
              <a16:creationId xmlns:a16="http://schemas.microsoft.com/office/drawing/2014/main" id="{00000000-0008-0000-0400-00001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1" name="Picture 12" descr="Deutschland">
          <a:hlinkClick xmlns:r="http://schemas.openxmlformats.org/officeDocument/2006/relationships" r:id="rId48"/>
          <a:extLst>
            <a:ext uri="{FF2B5EF4-FFF2-40B4-BE49-F238E27FC236}">
              <a16:creationId xmlns:a16="http://schemas.microsoft.com/office/drawing/2014/main" id="{00000000-0008-0000-0400-00001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2" name="Picture 13" descr="España">
          <a:hlinkClick xmlns:r="http://schemas.openxmlformats.org/officeDocument/2006/relationships" r:id="rId45"/>
          <a:extLst>
            <a:ext uri="{FF2B5EF4-FFF2-40B4-BE49-F238E27FC236}">
              <a16:creationId xmlns:a16="http://schemas.microsoft.com/office/drawing/2014/main" id="{00000000-0008-0000-0400-00001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3" name="Picture 14" descr="Colombia">
          <a:hlinkClick xmlns:r="http://schemas.openxmlformats.org/officeDocument/2006/relationships" r:id="rId49"/>
          <a:extLst>
            <a:ext uri="{FF2B5EF4-FFF2-40B4-BE49-F238E27FC236}">
              <a16:creationId xmlns:a16="http://schemas.microsoft.com/office/drawing/2014/main" id="{00000000-0008-0000-0400-00001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4" name="Picture 15" descr="Portugal">
          <a:hlinkClick xmlns:r="http://schemas.openxmlformats.org/officeDocument/2006/relationships" r:id="rId50"/>
          <a:extLst>
            <a:ext uri="{FF2B5EF4-FFF2-40B4-BE49-F238E27FC236}">
              <a16:creationId xmlns:a16="http://schemas.microsoft.com/office/drawing/2014/main" id="{00000000-0008-0000-0400-00001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5" name="Picture 16" descr="Nederland">
          <a:hlinkClick xmlns:r="http://schemas.openxmlformats.org/officeDocument/2006/relationships" r:id="rId51"/>
          <a:extLst>
            <a:ext uri="{FF2B5EF4-FFF2-40B4-BE49-F238E27FC236}">
              <a16:creationId xmlns:a16="http://schemas.microsoft.com/office/drawing/2014/main" id="{00000000-0008-0000-0400-00001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6" name="Picture 17" descr="Northern Ireland">
          <a:hlinkClick xmlns:r="http://schemas.openxmlformats.org/officeDocument/2006/relationships" r:id="rId52"/>
          <a:extLst>
            <a:ext uri="{FF2B5EF4-FFF2-40B4-BE49-F238E27FC236}">
              <a16:creationId xmlns:a16="http://schemas.microsoft.com/office/drawing/2014/main" id="{00000000-0008-0000-0400-00001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7" name="Picture 18" descr="China">
          <a:hlinkClick xmlns:r="http://schemas.openxmlformats.org/officeDocument/2006/relationships" r:id="rId53"/>
          <a:extLst>
            <a:ext uri="{FF2B5EF4-FFF2-40B4-BE49-F238E27FC236}">
              <a16:creationId xmlns:a16="http://schemas.microsoft.com/office/drawing/2014/main" id="{00000000-0008-0000-0400-00001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8" name="Picture 19" descr="Polska">
          <a:hlinkClick xmlns:r="http://schemas.openxmlformats.org/officeDocument/2006/relationships" r:id="rId54"/>
          <a:extLst>
            <a:ext uri="{FF2B5EF4-FFF2-40B4-BE49-F238E27FC236}">
              <a16:creationId xmlns:a16="http://schemas.microsoft.com/office/drawing/2014/main" id="{00000000-0008-0000-0400-00001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9" name="Picture 20" descr="Deutschland">
          <a:hlinkClick xmlns:r="http://schemas.openxmlformats.org/officeDocument/2006/relationships" r:id="rId48"/>
          <a:extLst>
            <a:ext uri="{FF2B5EF4-FFF2-40B4-BE49-F238E27FC236}">
              <a16:creationId xmlns:a16="http://schemas.microsoft.com/office/drawing/2014/main" id="{00000000-0008-0000-0400-00001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0" name="Picture 22" descr="Danmark">
          <a:hlinkClick xmlns:r="http://schemas.openxmlformats.org/officeDocument/2006/relationships" r:id="rId55"/>
          <a:extLst>
            <a:ext uri="{FF2B5EF4-FFF2-40B4-BE49-F238E27FC236}">
              <a16:creationId xmlns:a16="http://schemas.microsoft.com/office/drawing/2014/main" id="{00000000-0008-0000-0400-00001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1" name="Picture 24" descr="Deutschland">
          <a:hlinkClick xmlns:r="http://schemas.openxmlformats.org/officeDocument/2006/relationships" r:id="rId48"/>
          <a:extLst>
            <a:ext uri="{FF2B5EF4-FFF2-40B4-BE49-F238E27FC236}">
              <a16:creationId xmlns:a16="http://schemas.microsoft.com/office/drawing/2014/main" id="{00000000-0008-0000-0400-00001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2" name="Picture 28" descr="España">
          <a:hlinkClick xmlns:r="http://schemas.openxmlformats.org/officeDocument/2006/relationships" r:id="rId45"/>
          <a:extLst>
            <a:ext uri="{FF2B5EF4-FFF2-40B4-BE49-F238E27FC236}">
              <a16:creationId xmlns:a16="http://schemas.microsoft.com/office/drawing/2014/main" id="{00000000-0008-0000-0400-00001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3" name="Picture 30" descr="España">
          <a:hlinkClick xmlns:r="http://schemas.openxmlformats.org/officeDocument/2006/relationships" r:id="rId45"/>
          <a:extLst>
            <a:ext uri="{FF2B5EF4-FFF2-40B4-BE49-F238E27FC236}">
              <a16:creationId xmlns:a16="http://schemas.microsoft.com/office/drawing/2014/main" id="{00000000-0008-0000-0400-00001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4" name="Picture 31" descr="España">
          <a:hlinkClick xmlns:r="http://schemas.openxmlformats.org/officeDocument/2006/relationships" r:id="rId45"/>
          <a:extLst>
            <a:ext uri="{FF2B5EF4-FFF2-40B4-BE49-F238E27FC236}">
              <a16:creationId xmlns:a16="http://schemas.microsoft.com/office/drawing/2014/main" id="{00000000-0008-0000-0400-00002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5" name="Picture 32" descr="Việt Nam">
          <a:hlinkClick xmlns:r="http://schemas.openxmlformats.org/officeDocument/2006/relationships" r:id="rId56"/>
          <a:extLst>
            <a:ext uri="{FF2B5EF4-FFF2-40B4-BE49-F238E27FC236}">
              <a16:creationId xmlns:a16="http://schemas.microsoft.com/office/drawing/2014/main" id="{00000000-0008-0000-0400-00002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6" name="Picture 36" descr="España">
          <a:hlinkClick xmlns:r="http://schemas.openxmlformats.org/officeDocument/2006/relationships" r:id="rId45"/>
          <a:extLst>
            <a:ext uri="{FF2B5EF4-FFF2-40B4-BE49-F238E27FC236}">
              <a16:creationId xmlns:a16="http://schemas.microsoft.com/office/drawing/2014/main" id="{00000000-0008-0000-0400-00002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7" name="Picture 7" descr="España">
          <a:hlinkClick xmlns:r="http://schemas.openxmlformats.org/officeDocument/2006/relationships" r:id="rId1"/>
          <a:extLst>
            <a:ext uri="{FF2B5EF4-FFF2-40B4-BE49-F238E27FC236}">
              <a16:creationId xmlns:a16="http://schemas.microsoft.com/office/drawing/2014/main" id="{00000000-0008-0000-0400-00002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8" name="Picture 9" descr="España">
          <a:hlinkClick xmlns:r="http://schemas.openxmlformats.org/officeDocument/2006/relationships" r:id="rId1"/>
          <a:extLst>
            <a:ext uri="{FF2B5EF4-FFF2-40B4-BE49-F238E27FC236}">
              <a16:creationId xmlns:a16="http://schemas.microsoft.com/office/drawing/2014/main" id="{00000000-0008-0000-0400-00002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9" name="Picture 10" descr="Suomi">
          <a:hlinkClick xmlns:r="http://schemas.openxmlformats.org/officeDocument/2006/relationships" r:id="rId59"/>
          <a:extLst>
            <a:ext uri="{FF2B5EF4-FFF2-40B4-BE49-F238E27FC236}">
              <a16:creationId xmlns:a16="http://schemas.microsoft.com/office/drawing/2014/main" id="{00000000-0008-0000-0400-00002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0" name="Picture 12" descr="Deutschland">
          <a:hlinkClick xmlns:r="http://schemas.openxmlformats.org/officeDocument/2006/relationships" r:id="rId12"/>
          <a:extLst>
            <a:ext uri="{FF2B5EF4-FFF2-40B4-BE49-F238E27FC236}">
              <a16:creationId xmlns:a16="http://schemas.microsoft.com/office/drawing/2014/main" id="{00000000-0008-0000-0400-00002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1" name="Picture 13" descr="España">
          <a:hlinkClick xmlns:r="http://schemas.openxmlformats.org/officeDocument/2006/relationships" r:id="rId1"/>
          <a:extLst>
            <a:ext uri="{FF2B5EF4-FFF2-40B4-BE49-F238E27FC236}">
              <a16:creationId xmlns:a16="http://schemas.microsoft.com/office/drawing/2014/main" id="{00000000-0008-0000-0400-00002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2" name="Picture 14" descr="Colombia">
          <a:hlinkClick xmlns:r="http://schemas.openxmlformats.org/officeDocument/2006/relationships" r:id="rId8"/>
          <a:extLst>
            <a:ext uri="{FF2B5EF4-FFF2-40B4-BE49-F238E27FC236}">
              <a16:creationId xmlns:a16="http://schemas.microsoft.com/office/drawing/2014/main" id="{00000000-0008-0000-0400-00002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3" name="Picture 15" descr="Portugal">
          <a:hlinkClick xmlns:r="http://schemas.openxmlformats.org/officeDocument/2006/relationships" r:id="rId16"/>
          <a:extLst>
            <a:ext uri="{FF2B5EF4-FFF2-40B4-BE49-F238E27FC236}">
              <a16:creationId xmlns:a16="http://schemas.microsoft.com/office/drawing/2014/main" id="{00000000-0008-0000-0400-00002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4" name="Picture 16" descr="Nederland">
          <a:hlinkClick xmlns:r="http://schemas.openxmlformats.org/officeDocument/2006/relationships" r:id="rId10"/>
          <a:extLst>
            <a:ext uri="{FF2B5EF4-FFF2-40B4-BE49-F238E27FC236}">
              <a16:creationId xmlns:a16="http://schemas.microsoft.com/office/drawing/2014/main" id="{00000000-0008-0000-0400-00002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5" name="Picture 17" descr="Northern Ireland">
          <a:hlinkClick xmlns:r="http://schemas.openxmlformats.org/officeDocument/2006/relationships" r:id="rId60"/>
          <a:extLst>
            <a:ext uri="{FF2B5EF4-FFF2-40B4-BE49-F238E27FC236}">
              <a16:creationId xmlns:a16="http://schemas.microsoft.com/office/drawing/2014/main" id="{00000000-0008-0000-0400-00002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6" name="Picture 18" descr="China">
          <a:hlinkClick xmlns:r="http://schemas.openxmlformats.org/officeDocument/2006/relationships" r:id="rId61"/>
          <a:extLst>
            <a:ext uri="{FF2B5EF4-FFF2-40B4-BE49-F238E27FC236}">
              <a16:creationId xmlns:a16="http://schemas.microsoft.com/office/drawing/2014/main" id="{00000000-0008-0000-0400-00002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7" name="Picture 19" descr="Polska">
          <a:hlinkClick xmlns:r="http://schemas.openxmlformats.org/officeDocument/2006/relationships" r:id="rId5"/>
          <a:extLst>
            <a:ext uri="{FF2B5EF4-FFF2-40B4-BE49-F238E27FC236}">
              <a16:creationId xmlns:a16="http://schemas.microsoft.com/office/drawing/2014/main" id="{00000000-0008-0000-0400-00002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8" name="Picture 20" descr="Deutschland">
          <a:hlinkClick xmlns:r="http://schemas.openxmlformats.org/officeDocument/2006/relationships" r:id="rId12"/>
          <a:extLst>
            <a:ext uri="{FF2B5EF4-FFF2-40B4-BE49-F238E27FC236}">
              <a16:creationId xmlns:a16="http://schemas.microsoft.com/office/drawing/2014/main" id="{00000000-0008-0000-0400-00002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9" name="Picture 22" descr="Danmark">
          <a:hlinkClick xmlns:r="http://schemas.openxmlformats.org/officeDocument/2006/relationships" r:id="rId11"/>
          <a:extLst>
            <a:ext uri="{FF2B5EF4-FFF2-40B4-BE49-F238E27FC236}">
              <a16:creationId xmlns:a16="http://schemas.microsoft.com/office/drawing/2014/main" id="{00000000-0008-0000-0400-00002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0" name="Picture 26" descr="España">
          <a:hlinkClick xmlns:r="http://schemas.openxmlformats.org/officeDocument/2006/relationships" r:id="rId1"/>
          <a:extLst>
            <a:ext uri="{FF2B5EF4-FFF2-40B4-BE49-F238E27FC236}">
              <a16:creationId xmlns:a16="http://schemas.microsoft.com/office/drawing/2014/main" id="{00000000-0008-0000-0400-00003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1" name="Picture 28" descr="España">
          <a:hlinkClick xmlns:r="http://schemas.openxmlformats.org/officeDocument/2006/relationships" r:id="rId1"/>
          <a:extLst>
            <a:ext uri="{FF2B5EF4-FFF2-40B4-BE49-F238E27FC236}">
              <a16:creationId xmlns:a16="http://schemas.microsoft.com/office/drawing/2014/main" id="{00000000-0008-0000-0400-00003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2" name="Picture 30" descr="España">
          <a:hlinkClick xmlns:r="http://schemas.openxmlformats.org/officeDocument/2006/relationships" r:id="rId1"/>
          <a:extLst>
            <a:ext uri="{FF2B5EF4-FFF2-40B4-BE49-F238E27FC236}">
              <a16:creationId xmlns:a16="http://schemas.microsoft.com/office/drawing/2014/main" id="{00000000-0008-0000-0400-00003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3" name="Picture 35" descr="España">
          <a:hlinkClick xmlns:r="http://schemas.openxmlformats.org/officeDocument/2006/relationships" r:id="rId1"/>
          <a:extLst>
            <a:ext uri="{FF2B5EF4-FFF2-40B4-BE49-F238E27FC236}">
              <a16:creationId xmlns:a16="http://schemas.microsoft.com/office/drawing/2014/main" id="{00000000-0008-0000-0400-00003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4" name="Picture 7" descr="España">
          <a:hlinkClick xmlns:r="http://schemas.openxmlformats.org/officeDocument/2006/relationships" r:id="rId63"/>
          <a:extLst>
            <a:ext uri="{FF2B5EF4-FFF2-40B4-BE49-F238E27FC236}">
              <a16:creationId xmlns:a16="http://schemas.microsoft.com/office/drawing/2014/main" id="{00000000-0008-0000-0400-00003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5" name="Picture 9" descr="España">
          <a:hlinkClick xmlns:r="http://schemas.openxmlformats.org/officeDocument/2006/relationships" r:id="rId63"/>
          <a:extLst>
            <a:ext uri="{FF2B5EF4-FFF2-40B4-BE49-F238E27FC236}">
              <a16:creationId xmlns:a16="http://schemas.microsoft.com/office/drawing/2014/main" id="{00000000-0008-0000-0400-00003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6" name="Picture 10" descr="Suomi">
          <a:hlinkClick xmlns:r="http://schemas.openxmlformats.org/officeDocument/2006/relationships" r:id="rId65"/>
          <a:extLst>
            <a:ext uri="{FF2B5EF4-FFF2-40B4-BE49-F238E27FC236}">
              <a16:creationId xmlns:a16="http://schemas.microsoft.com/office/drawing/2014/main" id="{00000000-0008-0000-0400-00003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7" name="Picture 12" descr="Deutschland">
          <a:hlinkClick xmlns:r="http://schemas.openxmlformats.org/officeDocument/2006/relationships" r:id="rId66"/>
          <a:extLst>
            <a:ext uri="{FF2B5EF4-FFF2-40B4-BE49-F238E27FC236}">
              <a16:creationId xmlns:a16="http://schemas.microsoft.com/office/drawing/2014/main" id="{00000000-0008-0000-0400-00003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8" name="Picture 13" descr="España">
          <a:hlinkClick xmlns:r="http://schemas.openxmlformats.org/officeDocument/2006/relationships" r:id="rId63"/>
          <a:extLst>
            <a:ext uri="{FF2B5EF4-FFF2-40B4-BE49-F238E27FC236}">
              <a16:creationId xmlns:a16="http://schemas.microsoft.com/office/drawing/2014/main" id="{00000000-0008-0000-0400-00003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9" name="Picture 14" descr="Colombia">
          <a:hlinkClick xmlns:r="http://schemas.openxmlformats.org/officeDocument/2006/relationships" r:id="rId67"/>
          <a:extLst>
            <a:ext uri="{FF2B5EF4-FFF2-40B4-BE49-F238E27FC236}">
              <a16:creationId xmlns:a16="http://schemas.microsoft.com/office/drawing/2014/main" id="{00000000-0008-0000-0400-00003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0" name="Picture 15" descr="Portugal">
          <a:hlinkClick xmlns:r="http://schemas.openxmlformats.org/officeDocument/2006/relationships" r:id="rId68"/>
          <a:extLst>
            <a:ext uri="{FF2B5EF4-FFF2-40B4-BE49-F238E27FC236}">
              <a16:creationId xmlns:a16="http://schemas.microsoft.com/office/drawing/2014/main" id="{00000000-0008-0000-0400-00003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1" name="Picture 16" descr="Nederland">
          <a:hlinkClick xmlns:r="http://schemas.openxmlformats.org/officeDocument/2006/relationships" r:id="rId69"/>
          <a:extLst>
            <a:ext uri="{FF2B5EF4-FFF2-40B4-BE49-F238E27FC236}">
              <a16:creationId xmlns:a16="http://schemas.microsoft.com/office/drawing/2014/main" id="{00000000-0008-0000-0400-00003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2" name="Picture 17" descr="Northern Ireland">
          <a:hlinkClick xmlns:r="http://schemas.openxmlformats.org/officeDocument/2006/relationships" r:id="rId70"/>
          <a:extLst>
            <a:ext uri="{FF2B5EF4-FFF2-40B4-BE49-F238E27FC236}">
              <a16:creationId xmlns:a16="http://schemas.microsoft.com/office/drawing/2014/main" id="{00000000-0008-0000-0400-00003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3" name="Picture 19" descr="China">
          <a:hlinkClick xmlns:r="http://schemas.openxmlformats.org/officeDocument/2006/relationships" r:id="rId71"/>
          <a:extLst>
            <a:ext uri="{FF2B5EF4-FFF2-40B4-BE49-F238E27FC236}">
              <a16:creationId xmlns:a16="http://schemas.microsoft.com/office/drawing/2014/main" id="{00000000-0008-0000-0400-00003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4" name="Picture 20" descr="Polska">
          <a:hlinkClick xmlns:r="http://schemas.openxmlformats.org/officeDocument/2006/relationships" r:id="rId72"/>
          <a:extLst>
            <a:ext uri="{FF2B5EF4-FFF2-40B4-BE49-F238E27FC236}">
              <a16:creationId xmlns:a16="http://schemas.microsoft.com/office/drawing/2014/main" id="{00000000-0008-0000-0400-00003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5" name="Picture 21" descr="Deutschland">
          <a:hlinkClick xmlns:r="http://schemas.openxmlformats.org/officeDocument/2006/relationships" r:id="rId66"/>
          <a:extLst>
            <a:ext uri="{FF2B5EF4-FFF2-40B4-BE49-F238E27FC236}">
              <a16:creationId xmlns:a16="http://schemas.microsoft.com/office/drawing/2014/main" id="{00000000-0008-0000-0400-00003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6" name="Picture 23" descr="Danmark">
          <a:hlinkClick xmlns:r="http://schemas.openxmlformats.org/officeDocument/2006/relationships" r:id="rId73"/>
          <a:extLst>
            <a:ext uri="{FF2B5EF4-FFF2-40B4-BE49-F238E27FC236}">
              <a16:creationId xmlns:a16="http://schemas.microsoft.com/office/drawing/2014/main" id="{00000000-0008-0000-0400-00004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7" name="Picture 25" descr="France">
          <a:hlinkClick xmlns:r="http://schemas.openxmlformats.org/officeDocument/2006/relationships" r:id="rId74"/>
          <a:extLst>
            <a:ext uri="{FF2B5EF4-FFF2-40B4-BE49-F238E27FC236}">
              <a16:creationId xmlns:a16="http://schemas.microsoft.com/office/drawing/2014/main" id="{00000000-0008-0000-0400-00004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8" name="Picture 28" descr="España">
          <a:hlinkClick xmlns:r="http://schemas.openxmlformats.org/officeDocument/2006/relationships" r:id="rId63"/>
          <a:extLst>
            <a:ext uri="{FF2B5EF4-FFF2-40B4-BE49-F238E27FC236}">
              <a16:creationId xmlns:a16="http://schemas.microsoft.com/office/drawing/2014/main" id="{00000000-0008-0000-0400-00004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9" name="Picture 30" descr="España">
          <a:hlinkClick xmlns:r="http://schemas.openxmlformats.org/officeDocument/2006/relationships" r:id="rId63"/>
          <a:extLst>
            <a:ext uri="{FF2B5EF4-FFF2-40B4-BE49-F238E27FC236}">
              <a16:creationId xmlns:a16="http://schemas.microsoft.com/office/drawing/2014/main" id="{00000000-0008-0000-0400-00004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0" name="Picture 31" descr="Nederland">
          <a:hlinkClick xmlns:r="http://schemas.openxmlformats.org/officeDocument/2006/relationships" r:id="rId69"/>
          <a:extLst>
            <a:ext uri="{FF2B5EF4-FFF2-40B4-BE49-F238E27FC236}">
              <a16:creationId xmlns:a16="http://schemas.microsoft.com/office/drawing/2014/main" id="{00000000-0008-0000-0400-00004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1" name="Picture 33" descr="España">
          <a:hlinkClick xmlns:r="http://schemas.openxmlformats.org/officeDocument/2006/relationships" r:id="rId63"/>
          <a:extLst>
            <a:ext uri="{FF2B5EF4-FFF2-40B4-BE49-F238E27FC236}">
              <a16:creationId xmlns:a16="http://schemas.microsoft.com/office/drawing/2014/main" id="{00000000-0008-0000-0400-00004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2" name="Picture 37" descr="România">
          <a:hlinkClick xmlns:r="http://schemas.openxmlformats.org/officeDocument/2006/relationships" r:id="rId76"/>
          <a:extLst>
            <a:ext uri="{FF2B5EF4-FFF2-40B4-BE49-F238E27FC236}">
              <a16:creationId xmlns:a16="http://schemas.microsoft.com/office/drawing/2014/main" id="{00000000-0008-0000-0400-00004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3" name="Picture 7" descr="España">
          <a:hlinkClick xmlns:r="http://schemas.openxmlformats.org/officeDocument/2006/relationships" r:id="rId77"/>
          <a:extLst>
            <a:ext uri="{FF2B5EF4-FFF2-40B4-BE49-F238E27FC236}">
              <a16:creationId xmlns:a16="http://schemas.microsoft.com/office/drawing/2014/main" id="{00000000-0008-0000-0400-00004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4" name="Picture 9" descr="España">
          <a:hlinkClick xmlns:r="http://schemas.openxmlformats.org/officeDocument/2006/relationships" r:id="rId77"/>
          <a:extLst>
            <a:ext uri="{FF2B5EF4-FFF2-40B4-BE49-F238E27FC236}">
              <a16:creationId xmlns:a16="http://schemas.microsoft.com/office/drawing/2014/main" id="{00000000-0008-0000-0400-00004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5" name="Picture 10" descr="Suomi">
          <a:hlinkClick xmlns:r="http://schemas.openxmlformats.org/officeDocument/2006/relationships" r:id="rId78"/>
          <a:extLst>
            <a:ext uri="{FF2B5EF4-FFF2-40B4-BE49-F238E27FC236}">
              <a16:creationId xmlns:a16="http://schemas.microsoft.com/office/drawing/2014/main" id="{00000000-0008-0000-0400-00004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6" name="Picture 12" descr="Deutschland">
          <a:hlinkClick xmlns:r="http://schemas.openxmlformats.org/officeDocument/2006/relationships" r:id="rId79"/>
          <a:extLst>
            <a:ext uri="{FF2B5EF4-FFF2-40B4-BE49-F238E27FC236}">
              <a16:creationId xmlns:a16="http://schemas.microsoft.com/office/drawing/2014/main" id="{00000000-0008-0000-0400-00004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7" name="Picture 13" descr="España">
          <a:hlinkClick xmlns:r="http://schemas.openxmlformats.org/officeDocument/2006/relationships" r:id="rId77"/>
          <a:extLst>
            <a:ext uri="{FF2B5EF4-FFF2-40B4-BE49-F238E27FC236}">
              <a16:creationId xmlns:a16="http://schemas.microsoft.com/office/drawing/2014/main" id="{00000000-0008-0000-0400-00004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8" name="Picture 15" descr="Colombia">
          <a:hlinkClick xmlns:r="http://schemas.openxmlformats.org/officeDocument/2006/relationships" r:id="rId80"/>
          <a:extLst>
            <a:ext uri="{FF2B5EF4-FFF2-40B4-BE49-F238E27FC236}">
              <a16:creationId xmlns:a16="http://schemas.microsoft.com/office/drawing/2014/main" id="{00000000-0008-0000-0400-00004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9" name="Picture 16" descr="Portugal">
          <a:hlinkClick xmlns:r="http://schemas.openxmlformats.org/officeDocument/2006/relationships" r:id="rId81"/>
          <a:extLst>
            <a:ext uri="{FF2B5EF4-FFF2-40B4-BE49-F238E27FC236}">
              <a16:creationId xmlns:a16="http://schemas.microsoft.com/office/drawing/2014/main" id="{00000000-0008-0000-0400-00004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0" name="Picture 17" descr="Nederland">
          <a:hlinkClick xmlns:r="http://schemas.openxmlformats.org/officeDocument/2006/relationships" r:id="rId82"/>
          <a:extLst>
            <a:ext uri="{FF2B5EF4-FFF2-40B4-BE49-F238E27FC236}">
              <a16:creationId xmlns:a16="http://schemas.microsoft.com/office/drawing/2014/main" id="{00000000-0008-0000-0400-00004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1" name="Picture 18" descr="Northern Ireland">
          <a:hlinkClick xmlns:r="http://schemas.openxmlformats.org/officeDocument/2006/relationships" r:id="rId83"/>
          <a:extLst>
            <a:ext uri="{FF2B5EF4-FFF2-40B4-BE49-F238E27FC236}">
              <a16:creationId xmlns:a16="http://schemas.microsoft.com/office/drawing/2014/main" id="{00000000-0008-0000-0400-00004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2" name="Picture 19" descr="China">
          <a:hlinkClick xmlns:r="http://schemas.openxmlformats.org/officeDocument/2006/relationships" r:id="rId84"/>
          <a:extLst>
            <a:ext uri="{FF2B5EF4-FFF2-40B4-BE49-F238E27FC236}">
              <a16:creationId xmlns:a16="http://schemas.microsoft.com/office/drawing/2014/main" id="{00000000-0008-0000-0400-00005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3" name="Picture 20" descr="Polska">
          <a:hlinkClick xmlns:r="http://schemas.openxmlformats.org/officeDocument/2006/relationships" r:id="rId85"/>
          <a:extLst>
            <a:ext uri="{FF2B5EF4-FFF2-40B4-BE49-F238E27FC236}">
              <a16:creationId xmlns:a16="http://schemas.microsoft.com/office/drawing/2014/main" id="{00000000-0008-0000-0400-00005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4" name="Picture 21" descr="Deutschland">
          <a:hlinkClick xmlns:r="http://schemas.openxmlformats.org/officeDocument/2006/relationships" r:id="rId79"/>
          <a:extLst>
            <a:ext uri="{FF2B5EF4-FFF2-40B4-BE49-F238E27FC236}">
              <a16:creationId xmlns:a16="http://schemas.microsoft.com/office/drawing/2014/main" id="{00000000-0008-0000-0400-00005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5" name="Picture 22" descr="Danmark">
          <a:hlinkClick xmlns:r="http://schemas.openxmlformats.org/officeDocument/2006/relationships" r:id="rId86"/>
          <a:extLst>
            <a:ext uri="{FF2B5EF4-FFF2-40B4-BE49-F238E27FC236}">
              <a16:creationId xmlns:a16="http://schemas.microsoft.com/office/drawing/2014/main" id="{00000000-0008-0000-0400-00005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6" name="Picture 24" descr="España">
          <a:hlinkClick xmlns:r="http://schemas.openxmlformats.org/officeDocument/2006/relationships" r:id="rId77"/>
          <a:extLst>
            <a:ext uri="{FF2B5EF4-FFF2-40B4-BE49-F238E27FC236}">
              <a16:creationId xmlns:a16="http://schemas.microsoft.com/office/drawing/2014/main" id="{00000000-0008-0000-0400-00005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7" name="Picture 26" descr="România">
          <a:hlinkClick xmlns:r="http://schemas.openxmlformats.org/officeDocument/2006/relationships" r:id="rId89"/>
          <a:extLst>
            <a:ext uri="{FF2B5EF4-FFF2-40B4-BE49-F238E27FC236}">
              <a16:creationId xmlns:a16="http://schemas.microsoft.com/office/drawing/2014/main" id="{00000000-0008-0000-0400-00005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8" name="Picture 28" descr="España">
          <a:hlinkClick xmlns:r="http://schemas.openxmlformats.org/officeDocument/2006/relationships" r:id="rId77"/>
          <a:extLst>
            <a:ext uri="{FF2B5EF4-FFF2-40B4-BE49-F238E27FC236}">
              <a16:creationId xmlns:a16="http://schemas.microsoft.com/office/drawing/2014/main" id="{00000000-0008-0000-0400-00005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9" name="Picture 29" descr="España">
          <a:hlinkClick xmlns:r="http://schemas.openxmlformats.org/officeDocument/2006/relationships" r:id="rId77"/>
          <a:extLst>
            <a:ext uri="{FF2B5EF4-FFF2-40B4-BE49-F238E27FC236}">
              <a16:creationId xmlns:a16="http://schemas.microsoft.com/office/drawing/2014/main" id="{00000000-0008-0000-0400-00005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0" name="Picture 30" descr="España">
          <a:hlinkClick xmlns:r="http://schemas.openxmlformats.org/officeDocument/2006/relationships" r:id="rId77"/>
          <a:extLst>
            <a:ext uri="{FF2B5EF4-FFF2-40B4-BE49-F238E27FC236}">
              <a16:creationId xmlns:a16="http://schemas.microsoft.com/office/drawing/2014/main" id="{00000000-0008-0000-0400-00005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1" name="Picture 33" descr="Polska">
          <a:hlinkClick xmlns:r="http://schemas.openxmlformats.org/officeDocument/2006/relationships" r:id="rId85"/>
          <a:extLst>
            <a:ext uri="{FF2B5EF4-FFF2-40B4-BE49-F238E27FC236}">
              <a16:creationId xmlns:a16="http://schemas.microsoft.com/office/drawing/2014/main" id="{00000000-0008-0000-0400-00005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2" name="Picture 37" descr="Portugal">
          <a:hlinkClick xmlns:r="http://schemas.openxmlformats.org/officeDocument/2006/relationships" r:id="rId81"/>
          <a:extLst>
            <a:ext uri="{FF2B5EF4-FFF2-40B4-BE49-F238E27FC236}">
              <a16:creationId xmlns:a16="http://schemas.microsoft.com/office/drawing/2014/main" id="{00000000-0008-0000-0400-00005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3" name="Picture 2" descr="España">
          <a:hlinkClick xmlns:r="http://schemas.openxmlformats.org/officeDocument/2006/relationships" r:id="rId90"/>
          <a:extLst>
            <a:ext uri="{FF2B5EF4-FFF2-40B4-BE49-F238E27FC236}">
              <a16:creationId xmlns:a16="http://schemas.microsoft.com/office/drawing/2014/main" id="{00000000-0008-0000-0400-00005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4" name="Picture 3" descr="USA">
          <a:hlinkClick xmlns:r="http://schemas.openxmlformats.org/officeDocument/2006/relationships" r:id="rId91"/>
          <a:extLst>
            <a:ext uri="{FF2B5EF4-FFF2-40B4-BE49-F238E27FC236}">
              <a16:creationId xmlns:a16="http://schemas.microsoft.com/office/drawing/2014/main" id="{00000000-0008-0000-0400-00005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5" name="Picture 5" descr="España">
          <a:hlinkClick xmlns:r="http://schemas.openxmlformats.org/officeDocument/2006/relationships" r:id="rId90"/>
          <a:extLst>
            <a:ext uri="{FF2B5EF4-FFF2-40B4-BE49-F238E27FC236}">
              <a16:creationId xmlns:a16="http://schemas.microsoft.com/office/drawing/2014/main" id="{00000000-0008-0000-0400-00005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6" name="Picture 6" descr="España">
          <a:hlinkClick xmlns:r="http://schemas.openxmlformats.org/officeDocument/2006/relationships" r:id="rId90"/>
          <a:extLst>
            <a:ext uri="{FF2B5EF4-FFF2-40B4-BE49-F238E27FC236}">
              <a16:creationId xmlns:a16="http://schemas.microsoft.com/office/drawing/2014/main" id="{00000000-0008-0000-0400-00005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7" name="Picture 8" descr="Česká republika">
          <a:hlinkClick xmlns:r="http://schemas.openxmlformats.org/officeDocument/2006/relationships" r:id="rId92"/>
          <a:extLst>
            <a:ext uri="{FF2B5EF4-FFF2-40B4-BE49-F238E27FC236}">
              <a16:creationId xmlns:a16="http://schemas.microsoft.com/office/drawing/2014/main" id="{00000000-0008-0000-0400-00005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8" name="Picture 9" descr="Sverige">
          <a:hlinkClick xmlns:r="http://schemas.openxmlformats.org/officeDocument/2006/relationships" r:id="rId93"/>
          <a:extLst>
            <a:ext uri="{FF2B5EF4-FFF2-40B4-BE49-F238E27FC236}">
              <a16:creationId xmlns:a16="http://schemas.microsoft.com/office/drawing/2014/main" id="{00000000-0008-0000-0400-00006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9" name="Picture 11" descr="Suomi">
          <a:hlinkClick xmlns:r="http://schemas.openxmlformats.org/officeDocument/2006/relationships" r:id="rId94"/>
          <a:extLst>
            <a:ext uri="{FF2B5EF4-FFF2-40B4-BE49-F238E27FC236}">
              <a16:creationId xmlns:a16="http://schemas.microsoft.com/office/drawing/2014/main" id="{00000000-0008-0000-0400-00006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0" name="Picture 12" descr="España">
          <a:hlinkClick xmlns:r="http://schemas.openxmlformats.org/officeDocument/2006/relationships" r:id="rId90"/>
          <a:extLst>
            <a:ext uri="{FF2B5EF4-FFF2-40B4-BE49-F238E27FC236}">
              <a16:creationId xmlns:a16="http://schemas.microsoft.com/office/drawing/2014/main" id="{00000000-0008-0000-0400-00006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1" name="Picture 13" descr="Nederland">
          <a:hlinkClick xmlns:r="http://schemas.openxmlformats.org/officeDocument/2006/relationships" r:id="rId95"/>
          <a:extLst>
            <a:ext uri="{FF2B5EF4-FFF2-40B4-BE49-F238E27FC236}">
              <a16:creationId xmlns:a16="http://schemas.microsoft.com/office/drawing/2014/main" id="{00000000-0008-0000-0400-00006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2" name="Picture 14" descr="Italia">
          <a:hlinkClick xmlns:r="http://schemas.openxmlformats.org/officeDocument/2006/relationships" r:id="rId96"/>
          <a:extLst>
            <a:ext uri="{FF2B5EF4-FFF2-40B4-BE49-F238E27FC236}">
              <a16:creationId xmlns:a16="http://schemas.microsoft.com/office/drawing/2014/main" id="{00000000-0008-0000-0400-00006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3" name="Picture 16" descr="España">
          <a:hlinkClick xmlns:r="http://schemas.openxmlformats.org/officeDocument/2006/relationships" r:id="rId90"/>
          <a:extLst>
            <a:ext uri="{FF2B5EF4-FFF2-40B4-BE49-F238E27FC236}">
              <a16:creationId xmlns:a16="http://schemas.microsoft.com/office/drawing/2014/main" id="{00000000-0008-0000-0400-00006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4" name="Picture 18" descr="France">
          <a:hlinkClick xmlns:r="http://schemas.openxmlformats.org/officeDocument/2006/relationships" r:id="rId97"/>
          <a:extLst>
            <a:ext uri="{FF2B5EF4-FFF2-40B4-BE49-F238E27FC236}">
              <a16:creationId xmlns:a16="http://schemas.microsoft.com/office/drawing/2014/main" id="{00000000-0008-0000-0400-00006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5" name="Picture 19" descr="France">
          <a:hlinkClick xmlns:r="http://schemas.openxmlformats.org/officeDocument/2006/relationships" r:id="rId97"/>
          <a:extLst>
            <a:ext uri="{FF2B5EF4-FFF2-40B4-BE49-F238E27FC236}">
              <a16:creationId xmlns:a16="http://schemas.microsoft.com/office/drawing/2014/main" id="{00000000-0008-0000-0400-00006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6" name="Picture 21" descr="Argentina">
          <a:hlinkClick xmlns:r="http://schemas.openxmlformats.org/officeDocument/2006/relationships" r:id="rId98"/>
          <a:extLst>
            <a:ext uri="{FF2B5EF4-FFF2-40B4-BE49-F238E27FC236}">
              <a16:creationId xmlns:a16="http://schemas.microsoft.com/office/drawing/2014/main" id="{00000000-0008-0000-0400-00006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7" name="Picture 23" descr="España">
          <a:hlinkClick xmlns:r="http://schemas.openxmlformats.org/officeDocument/2006/relationships" r:id="rId90"/>
          <a:extLst>
            <a:ext uri="{FF2B5EF4-FFF2-40B4-BE49-F238E27FC236}">
              <a16:creationId xmlns:a16="http://schemas.microsoft.com/office/drawing/2014/main" id="{00000000-0008-0000-0400-00006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8" name="Picture 25" descr="Lubnan">
          <a:hlinkClick xmlns:r="http://schemas.openxmlformats.org/officeDocument/2006/relationships" r:id="rId99"/>
          <a:extLst>
            <a:ext uri="{FF2B5EF4-FFF2-40B4-BE49-F238E27FC236}">
              <a16:creationId xmlns:a16="http://schemas.microsoft.com/office/drawing/2014/main" id="{00000000-0008-0000-0400-00006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9" name="Picture 27" descr="Magyarország">
          <a:hlinkClick xmlns:r="http://schemas.openxmlformats.org/officeDocument/2006/relationships" r:id="rId100"/>
          <a:extLst>
            <a:ext uri="{FF2B5EF4-FFF2-40B4-BE49-F238E27FC236}">
              <a16:creationId xmlns:a16="http://schemas.microsoft.com/office/drawing/2014/main" id="{00000000-0008-0000-0400-00006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0" name="Picture 29" descr="Uruguay">
          <a:hlinkClick xmlns:r="http://schemas.openxmlformats.org/officeDocument/2006/relationships" r:id="rId101"/>
          <a:extLst>
            <a:ext uri="{FF2B5EF4-FFF2-40B4-BE49-F238E27FC236}">
              <a16:creationId xmlns:a16="http://schemas.microsoft.com/office/drawing/2014/main" id="{00000000-0008-0000-0400-00006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1" name="Picture 30" descr="Italia">
          <a:hlinkClick xmlns:r="http://schemas.openxmlformats.org/officeDocument/2006/relationships" r:id="rId96"/>
          <a:extLst>
            <a:ext uri="{FF2B5EF4-FFF2-40B4-BE49-F238E27FC236}">
              <a16:creationId xmlns:a16="http://schemas.microsoft.com/office/drawing/2014/main" id="{00000000-0008-0000-0400-00006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2" name="Picture 31" descr="Nederland">
          <a:hlinkClick xmlns:r="http://schemas.openxmlformats.org/officeDocument/2006/relationships" r:id="rId95"/>
          <a:extLst>
            <a:ext uri="{FF2B5EF4-FFF2-40B4-BE49-F238E27FC236}">
              <a16:creationId xmlns:a16="http://schemas.microsoft.com/office/drawing/2014/main" id="{00000000-0008-0000-0400-00006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3" name="Picture 32" descr="Italia">
          <a:hlinkClick xmlns:r="http://schemas.openxmlformats.org/officeDocument/2006/relationships" r:id="rId96"/>
          <a:extLst>
            <a:ext uri="{FF2B5EF4-FFF2-40B4-BE49-F238E27FC236}">
              <a16:creationId xmlns:a16="http://schemas.microsoft.com/office/drawing/2014/main" id="{00000000-0008-0000-0400-00006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4" name="Picture 34" descr="Deutschland">
          <a:hlinkClick xmlns:r="http://schemas.openxmlformats.org/officeDocument/2006/relationships" r:id="rId102"/>
          <a:extLst>
            <a:ext uri="{FF2B5EF4-FFF2-40B4-BE49-F238E27FC236}">
              <a16:creationId xmlns:a16="http://schemas.microsoft.com/office/drawing/2014/main" id="{00000000-0008-0000-0400-00007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5" name="Picture 36" descr="Israel">
          <a:hlinkClick xmlns:r="http://schemas.openxmlformats.org/officeDocument/2006/relationships" r:id="rId103"/>
          <a:extLst>
            <a:ext uri="{FF2B5EF4-FFF2-40B4-BE49-F238E27FC236}">
              <a16:creationId xmlns:a16="http://schemas.microsoft.com/office/drawing/2014/main" id="{00000000-0008-0000-0400-00007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6" name="Picture 37" descr="Slovensko">
          <a:hlinkClick xmlns:r="http://schemas.openxmlformats.org/officeDocument/2006/relationships" r:id="rId104"/>
          <a:extLst>
            <a:ext uri="{FF2B5EF4-FFF2-40B4-BE49-F238E27FC236}">
              <a16:creationId xmlns:a16="http://schemas.microsoft.com/office/drawing/2014/main" id="{00000000-0008-0000-0400-00007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7" name="Picture 2" descr="España">
          <a:hlinkClick xmlns:r="http://schemas.openxmlformats.org/officeDocument/2006/relationships" r:id="rId90"/>
          <a:extLst>
            <a:ext uri="{FF2B5EF4-FFF2-40B4-BE49-F238E27FC236}">
              <a16:creationId xmlns:a16="http://schemas.microsoft.com/office/drawing/2014/main" id="{00000000-0008-0000-0400-00007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8" name="Picture 3" descr="USA">
          <a:hlinkClick xmlns:r="http://schemas.openxmlformats.org/officeDocument/2006/relationships" r:id="rId91"/>
          <a:extLst>
            <a:ext uri="{FF2B5EF4-FFF2-40B4-BE49-F238E27FC236}">
              <a16:creationId xmlns:a16="http://schemas.microsoft.com/office/drawing/2014/main" id="{00000000-0008-0000-0400-00007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9" name="Picture 5" descr="España">
          <a:hlinkClick xmlns:r="http://schemas.openxmlformats.org/officeDocument/2006/relationships" r:id="rId90"/>
          <a:extLst>
            <a:ext uri="{FF2B5EF4-FFF2-40B4-BE49-F238E27FC236}">
              <a16:creationId xmlns:a16="http://schemas.microsoft.com/office/drawing/2014/main" id="{00000000-0008-0000-0400-00007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0" name="Picture 6" descr="España">
          <a:hlinkClick xmlns:r="http://schemas.openxmlformats.org/officeDocument/2006/relationships" r:id="rId90"/>
          <a:extLst>
            <a:ext uri="{FF2B5EF4-FFF2-40B4-BE49-F238E27FC236}">
              <a16:creationId xmlns:a16="http://schemas.microsoft.com/office/drawing/2014/main" id="{00000000-0008-0000-0400-00007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1" name="Picture 8" descr="Česká republika">
          <a:hlinkClick xmlns:r="http://schemas.openxmlformats.org/officeDocument/2006/relationships" r:id="rId92"/>
          <a:extLst>
            <a:ext uri="{FF2B5EF4-FFF2-40B4-BE49-F238E27FC236}">
              <a16:creationId xmlns:a16="http://schemas.microsoft.com/office/drawing/2014/main" id="{00000000-0008-0000-0400-00007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2" name="Picture 9" descr="Sverige">
          <a:hlinkClick xmlns:r="http://schemas.openxmlformats.org/officeDocument/2006/relationships" r:id="rId93"/>
          <a:extLst>
            <a:ext uri="{FF2B5EF4-FFF2-40B4-BE49-F238E27FC236}">
              <a16:creationId xmlns:a16="http://schemas.microsoft.com/office/drawing/2014/main" id="{00000000-0008-0000-0400-00007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3" name="Picture 11" descr="Suomi">
          <a:hlinkClick xmlns:r="http://schemas.openxmlformats.org/officeDocument/2006/relationships" r:id="rId94"/>
          <a:extLst>
            <a:ext uri="{FF2B5EF4-FFF2-40B4-BE49-F238E27FC236}">
              <a16:creationId xmlns:a16="http://schemas.microsoft.com/office/drawing/2014/main" id="{00000000-0008-0000-0400-00007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4" name="Picture 12" descr="España">
          <a:hlinkClick xmlns:r="http://schemas.openxmlformats.org/officeDocument/2006/relationships" r:id="rId90"/>
          <a:extLst>
            <a:ext uri="{FF2B5EF4-FFF2-40B4-BE49-F238E27FC236}">
              <a16:creationId xmlns:a16="http://schemas.microsoft.com/office/drawing/2014/main" id="{00000000-0008-0000-0400-00007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5" name="Picture 13" descr="Nederland">
          <a:hlinkClick xmlns:r="http://schemas.openxmlformats.org/officeDocument/2006/relationships" r:id="rId95"/>
          <a:extLst>
            <a:ext uri="{FF2B5EF4-FFF2-40B4-BE49-F238E27FC236}">
              <a16:creationId xmlns:a16="http://schemas.microsoft.com/office/drawing/2014/main" id="{00000000-0008-0000-0400-00007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6" name="Picture 14" descr="Italia">
          <a:hlinkClick xmlns:r="http://schemas.openxmlformats.org/officeDocument/2006/relationships" r:id="rId96"/>
          <a:extLst>
            <a:ext uri="{FF2B5EF4-FFF2-40B4-BE49-F238E27FC236}">
              <a16:creationId xmlns:a16="http://schemas.microsoft.com/office/drawing/2014/main" id="{00000000-0008-0000-0400-00007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7" name="Picture 16" descr="España">
          <a:hlinkClick xmlns:r="http://schemas.openxmlformats.org/officeDocument/2006/relationships" r:id="rId90"/>
          <a:extLst>
            <a:ext uri="{FF2B5EF4-FFF2-40B4-BE49-F238E27FC236}">
              <a16:creationId xmlns:a16="http://schemas.microsoft.com/office/drawing/2014/main" id="{00000000-0008-0000-0400-00007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8" name="Picture 18" descr="France">
          <a:hlinkClick xmlns:r="http://schemas.openxmlformats.org/officeDocument/2006/relationships" r:id="rId97"/>
          <a:extLst>
            <a:ext uri="{FF2B5EF4-FFF2-40B4-BE49-F238E27FC236}">
              <a16:creationId xmlns:a16="http://schemas.microsoft.com/office/drawing/2014/main" id="{00000000-0008-0000-0400-00007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9" name="Picture 19" descr="France">
          <a:hlinkClick xmlns:r="http://schemas.openxmlformats.org/officeDocument/2006/relationships" r:id="rId97"/>
          <a:extLst>
            <a:ext uri="{FF2B5EF4-FFF2-40B4-BE49-F238E27FC236}">
              <a16:creationId xmlns:a16="http://schemas.microsoft.com/office/drawing/2014/main" id="{00000000-0008-0000-0400-00007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0" name="Picture 21" descr="Argentina">
          <a:hlinkClick xmlns:r="http://schemas.openxmlformats.org/officeDocument/2006/relationships" r:id="rId98"/>
          <a:extLst>
            <a:ext uri="{FF2B5EF4-FFF2-40B4-BE49-F238E27FC236}">
              <a16:creationId xmlns:a16="http://schemas.microsoft.com/office/drawing/2014/main" id="{00000000-0008-0000-0400-00008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1" name="Picture 23" descr="España">
          <a:hlinkClick xmlns:r="http://schemas.openxmlformats.org/officeDocument/2006/relationships" r:id="rId90"/>
          <a:extLst>
            <a:ext uri="{FF2B5EF4-FFF2-40B4-BE49-F238E27FC236}">
              <a16:creationId xmlns:a16="http://schemas.microsoft.com/office/drawing/2014/main" id="{00000000-0008-0000-0400-00008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2" name="Picture 25" descr="Lubnan">
          <a:hlinkClick xmlns:r="http://schemas.openxmlformats.org/officeDocument/2006/relationships" r:id="rId99"/>
          <a:extLst>
            <a:ext uri="{FF2B5EF4-FFF2-40B4-BE49-F238E27FC236}">
              <a16:creationId xmlns:a16="http://schemas.microsoft.com/office/drawing/2014/main" id="{00000000-0008-0000-0400-00008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3" name="Picture 27" descr="Magyarország">
          <a:hlinkClick xmlns:r="http://schemas.openxmlformats.org/officeDocument/2006/relationships" r:id="rId100"/>
          <a:extLst>
            <a:ext uri="{FF2B5EF4-FFF2-40B4-BE49-F238E27FC236}">
              <a16:creationId xmlns:a16="http://schemas.microsoft.com/office/drawing/2014/main" id="{00000000-0008-0000-0400-00008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4" name="Picture 29" descr="Uruguay">
          <a:hlinkClick xmlns:r="http://schemas.openxmlformats.org/officeDocument/2006/relationships" r:id="rId101"/>
          <a:extLst>
            <a:ext uri="{FF2B5EF4-FFF2-40B4-BE49-F238E27FC236}">
              <a16:creationId xmlns:a16="http://schemas.microsoft.com/office/drawing/2014/main" id="{00000000-0008-0000-0400-00008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5" name="Picture 30" descr="Italia">
          <a:hlinkClick xmlns:r="http://schemas.openxmlformats.org/officeDocument/2006/relationships" r:id="rId96"/>
          <a:extLst>
            <a:ext uri="{FF2B5EF4-FFF2-40B4-BE49-F238E27FC236}">
              <a16:creationId xmlns:a16="http://schemas.microsoft.com/office/drawing/2014/main" id="{00000000-0008-0000-0400-00008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6" name="Picture 31" descr="Nederland">
          <a:hlinkClick xmlns:r="http://schemas.openxmlformats.org/officeDocument/2006/relationships" r:id="rId95"/>
          <a:extLst>
            <a:ext uri="{FF2B5EF4-FFF2-40B4-BE49-F238E27FC236}">
              <a16:creationId xmlns:a16="http://schemas.microsoft.com/office/drawing/2014/main" id="{00000000-0008-0000-0400-00008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7" name="Picture 32" descr="Italia">
          <a:hlinkClick xmlns:r="http://schemas.openxmlformats.org/officeDocument/2006/relationships" r:id="rId96"/>
          <a:extLst>
            <a:ext uri="{FF2B5EF4-FFF2-40B4-BE49-F238E27FC236}">
              <a16:creationId xmlns:a16="http://schemas.microsoft.com/office/drawing/2014/main" id="{00000000-0008-0000-0400-00008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8" name="Picture 34" descr="Deutschland">
          <a:hlinkClick xmlns:r="http://schemas.openxmlformats.org/officeDocument/2006/relationships" r:id="rId102"/>
          <a:extLst>
            <a:ext uri="{FF2B5EF4-FFF2-40B4-BE49-F238E27FC236}">
              <a16:creationId xmlns:a16="http://schemas.microsoft.com/office/drawing/2014/main" id="{00000000-0008-0000-0400-00008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9" name="Picture 36" descr="Israel">
          <a:hlinkClick xmlns:r="http://schemas.openxmlformats.org/officeDocument/2006/relationships" r:id="rId103"/>
          <a:extLst>
            <a:ext uri="{FF2B5EF4-FFF2-40B4-BE49-F238E27FC236}">
              <a16:creationId xmlns:a16="http://schemas.microsoft.com/office/drawing/2014/main" id="{00000000-0008-0000-0400-00008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0" name="Picture 37" descr="Slovensko">
          <a:hlinkClick xmlns:r="http://schemas.openxmlformats.org/officeDocument/2006/relationships" r:id="rId104"/>
          <a:extLst>
            <a:ext uri="{FF2B5EF4-FFF2-40B4-BE49-F238E27FC236}">
              <a16:creationId xmlns:a16="http://schemas.microsoft.com/office/drawing/2014/main" id="{00000000-0008-0000-0400-00008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1" name="Picture 2" descr="España">
          <a:hlinkClick xmlns:r="http://schemas.openxmlformats.org/officeDocument/2006/relationships" r:id="rId90"/>
          <a:extLst>
            <a:ext uri="{FF2B5EF4-FFF2-40B4-BE49-F238E27FC236}">
              <a16:creationId xmlns:a16="http://schemas.microsoft.com/office/drawing/2014/main" id="{00000000-0008-0000-0400-00008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2" name="Picture 3" descr="USA">
          <a:hlinkClick xmlns:r="http://schemas.openxmlformats.org/officeDocument/2006/relationships" r:id="rId91"/>
          <a:extLst>
            <a:ext uri="{FF2B5EF4-FFF2-40B4-BE49-F238E27FC236}">
              <a16:creationId xmlns:a16="http://schemas.microsoft.com/office/drawing/2014/main" id="{00000000-0008-0000-0400-00008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3" name="Picture 5" descr="España">
          <a:hlinkClick xmlns:r="http://schemas.openxmlformats.org/officeDocument/2006/relationships" r:id="rId90"/>
          <a:extLst>
            <a:ext uri="{FF2B5EF4-FFF2-40B4-BE49-F238E27FC236}">
              <a16:creationId xmlns:a16="http://schemas.microsoft.com/office/drawing/2014/main" id="{00000000-0008-0000-0400-00008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4" name="Picture 6" descr="España">
          <a:hlinkClick xmlns:r="http://schemas.openxmlformats.org/officeDocument/2006/relationships" r:id="rId90"/>
          <a:extLst>
            <a:ext uri="{FF2B5EF4-FFF2-40B4-BE49-F238E27FC236}">
              <a16:creationId xmlns:a16="http://schemas.microsoft.com/office/drawing/2014/main" id="{00000000-0008-0000-0400-00008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5" name="Picture 8" descr="Česká republika">
          <a:hlinkClick xmlns:r="http://schemas.openxmlformats.org/officeDocument/2006/relationships" r:id="rId92"/>
          <a:extLst>
            <a:ext uri="{FF2B5EF4-FFF2-40B4-BE49-F238E27FC236}">
              <a16:creationId xmlns:a16="http://schemas.microsoft.com/office/drawing/2014/main" id="{00000000-0008-0000-0400-00008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6" name="Picture 9" descr="Sverige">
          <a:hlinkClick xmlns:r="http://schemas.openxmlformats.org/officeDocument/2006/relationships" r:id="rId93"/>
          <a:extLst>
            <a:ext uri="{FF2B5EF4-FFF2-40B4-BE49-F238E27FC236}">
              <a16:creationId xmlns:a16="http://schemas.microsoft.com/office/drawing/2014/main" id="{00000000-0008-0000-0400-00009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7" name="Picture 11" descr="Suomi">
          <a:hlinkClick xmlns:r="http://schemas.openxmlformats.org/officeDocument/2006/relationships" r:id="rId94"/>
          <a:extLst>
            <a:ext uri="{FF2B5EF4-FFF2-40B4-BE49-F238E27FC236}">
              <a16:creationId xmlns:a16="http://schemas.microsoft.com/office/drawing/2014/main" id="{00000000-0008-0000-0400-00009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8" name="Picture 12" descr="España">
          <a:hlinkClick xmlns:r="http://schemas.openxmlformats.org/officeDocument/2006/relationships" r:id="rId90"/>
          <a:extLst>
            <a:ext uri="{FF2B5EF4-FFF2-40B4-BE49-F238E27FC236}">
              <a16:creationId xmlns:a16="http://schemas.microsoft.com/office/drawing/2014/main" id="{00000000-0008-0000-0400-00009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9" name="Picture 13" descr="Nederland">
          <a:hlinkClick xmlns:r="http://schemas.openxmlformats.org/officeDocument/2006/relationships" r:id="rId95"/>
          <a:extLst>
            <a:ext uri="{FF2B5EF4-FFF2-40B4-BE49-F238E27FC236}">
              <a16:creationId xmlns:a16="http://schemas.microsoft.com/office/drawing/2014/main" id="{00000000-0008-0000-0400-00009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0" name="Picture 14" descr="Italia">
          <a:hlinkClick xmlns:r="http://schemas.openxmlformats.org/officeDocument/2006/relationships" r:id="rId96"/>
          <a:extLst>
            <a:ext uri="{FF2B5EF4-FFF2-40B4-BE49-F238E27FC236}">
              <a16:creationId xmlns:a16="http://schemas.microsoft.com/office/drawing/2014/main" id="{00000000-0008-0000-0400-00009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1" name="Picture 16" descr="España">
          <a:hlinkClick xmlns:r="http://schemas.openxmlformats.org/officeDocument/2006/relationships" r:id="rId90"/>
          <a:extLst>
            <a:ext uri="{FF2B5EF4-FFF2-40B4-BE49-F238E27FC236}">
              <a16:creationId xmlns:a16="http://schemas.microsoft.com/office/drawing/2014/main" id="{00000000-0008-0000-0400-00009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2" name="Picture 18" descr="France">
          <a:hlinkClick xmlns:r="http://schemas.openxmlformats.org/officeDocument/2006/relationships" r:id="rId97"/>
          <a:extLst>
            <a:ext uri="{FF2B5EF4-FFF2-40B4-BE49-F238E27FC236}">
              <a16:creationId xmlns:a16="http://schemas.microsoft.com/office/drawing/2014/main" id="{00000000-0008-0000-0400-00009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3" name="Picture 19" descr="France">
          <a:hlinkClick xmlns:r="http://schemas.openxmlformats.org/officeDocument/2006/relationships" r:id="rId97"/>
          <a:extLst>
            <a:ext uri="{FF2B5EF4-FFF2-40B4-BE49-F238E27FC236}">
              <a16:creationId xmlns:a16="http://schemas.microsoft.com/office/drawing/2014/main" id="{00000000-0008-0000-0400-00009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4" name="Picture 21" descr="Argentina">
          <a:hlinkClick xmlns:r="http://schemas.openxmlformats.org/officeDocument/2006/relationships" r:id="rId98"/>
          <a:extLst>
            <a:ext uri="{FF2B5EF4-FFF2-40B4-BE49-F238E27FC236}">
              <a16:creationId xmlns:a16="http://schemas.microsoft.com/office/drawing/2014/main" id="{00000000-0008-0000-0400-00009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5" name="Picture 23" descr="España">
          <a:hlinkClick xmlns:r="http://schemas.openxmlformats.org/officeDocument/2006/relationships" r:id="rId90"/>
          <a:extLst>
            <a:ext uri="{FF2B5EF4-FFF2-40B4-BE49-F238E27FC236}">
              <a16:creationId xmlns:a16="http://schemas.microsoft.com/office/drawing/2014/main" id="{00000000-0008-0000-0400-00009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6" name="Picture 25" descr="Lubnan">
          <a:hlinkClick xmlns:r="http://schemas.openxmlformats.org/officeDocument/2006/relationships" r:id="rId99"/>
          <a:extLst>
            <a:ext uri="{FF2B5EF4-FFF2-40B4-BE49-F238E27FC236}">
              <a16:creationId xmlns:a16="http://schemas.microsoft.com/office/drawing/2014/main" id="{00000000-0008-0000-0400-00009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7" name="Picture 27" descr="Magyarország">
          <a:hlinkClick xmlns:r="http://schemas.openxmlformats.org/officeDocument/2006/relationships" r:id="rId100"/>
          <a:extLst>
            <a:ext uri="{FF2B5EF4-FFF2-40B4-BE49-F238E27FC236}">
              <a16:creationId xmlns:a16="http://schemas.microsoft.com/office/drawing/2014/main" id="{00000000-0008-0000-0400-00009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8" name="Picture 29" descr="Uruguay">
          <a:hlinkClick xmlns:r="http://schemas.openxmlformats.org/officeDocument/2006/relationships" r:id="rId101"/>
          <a:extLst>
            <a:ext uri="{FF2B5EF4-FFF2-40B4-BE49-F238E27FC236}">
              <a16:creationId xmlns:a16="http://schemas.microsoft.com/office/drawing/2014/main" id="{00000000-0008-0000-0400-00009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9" name="Picture 30" descr="Italia">
          <a:hlinkClick xmlns:r="http://schemas.openxmlformats.org/officeDocument/2006/relationships" r:id="rId96"/>
          <a:extLst>
            <a:ext uri="{FF2B5EF4-FFF2-40B4-BE49-F238E27FC236}">
              <a16:creationId xmlns:a16="http://schemas.microsoft.com/office/drawing/2014/main" id="{00000000-0008-0000-0400-00009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0" name="Picture 31" descr="Nederland">
          <a:hlinkClick xmlns:r="http://schemas.openxmlformats.org/officeDocument/2006/relationships" r:id="rId95"/>
          <a:extLst>
            <a:ext uri="{FF2B5EF4-FFF2-40B4-BE49-F238E27FC236}">
              <a16:creationId xmlns:a16="http://schemas.microsoft.com/office/drawing/2014/main" id="{00000000-0008-0000-0400-00009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1" name="Picture 32" descr="Italia">
          <a:hlinkClick xmlns:r="http://schemas.openxmlformats.org/officeDocument/2006/relationships" r:id="rId96"/>
          <a:extLst>
            <a:ext uri="{FF2B5EF4-FFF2-40B4-BE49-F238E27FC236}">
              <a16:creationId xmlns:a16="http://schemas.microsoft.com/office/drawing/2014/main" id="{00000000-0008-0000-0400-00009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2" name="Picture 34" descr="Deutschland">
          <a:hlinkClick xmlns:r="http://schemas.openxmlformats.org/officeDocument/2006/relationships" r:id="rId102"/>
          <a:extLst>
            <a:ext uri="{FF2B5EF4-FFF2-40B4-BE49-F238E27FC236}">
              <a16:creationId xmlns:a16="http://schemas.microsoft.com/office/drawing/2014/main" id="{00000000-0008-0000-0400-0000A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3" name="Picture 36" descr="Israel">
          <a:hlinkClick xmlns:r="http://schemas.openxmlformats.org/officeDocument/2006/relationships" r:id="rId103"/>
          <a:extLst>
            <a:ext uri="{FF2B5EF4-FFF2-40B4-BE49-F238E27FC236}">
              <a16:creationId xmlns:a16="http://schemas.microsoft.com/office/drawing/2014/main" id="{00000000-0008-0000-0400-0000A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4" name="Picture 37" descr="Slovensko">
          <a:hlinkClick xmlns:r="http://schemas.openxmlformats.org/officeDocument/2006/relationships" r:id="rId104"/>
          <a:extLst>
            <a:ext uri="{FF2B5EF4-FFF2-40B4-BE49-F238E27FC236}">
              <a16:creationId xmlns:a16="http://schemas.microsoft.com/office/drawing/2014/main" id="{00000000-0008-0000-0400-0000A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5" name="Picture 2" descr="España">
          <a:hlinkClick xmlns:r="http://schemas.openxmlformats.org/officeDocument/2006/relationships" r:id="rId90"/>
          <a:extLst>
            <a:ext uri="{FF2B5EF4-FFF2-40B4-BE49-F238E27FC236}">
              <a16:creationId xmlns:a16="http://schemas.microsoft.com/office/drawing/2014/main" id="{00000000-0008-0000-0400-0000A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6" name="Picture 3" descr="USA">
          <a:hlinkClick xmlns:r="http://schemas.openxmlformats.org/officeDocument/2006/relationships" r:id="rId91"/>
          <a:extLst>
            <a:ext uri="{FF2B5EF4-FFF2-40B4-BE49-F238E27FC236}">
              <a16:creationId xmlns:a16="http://schemas.microsoft.com/office/drawing/2014/main" id="{00000000-0008-0000-0400-0000A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7" name="Picture 5" descr="España">
          <a:hlinkClick xmlns:r="http://schemas.openxmlformats.org/officeDocument/2006/relationships" r:id="rId90"/>
          <a:extLst>
            <a:ext uri="{FF2B5EF4-FFF2-40B4-BE49-F238E27FC236}">
              <a16:creationId xmlns:a16="http://schemas.microsoft.com/office/drawing/2014/main" id="{00000000-0008-0000-0400-0000A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8" name="Picture 6" descr="España">
          <a:hlinkClick xmlns:r="http://schemas.openxmlformats.org/officeDocument/2006/relationships" r:id="rId90"/>
          <a:extLst>
            <a:ext uri="{FF2B5EF4-FFF2-40B4-BE49-F238E27FC236}">
              <a16:creationId xmlns:a16="http://schemas.microsoft.com/office/drawing/2014/main" id="{00000000-0008-0000-0400-0000A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9" name="Picture 8" descr="Česká republika">
          <a:hlinkClick xmlns:r="http://schemas.openxmlformats.org/officeDocument/2006/relationships" r:id="rId92"/>
          <a:extLst>
            <a:ext uri="{FF2B5EF4-FFF2-40B4-BE49-F238E27FC236}">
              <a16:creationId xmlns:a16="http://schemas.microsoft.com/office/drawing/2014/main" id="{00000000-0008-0000-0400-0000A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0" name="Picture 9" descr="Sverige">
          <a:hlinkClick xmlns:r="http://schemas.openxmlformats.org/officeDocument/2006/relationships" r:id="rId93"/>
          <a:extLst>
            <a:ext uri="{FF2B5EF4-FFF2-40B4-BE49-F238E27FC236}">
              <a16:creationId xmlns:a16="http://schemas.microsoft.com/office/drawing/2014/main" id="{00000000-0008-0000-0400-0000A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1" name="Picture 11" descr="Suomi">
          <a:hlinkClick xmlns:r="http://schemas.openxmlformats.org/officeDocument/2006/relationships" r:id="rId94"/>
          <a:extLst>
            <a:ext uri="{FF2B5EF4-FFF2-40B4-BE49-F238E27FC236}">
              <a16:creationId xmlns:a16="http://schemas.microsoft.com/office/drawing/2014/main" id="{00000000-0008-0000-0400-0000A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2" name="Picture 12" descr="España">
          <a:hlinkClick xmlns:r="http://schemas.openxmlformats.org/officeDocument/2006/relationships" r:id="rId90"/>
          <a:extLst>
            <a:ext uri="{FF2B5EF4-FFF2-40B4-BE49-F238E27FC236}">
              <a16:creationId xmlns:a16="http://schemas.microsoft.com/office/drawing/2014/main" id="{00000000-0008-0000-0400-0000A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3" name="Picture 13" descr="Nederland">
          <a:hlinkClick xmlns:r="http://schemas.openxmlformats.org/officeDocument/2006/relationships" r:id="rId95"/>
          <a:extLst>
            <a:ext uri="{FF2B5EF4-FFF2-40B4-BE49-F238E27FC236}">
              <a16:creationId xmlns:a16="http://schemas.microsoft.com/office/drawing/2014/main" id="{00000000-0008-0000-0400-0000A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4" name="Picture 14" descr="Italia">
          <a:hlinkClick xmlns:r="http://schemas.openxmlformats.org/officeDocument/2006/relationships" r:id="rId96"/>
          <a:extLst>
            <a:ext uri="{FF2B5EF4-FFF2-40B4-BE49-F238E27FC236}">
              <a16:creationId xmlns:a16="http://schemas.microsoft.com/office/drawing/2014/main" id="{00000000-0008-0000-0400-0000A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5" name="Picture 16" descr="España">
          <a:hlinkClick xmlns:r="http://schemas.openxmlformats.org/officeDocument/2006/relationships" r:id="rId90"/>
          <a:extLst>
            <a:ext uri="{FF2B5EF4-FFF2-40B4-BE49-F238E27FC236}">
              <a16:creationId xmlns:a16="http://schemas.microsoft.com/office/drawing/2014/main" id="{00000000-0008-0000-0400-0000A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6" name="Picture 18" descr="France">
          <a:hlinkClick xmlns:r="http://schemas.openxmlformats.org/officeDocument/2006/relationships" r:id="rId97"/>
          <a:extLst>
            <a:ext uri="{FF2B5EF4-FFF2-40B4-BE49-F238E27FC236}">
              <a16:creationId xmlns:a16="http://schemas.microsoft.com/office/drawing/2014/main" id="{00000000-0008-0000-0400-0000A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7" name="Picture 19" descr="France">
          <a:hlinkClick xmlns:r="http://schemas.openxmlformats.org/officeDocument/2006/relationships" r:id="rId97"/>
          <a:extLst>
            <a:ext uri="{FF2B5EF4-FFF2-40B4-BE49-F238E27FC236}">
              <a16:creationId xmlns:a16="http://schemas.microsoft.com/office/drawing/2014/main" id="{00000000-0008-0000-0400-0000A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8" name="Picture 21" descr="Argentina">
          <a:hlinkClick xmlns:r="http://schemas.openxmlformats.org/officeDocument/2006/relationships" r:id="rId98"/>
          <a:extLst>
            <a:ext uri="{FF2B5EF4-FFF2-40B4-BE49-F238E27FC236}">
              <a16:creationId xmlns:a16="http://schemas.microsoft.com/office/drawing/2014/main" id="{00000000-0008-0000-0400-0000B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9" name="Picture 23" descr="España">
          <a:hlinkClick xmlns:r="http://schemas.openxmlformats.org/officeDocument/2006/relationships" r:id="rId90"/>
          <a:extLst>
            <a:ext uri="{FF2B5EF4-FFF2-40B4-BE49-F238E27FC236}">
              <a16:creationId xmlns:a16="http://schemas.microsoft.com/office/drawing/2014/main" id="{00000000-0008-0000-0400-0000B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0" name="Picture 25" descr="Lubnan">
          <a:hlinkClick xmlns:r="http://schemas.openxmlformats.org/officeDocument/2006/relationships" r:id="rId99"/>
          <a:extLst>
            <a:ext uri="{FF2B5EF4-FFF2-40B4-BE49-F238E27FC236}">
              <a16:creationId xmlns:a16="http://schemas.microsoft.com/office/drawing/2014/main" id="{00000000-0008-0000-0400-0000B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1" name="Picture 27" descr="Magyarország">
          <a:hlinkClick xmlns:r="http://schemas.openxmlformats.org/officeDocument/2006/relationships" r:id="rId100"/>
          <a:extLst>
            <a:ext uri="{FF2B5EF4-FFF2-40B4-BE49-F238E27FC236}">
              <a16:creationId xmlns:a16="http://schemas.microsoft.com/office/drawing/2014/main" id="{00000000-0008-0000-0400-0000B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2" name="Picture 29" descr="Uruguay">
          <a:hlinkClick xmlns:r="http://schemas.openxmlformats.org/officeDocument/2006/relationships" r:id="rId101"/>
          <a:extLst>
            <a:ext uri="{FF2B5EF4-FFF2-40B4-BE49-F238E27FC236}">
              <a16:creationId xmlns:a16="http://schemas.microsoft.com/office/drawing/2014/main" id="{00000000-0008-0000-0400-0000B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3" name="Picture 30" descr="Italia">
          <a:hlinkClick xmlns:r="http://schemas.openxmlformats.org/officeDocument/2006/relationships" r:id="rId96"/>
          <a:extLst>
            <a:ext uri="{FF2B5EF4-FFF2-40B4-BE49-F238E27FC236}">
              <a16:creationId xmlns:a16="http://schemas.microsoft.com/office/drawing/2014/main" id="{00000000-0008-0000-0400-0000B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4" name="Picture 31" descr="Nederland">
          <a:hlinkClick xmlns:r="http://schemas.openxmlformats.org/officeDocument/2006/relationships" r:id="rId95"/>
          <a:extLst>
            <a:ext uri="{FF2B5EF4-FFF2-40B4-BE49-F238E27FC236}">
              <a16:creationId xmlns:a16="http://schemas.microsoft.com/office/drawing/2014/main" id="{00000000-0008-0000-0400-0000B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5" name="Picture 32" descr="Italia">
          <a:hlinkClick xmlns:r="http://schemas.openxmlformats.org/officeDocument/2006/relationships" r:id="rId96"/>
          <a:extLst>
            <a:ext uri="{FF2B5EF4-FFF2-40B4-BE49-F238E27FC236}">
              <a16:creationId xmlns:a16="http://schemas.microsoft.com/office/drawing/2014/main" id="{00000000-0008-0000-0400-0000B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6" name="Picture 34" descr="Deutschland">
          <a:hlinkClick xmlns:r="http://schemas.openxmlformats.org/officeDocument/2006/relationships" r:id="rId102"/>
          <a:extLst>
            <a:ext uri="{FF2B5EF4-FFF2-40B4-BE49-F238E27FC236}">
              <a16:creationId xmlns:a16="http://schemas.microsoft.com/office/drawing/2014/main" id="{00000000-0008-0000-0400-0000B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7" name="Picture 36" descr="Israel">
          <a:hlinkClick xmlns:r="http://schemas.openxmlformats.org/officeDocument/2006/relationships" r:id="rId103"/>
          <a:extLst>
            <a:ext uri="{FF2B5EF4-FFF2-40B4-BE49-F238E27FC236}">
              <a16:creationId xmlns:a16="http://schemas.microsoft.com/office/drawing/2014/main" id="{00000000-0008-0000-0400-0000B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8" name="Picture 37" descr="Slovensko">
          <a:hlinkClick xmlns:r="http://schemas.openxmlformats.org/officeDocument/2006/relationships" r:id="rId104"/>
          <a:extLst>
            <a:ext uri="{FF2B5EF4-FFF2-40B4-BE49-F238E27FC236}">
              <a16:creationId xmlns:a16="http://schemas.microsoft.com/office/drawing/2014/main" id="{00000000-0008-0000-0400-0000B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9" name="Picture 2" descr="España">
          <a:hlinkClick xmlns:r="http://schemas.openxmlformats.org/officeDocument/2006/relationships" r:id="rId90"/>
          <a:extLst>
            <a:ext uri="{FF2B5EF4-FFF2-40B4-BE49-F238E27FC236}">
              <a16:creationId xmlns:a16="http://schemas.microsoft.com/office/drawing/2014/main" id="{00000000-0008-0000-0400-0000B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0" name="Picture 3" descr="USA">
          <a:hlinkClick xmlns:r="http://schemas.openxmlformats.org/officeDocument/2006/relationships" r:id="rId91"/>
          <a:extLst>
            <a:ext uri="{FF2B5EF4-FFF2-40B4-BE49-F238E27FC236}">
              <a16:creationId xmlns:a16="http://schemas.microsoft.com/office/drawing/2014/main" id="{00000000-0008-0000-0400-0000B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1" name="Picture 5" descr="España">
          <a:hlinkClick xmlns:r="http://schemas.openxmlformats.org/officeDocument/2006/relationships" r:id="rId90"/>
          <a:extLst>
            <a:ext uri="{FF2B5EF4-FFF2-40B4-BE49-F238E27FC236}">
              <a16:creationId xmlns:a16="http://schemas.microsoft.com/office/drawing/2014/main" id="{00000000-0008-0000-0400-0000B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2" name="Picture 6" descr="España">
          <a:hlinkClick xmlns:r="http://schemas.openxmlformats.org/officeDocument/2006/relationships" r:id="rId90"/>
          <a:extLst>
            <a:ext uri="{FF2B5EF4-FFF2-40B4-BE49-F238E27FC236}">
              <a16:creationId xmlns:a16="http://schemas.microsoft.com/office/drawing/2014/main" id="{00000000-0008-0000-0400-0000B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3" name="Picture 8" descr="Česká republika">
          <a:hlinkClick xmlns:r="http://schemas.openxmlformats.org/officeDocument/2006/relationships" r:id="rId92"/>
          <a:extLst>
            <a:ext uri="{FF2B5EF4-FFF2-40B4-BE49-F238E27FC236}">
              <a16:creationId xmlns:a16="http://schemas.microsoft.com/office/drawing/2014/main" id="{00000000-0008-0000-0400-0000B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4" name="Picture 9" descr="Sverige">
          <a:hlinkClick xmlns:r="http://schemas.openxmlformats.org/officeDocument/2006/relationships" r:id="rId93"/>
          <a:extLst>
            <a:ext uri="{FF2B5EF4-FFF2-40B4-BE49-F238E27FC236}">
              <a16:creationId xmlns:a16="http://schemas.microsoft.com/office/drawing/2014/main" id="{00000000-0008-0000-0400-0000C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5" name="Picture 11" descr="Suomi">
          <a:hlinkClick xmlns:r="http://schemas.openxmlformats.org/officeDocument/2006/relationships" r:id="rId94"/>
          <a:extLst>
            <a:ext uri="{FF2B5EF4-FFF2-40B4-BE49-F238E27FC236}">
              <a16:creationId xmlns:a16="http://schemas.microsoft.com/office/drawing/2014/main" id="{00000000-0008-0000-0400-0000C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6" name="Picture 12" descr="España">
          <a:hlinkClick xmlns:r="http://schemas.openxmlformats.org/officeDocument/2006/relationships" r:id="rId90"/>
          <a:extLst>
            <a:ext uri="{FF2B5EF4-FFF2-40B4-BE49-F238E27FC236}">
              <a16:creationId xmlns:a16="http://schemas.microsoft.com/office/drawing/2014/main" id="{00000000-0008-0000-0400-0000C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7" name="Picture 13" descr="Nederland">
          <a:hlinkClick xmlns:r="http://schemas.openxmlformats.org/officeDocument/2006/relationships" r:id="rId95"/>
          <a:extLst>
            <a:ext uri="{FF2B5EF4-FFF2-40B4-BE49-F238E27FC236}">
              <a16:creationId xmlns:a16="http://schemas.microsoft.com/office/drawing/2014/main" id="{00000000-0008-0000-0400-0000C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8" name="Picture 14" descr="Italia">
          <a:hlinkClick xmlns:r="http://schemas.openxmlformats.org/officeDocument/2006/relationships" r:id="rId96"/>
          <a:extLst>
            <a:ext uri="{FF2B5EF4-FFF2-40B4-BE49-F238E27FC236}">
              <a16:creationId xmlns:a16="http://schemas.microsoft.com/office/drawing/2014/main" id="{00000000-0008-0000-0400-0000C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9" name="Picture 16" descr="España">
          <a:hlinkClick xmlns:r="http://schemas.openxmlformats.org/officeDocument/2006/relationships" r:id="rId90"/>
          <a:extLst>
            <a:ext uri="{FF2B5EF4-FFF2-40B4-BE49-F238E27FC236}">
              <a16:creationId xmlns:a16="http://schemas.microsoft.com/office/drawing/2014/main" id="{00000000-0008-0000-0400-0000C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0" name="Picture 18" descr="France">
          <a:hlinkClick xmlns:r="http://schemas.openxmlformats.org/officeDocument/2006/relationships" r:id="rId97"/>
          <a:extLst>
            <a:ext uri="{FF2B5EF4-FFF2-40B4-BE49-F238E27FC236}">
              <a16:creationId xmlns:a16="http://schemas.microsoft.com/office/drawing/2014/main" id="{00000000-0008-0000-0400-0000C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1" name="Picture 19" descr="France">
          <a:hlinkClick xmlns:r="http://schemas.openxmlformats.org/officeDocument/2006/relationships" r:id="rId97"/>
          <a:extLst>
            <a:ext uri="{FF2B5EF4-FFF2-40B4-BE49-F238E27FC236}">
              <a16:creationId xmlns:a16="http://schemas.microsoft.com/office/drawing/2014/main" id="{00000000-0008-0000-0400-0000C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2" name="Picture 21" descr="Argentina">
          <a:hlinkClick xmlns:r="http://schemas.openxmlformats.org/officeDocument/2006/relationships" r:id="rId98"/>
          <a:extLst>
            <a:ext uri="{FF2B5EF4-FFF2-40B4-BE49-F238E27FC236}">
              <a16:creationId xmlns:a16="http://schemas.microsoft.com/office/drawing/2014/main" id="{00000000-0008-0000-0400-0000C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3" name="Picture 23" descr="España">
          <a:hlinkClick xmlns:r="http://schemas.openxmlformats.org/officeDocument/2006/relationships" r:id="rId90"/>
          <a:extLst>
            <a:ext uri="{FF2B5EF4-FFF2-40B4-BE49-F238E27FC236}">
              <a16:creationId xmlns:a16="http://schemas.microsoft.com/office/drawing/2014/main" id="{00000000-0008-0000-0400-0000C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4" name="Picture 25" descr="Lubnan">
          <a:hlinkClick xmlns:r="http://schemas.openxmlformats.org/officeDocument/2006/relationships" r:id="rId99"/>
          <a:extLst>
            <a:ext uri="{FF2B5EF4-FFF2-40B4-BE49-F238E27FC236}">
              <a16:creationId xmlns:a16="http://schemas.microsoft.com/office/drawing/2014/main" id="{00000000-0008-0000-0400-0000C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5" name="Picture 27" descr="Magyarország">
          <a:hlinkClick xmlns:r="http://schemas.openxmlformats.org/officeDocument/2006/relationships" r:id="rId100"/>
          <a:extLst>
            <a:ext uri="{FF2B5EF4-FFF2-40B4-BE49-F238E27FC236}">
              <a16:creationId xmlns:a16="http://schemas.microsoft.com/office/drawing/2014/main" id="{00000000-0008-0000-0400-0000C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6" name="Picture 29" descr="Uruguay">
          <a:hlinkClick xmlns:r="http://schemas.openxmlformats.org/officeDocument/2006/relationships" r:id="rId101"/>
          <a:extLst>
            <a:ext uri="{FF2B5EF4-FFF2-40B4-BE49-F238E27FC236}">
              <a16:creationId xmlns:a16="http://schemas.microsoft.com/office/drawing/2014/main" id="{00000000-0008-0000-0400-0000C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7" name="Picture 30" descr="Italia">
          <a:hlinkClick xmlns:r="http://schemas.openxmlformats.org/officeDocument/2006/relationships" r:id="rId96"/>
          <a:extLst>
            <a:ext uri="{FF2B5EF4-FFF2-40B4-BE49-F238E27FC236}">
              <a16:creationId xmlns:a16="http://schemas.microsoft.com/office/drawing/2014/main" id="{00000000-0008-0000-0400-0000C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8" name="Picture 31" descr="Nederland">
          <a:hlinkClick xmlns:r="http://schemas.openxmlformats.org/officeDocument/2006/relationships" r:id="rId95"/>
          <a:extLst>
            <a:ext uri="{FF2B5EF4-FFF2-40B4-BE49-F238E27FC236}">
              <a16:creationId xmlns:a16="http://schemas.microsoft.com/office/drawing/2014/main" id="{00000000-0008-0000-0400-0000C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9" name="Picture 32" descr="Italia">
          <a:hlinkClick xmlns:r="http://schemas.openxmlformats.org/officeDocument/2006/relationships" r:id="rId96"/>
          <a:extLst>
            <a:ext uri="{FF2B5EF4-FFF2-40B4-BE49-F238E27FC236}">
              <a16:creationId xmlns:a16="http://schemas.microsoft.com/office/drawing/2014/main" id="{00000000-0008-0000-0400-0000C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0" name="Picture 34" descr="Deutschland">
          <a:hlinkClick xmlns:r="http://schemas.openxmlformats.org/officeDocument/2006/relationships" r:id="rId102"/>
          <a:extLst>
            <a:ext uri="{FF2B5EF4-FFF2-40B4-BE49-F238E27FC236}">
              <a16:creationId xmlns:a16="http://schemas.microsoft.com/office/drawing/2014/main" id="{00000000-0008-0000-0400-0000D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1" name="Picture 36" descr="Israel">
          <a:hlinkClick xmlns:r="http://schemas.openxmlformats.org/officeDocument/2006/relationships" r:id="rId103"/>
          <a:extLst>
            <a:ext uri="{FF2B5EF4-FFF2-40B4-BE49-F238E27FC236}">
              <a16:creationId xmlns:a16="http://schemas.microsoft.com/office/drawing/2014/main" id="{00000000-0008-0000-0400-0000D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2" name="Picture 37" descr="Slovensko">
          <a:hlinkClick xmlns:r="http://schemas.openxmlformats.org/officeDocument/2006/relationships" r:id="rId104"/>
          <a:extLst>
            <a:ext uri="{FF2B5EF4-FFF2-40B4-BE49-F238E27FC236}">
              <a16:creationId xmlns:a16="http://schemas.microsoft.com/office/drawing/2014/main" id="{00000000-0008-0000-0400-0000D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3" name="Picture 2" descr="España">
          <a:hlinkClick xmlns:r="http://schemas.openxmlformats.org/officeDocument/2006/relationships" r:id="rId90"/>
          <a:extLst>
            <a:ext uri="{FF2B5EF4-FFF2-40B4-BE49-F238E27FC236}">
              <a16:creationId xmlns:a16="http://schemas.microsoft.com/office/drawing/2014/main" id="{00000000-0008-0000-0400-0000D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4" name="Picture 3" descr="USA">
          <a:hlinkClick xmlns:r="http://schemas.openxmlformats.org/officeDocument/2006/relationships" r:id="rId91"/>
          <a:extLst>
            <a:ext uri="{FF2B5EF4-FFF2-40B4-BE49-F238E27FC236}">
              <a16:creationId xmlns:a16="http://schemas.microsoft.com/office/drawing/2014/main" id="{00000000-0008-0000-0400-0000D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5" name="Picture 5" descr="España">
          <a:hlinkClick xmlns:r="http://schemas.openxmlformats.org/officeDocument/2006/relationships" r:id="rId90"/>
          <a:extLst>
            <a:ext uri="{FF2B5EF4-FFF2-40B4-BE49-F238E27FC236}">
              <a16:creationId xmlns:a16="http://schemas.microsoft.com/office/drawing/2014/main" id="{00000000-0008-0000-0400-0000D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6" name="Picture 6" descr="España">
          <a:hlinkClick xmlns:r="http://schemas.openxmlformats.org/officeDocument/2006/relationships" r:id="rId90"/>
          <a:extLst>
            <a:ext uri="{FF2B5EF4-FFF2-40B4-BE49-F238E27FC236}">
              <a16:creationId xmlns:a16="http://schemas.microsoft.com/office/drawing/2014/main" id="{00000000-0008-0000-0400-0000D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7" name="Picture 8" descr="Česká republika">
          <a:hlinkClick xmlns:r="http://schemas.openxmlformats.org/officeDocument/2006/relationships" r:id="rId92"/>
          <a:extLst>
            <a:ext uri="{FF2B5EF4-FFF2-40B4-BE49-F238E27FC236}">
              <a16:creationId xmlns:a16="http://schemas.microsoft.com/office/drawing/2014/main" id="{00000000-0008-0000-0400-0000D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8" name="Picture 9" descr="Sverige">
          <a:hlinkClick xmlns:r="http://schemas.openxmlformats.org/officeDocument/2006/relationships" r:id="rId93"/>
          <a:extLst>
            <a:ext uri="{FF2B5EF4-FFF2-40B4-BE49-F238E27FC236}">
              <a16:creationId xmlns:a16="http://schemas.microsoft.com/office/drawing/2014/main" id="{00000000-0008-0000-0400-0000D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9" name="Picture 11" descr="Suomi">
          <a:hlinkClick xmlns:r="http://schemas.openxmlformats.org/officeDocument/2006/relationships" r:id="rId94"/>
          <a:extLst>
            <a:ext uri="{FF2B5EF4-FFF2-40B4-BE49-F238E27FC236}">
              <a16:creationId xmlns:a16="http://schemas.microsoft.com/office/drawing/2014/main" id="{00000000-0008-0000-0400-0000D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0" name="Picture 12" descr="España">
          <a:hlinkClick xmlns:r="http://schemas.openxmlformats.org/officeDocument/2006/relationships" r:id="rId90"/>
          <a:extLst>
            <a:ext uri="{FF2B5EF4-FFF2-40B4-BE49-F238E27FC236}">
              <a16:creationId xmlns:a16="http://schemas.microsoft.com/office/drawing/2014/main" id="{00000000-0008-0000-0400-0000D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1" name="Picture 13" descr="Nederland">
          <a:hlinkClick xmlns:r="http://schemas.openxmlformats.org/officeDocument/2006/relationships" r:id="rId95"/>
          <a:extLst>
            <a:ext uri="{FF2B5EF4-FFF2-40B4-BE49-F238E27FC236}">
              <a16:creationId xmlns:a16="http://schemas.microsoft.com/office/drawing/2014/main" id="{00000000-0008-0000-0400-0000D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2" name="Picture 14" descr="Italia">
          <a:hlinkClick xmlns:r="http://schemas.openxmlformats.org/officeDocument/2006/relationships" r:id="rId96"/>
          <a:extLst>
            <a:ext uri="{FF2B5EF4-FFF2-40B4-BE49-F238E27FC236}">
              <a16:creationId xmlns:a16="http://schemas.microsoft.com/office/drawing/2014/main" id="{00000000-0008-0000-0400-0000D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3" name="Picture 16" descr="España">
          <a:hlinkClick xmlns:r="http://schemas.openxmlformats.org/officeDocument/2006/relationships" r:id="rId90"/>
          <a:extLst>
            <a:ext uri="{FF2B5EF4-FFF2-40B4-BE49-F238E27FC236}">
              <a16:creationId xmlns:a16="http://schemas.microsoft.com/office/drawing/2014/main" id="{00000000-0008-0000-0400-0000D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4" name="Picture 18" descr="France">
          <a:hlinkClick xmlns:r="http://schemas.openxmlformats.org/officeDocument/2006/relationships" r:id="rId97"/>
          <a:extLst>
            <a:ext uri="{FF2B5EF4-FFF2-40B4-BE49-F238E27FC236}">
              <a16:creationId xmlns:a16="http://schemas.microsoft.com/office/drawing/2014/main" id="{00000000-0008-0000-0400-0000D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5" name="Picture 19" descr="France">
          <a:hlinkClick xmlns:r="http://schemas.openxmlformats.org/officeDocument/2006/relationships" r:id="rId97"/>
          <a:extLst>
            <a:ext uri="{FF2B5EF4-FFF2-40B4-BE49-F238E27FC236}">
              <a16:creationId xmlns:a16="http://schemas.microsoft.com/office/drawing/2014/main" id="{00000000-0008-0000-0400-0000D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6" name="Picture 21" descr="Argentina">
          <a:hlinkClick xmlns:r="http://schemas.openxmlformats.org/officeDocument/2006/relationships" r:id="rId98"/>
          <a:extLst>
            <a:ext uri="{FF2B5EF4-FFF2-40B4-BE49-F238E27FC236}">
              <a16:creationId xmlns:a16="http://schemas.microsoft.com/office/drawing/2014/main" id="{00000000-0008-0000-0400-0000E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7" name="Picture 23" descr="España">
          <a:hlinkClick xmlns:r="http://schemas.openxmlformats.org/officeDocument/2006/relationships" r:id="rId90"/>
          <a:extLst>
            <a:ext uri="{FF2B5EF4-FFF2-40B4-BE49-F238E27FC236}">
              <a16:creationId xmlns:a16="http://schemas.microsoft.com/office/drawing/2014/main" id="{00000000-0008-0000-0400-0000E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8" name="Picture 25" descr="Lubnan">
          <a:hlinkClick xmlns:r="http://schemas.openxmlformats.org/officeDocument/2006/relationships" r:id="rId99"/>
          <a:extLst>
            <a:ext uri="{FF2B5EF4-FFF2-40B4-BE49-F238E27FC236}">
              <a16:creationId xmlns:a16="http://schemas.microsoft.com/office/drawing/2014/main" id="{00000000-0008-0000-0400-0000E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9" name="Picture 27" descr="Magyarország">
          <a:hlinkClick xmlns:r="http://schemas.openxmlformats.org/officeDocument/2006/relationships" r:id="rId100"/>
          <a:extLst>
            <a:ext uri="{FF2B5EF4-FFF2-40B4-BE49-F238E27FC236}">
              <a16:creationId xmlns:a16="http://schemas.microsoft.com/office/drawing/2014/main" id="{00000000-0008-0000-0400-0000E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0" name="Picture 29" descr="Uruguay">
          <a:hlinkClick xmlns:r="http://schemas.openxmlformats.org/officeDocument/2006/relationships" r:id="rId101"/>
          <a:extLst>
            <a:ext uri="{FF2B5EF4-FFF2-40B4-BE49-F238E27FC236}">
              <a16:creationId xmlns:a16="http://schemas.microsoft.com/office/drawing/2014/main" id="{00000000-0008-0000-0400-0000E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1" name="Picture 30" descr="Italia">
          <a:hlinkClick xmlns:r="http://schemas.openxmlformats.org/officeDocument/2006/relationships" r:id="rId96"/>
          <a:extLst>
            <a:ext uri="{FF2B5EF4-FFF2-40B4-BE49-F238E27FC236}">
              <a16:creationId xmlns:a16="http://schemas.microsoft.com/office/drawing/2014/main" id="{00000000-0008-0000-0400-0000E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2" name="Picture 31" descr="Nederland">
          <a:hlinkClick xmlns:r="http://schemas.openxmlformats.org/officeDocument/2006/relationships" r:id="rId95"/>
          <a:extLst>
            <a:ext uri="{FF2B5EF4-FFF2-40B4-BE49-F238E27FC236}">
              <a16:creationId xmlns:a16="http://schemas.microsoft.com/office/drawing/2014/main" id="{00000000-0008-0000-0400-0000E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3" name="Picture 32" descr="Italia">
          <a:hlinkClick xmlns:r="http://schemas.openxmlformats.org/officeDocument/2006/relationships" r:id="rId96"/>
          <a:extLst>
            <a:ext uri="{FF2B5EF4-FFF2-40B4-BE49-F238E27FC236}">
              <a16:creationId xmlns:a16="http://schemas.microsoft.com/office/drawing/2014/main" id="{00000000-0008-0000-0400-0000E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4" name="Picture 34" descr="Deutschland">
          <a:hlinkClick xmlns:r="http://schemas.openxmlformats.org/officeDocument/2006/relationships" r:id="rId102"/>
          <a:extLst>
            <a:ext uri="{FF2B5EF4-FFF2-40B4-BE49-F238E27FC236}">
              <a16:creationId xmlns:a16="http://schemas.microsoft.com/office/drawing/2014/main" id="{00000000-0008-0000-0400-0000E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5" name="Picture 36" descr="Israel">
          <a:hlinkClick xmlns:r="http://schemas.openxmlformats.org/officeDocument/2006/relationships" r:id="rId103"/>
          <a:extLst>
            <a:ext uri="{FF2B5EF4-FFF2-40B4-BE49-F238E27FC236}">
              <a16:creationId xmlns:a16="http://schemas.microsoft.com/office/drawing/2014/main" id="{00000000-0008-0000-0400-0000E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6" name="Picture 37" descr="Slovensko">
          <a:hlinkClick xmlns:r="http://schemas.openxmlformats.org/officeDocument/2006/relationships" r:id="rId104"/>
          <a:extLst>
            <a:ext uri="{FF2B5EF4-FFF2-40B4-BE49-F238E27FC236}">
              <a16:creationId xmlns:a16="http://schemas.microsoft.com/office/drawing/2014/main" id="{00000000-0008-0000-0400-0000E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7" name="Picture 2" descr="España">
          <a:hlinkClick xmlns:r="http://schemas.openxmlformats.org/officeDocument/2006/relationships" r:id="rId90"/>
          <a:extLst>
            <a:ext uri="{FF2B5EF4-FFF2-40B4-BE49-F238E27FC236}">
              <a16:creationId xmlns:a16="http://schemas.microsoft.com/office/drawing/2014/main" id="{00000000-0008-0000-0400-0000E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8" name="Picture 3" descr="USA">
          <a:hlinkClick xmlns:r="http://schemas.openxmlformats.org/officeDocument/2006/relationships" r:id="rId91"/>
          <a:extLst>
            <a:ext uri="{FF2B5EF4-FFF2-40B4-BE49-F238E27FC236}">
              <a16:creationId xmlns:a16="http://schemas.microsoft.com/office/drawing/2014/main" id="{00000000-0008-0000-0400-0000E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9" name="Picture 5" descr="España">
          <a:hlinkClick xmlns:r="http://schemas.openxmlformats.org/officeDocument/2006/relationships" r:id="rId90"/>
          <a:extLst>
            <a:ext uri="{FF2B5EF4-FFF2-40B4-BE49-F238E27FC236}">
              <a16:creationId xmlns:a16="http://schemas.microsoft.com/office/drawing/2014/main" id="{00000000-0008-0000-0400-0000E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0" name="Picture 6" descr="España">
          <a:hlinkClick xmlns:r="http://schemas.openxmlformats.org/officeDocument/2006/relationships" r:id="rId90"/>
          <a:extLst>
            <a:ext uri="{FF2B5EF4-FFF2-40B4-BE49-F238E27FC236}">
              <a16:creationId xmlns:a16="http://schemas.microsoft.com/office/drawing/2014/main" id="{00000000-0008-0000-0400-0000E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1" name="Picture 8" descr="Česká republika">
          <a:hlinkClick xmlns:r="http://schemas.openxmlformats.org/officeDocument/2006/relationships" r:id="rId92"/>
          <a:extLst>
            <a:ext uri="{FF2B5EF4-FFF2-40B4-BE49-F238E27FC236}">
              <a16:creationId xmlns:a16="http://schemas.microsoft.com/office/drawing/2014/main" id="{00000000-0008-0000-0400-0000E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2" name="Picture 9" descr="Sverige">
          <a:hlinkClick xmlns:r="http://schemas.openxmlformats.org/officeDocument/2006/relationships" r:id="rId93"/>
          <a:extLst>
            <a:ext uri="{FF2B5EF4-FFF2-40B4-BE49-F238E27FC236}">
              <a16:creationId xmlns:a16="http://schemas.microsoft.com/office/drawing/2014/main" id="{00000000-0008-0000-0400-0000F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3" name="Picture 11" descr="Suomi">
          <a:hlinkClick xmlns:r="http://schemas.openxmlformats.org/officeDocument/2006/relationships" r:id="rId94"/>
          <a:extLst>
            <a:ext uri="{FF2B5EF4-FFF2-40B4-BE49-F238E27FC236}">
              <a16:creationId xmlns:a16="http://schemas.microsoft.com/office/drawing/2014/main" id="{00000000-0008-0000-0400-0000F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4" name="Picture 12" descr="España">
          <a:hlinkClick xmlns:r="http://schemas.openxmlformats.org/officeDocument/2006/relationships" r:id="rId90"/>
          <a:extLst>
            <a:ext uri="{FF2B5EF4-FFF2-40B4-BE49-F238E27FC236}">
              <a16:creationId xmlns:a16="http://schemas.microsoft.com/office/drawing/2014/main" id="{00000000-0008-0000-0400-0000F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5" name="Picture 13" descr="Nederland">
          <a:hlinkClick xmlns:r="http://schemas.openxmlformats.org/officeDocument/2006/relationships" r:id="rId95"/>
          <a:extLst>
            <a:ext uri="{FF2B5EF4-FFF2-40B4-BE49-F238E27FC236}">
              <a16:creationId xmlns:a16="http://schemas.microsoft.com/office/drawing/2014/main" id="{00000000-0008-0000-0400-0000F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6" name="Picture 14" descr="Italia">
          <a:hlinkClick xmlns:r="http://schemas.openxmlformats.org/officeDocument/2006/relationships" r:id="rId96"/>
          <a:extLst>
            <a:ext uri="{FF2B5EF4-FFF2-40B4-BE49-F238E27FC236}">
              <a16:creationId xmlns:a16="http://schemas.microsoft.com/office/drawing/2014/main" id="{00000000-0008-0000-0400-0000F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7" name="Picture 16" descr="España">
          <a:hlinkClick xmlns:r="http://schemas.openxmlformats.org/officeDocument/2006/relationships" r:id="rId90"/>
          <a:extLst>
            <a:ext uri="{FF2B5EF4-FFF2-40B4-BE49-F238E27FC236}">
              <a16:creationId xmlns:a16="http://schemas.microsoft.com/office/drawing/2014/main" id="{00000000-0008-0000-0400-0000F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8" name="Picture 18" descr="France">
          <a:hlinkClick xmlns:r="http://schemas.openxmlformats.org/officeDocument/2006/relationships" r:id="rId97"/>
          <a:extLst>
            <a:ext uri="{FF2B5EF4-FFF2-40B4-BE49-F238E27FC236}">
              <a16:creationId xmlns:a16="http://schemas.microsoft.com/office/drawing/2014/main" id="{00000000-0008-0000-0400-0000F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9" name="Picture 19" descr="France">
          <a:hlinkClick xmlns:r="http://schemas.openxmlformats.org/officeDocument/2006/relationships" r:id="rId97"/>
          <a:extLst>
            <a:ext uri="{FF2B5EF4-FFF2-40B4-BE49-F238E27FC236}">
              <a16:creationId xmlns:a16="http://schemas.microsoft.com/office/drawing/2014/main" id="{00000000-0008-0000-0400-0000F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0" name="Picture 21" descr="Argentina">
          <a:hlinkClick xmlns:r="http://schemas.openxmlformats.org/officeDocument/2006/relationships" r:id="rId98"/>
          <a:extLst>
            <a:ext uri="{FF2B5EF4-FFF2-40B4-BE49-F238E27FC236}">
              <a16:creationId xmlns:a16="http://schemas.microsoft.com/office/drawing/2014/main" id="{00000000-0008-0000-0400-0000F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1" name="Picture 23" descr="España">
          <a:hlinkClick xmlns:r="http://schemas.openxmlformats.org/officeDocument/2006/relationships" r:id="rId90"/>
          <a:extLst>
            <a:ext uri="{FF2B5EF4-FFF2-40B4-BE49-F238E27FC236}">
              <a16:creationId xmlns:a16="http://schemas.microsoft.com/office/drawing/2014/main" id="{00000000-0008-0000-0400-0000F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2" name="Picture 25" descr="Lubnan">
          <a:hlinkClick xmlns:r="http://schemas.openxmlformats.org/officeDocument/2006/relationships" r:id="rId99"/>
          <a:extLst>
            <a:ext uri="{FF2B5EF4-FFF2-40B4-BE49-F238E27FC236}">
              <a16:creationId xmlns:a16="http://schemas.microsoft.com/office/drawing/2014/main" id="{00000000-0008-0000-0400-0000F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3" name="Picture 27" descr="Magyarország">
          <a:hlinkClick xmlns:r="http://schemas.openxmlformats.org/officeDocument/2006/relationships" r:id="rId100"/>
          <a:extLst>
            <a:ext uri="{FF2B5EF4-FFF2-40B4-BE49-F238E27FC236}">
              <a16:creationId xmlns:a16="http://schemas.microsoft.com/office/drawing/2014/main" id="{00000000-0008-0000-0400-0000F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4" name="Picture 29" descr="Uruguay">
          <a:hlinkClick xmlns:r="http://schemas.openxmlformats.org/officeDocument/2006/relationships" r:id="rId101"/>
          <a:extLst>
            <a:ext uri="{FF2B5EF4-FFF2-40B4-BE49-F238E27FC236}">
              <a16:creationId xmlns:a16="http://schemas.microsoft.com/office/drawing/2014/main" id="{00000000-0008-0000-0400-0000F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5" name="Picture 30" descr="Italia">
          <a:hlinkClick xmlns:r="http://schemas.openxmlformats.org/officeDocument/2006/relationships" r:id="rId96"/>
          <a:extLst>
            <a:ext uri="{FF2B5EF4-FFF2-40B4-BE49-F238E27FC236}">
              <a16:creationId xmlns:a16="http://schemas.microsoft.com/office/drawing/2014/main" id="{00000000-0008-0000-0400-0000F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6" name="Picture 31" descr="Nederland">
          <a:hlinkClick xmlns:r="http://schemas.openxmlformats.org/officeDocument/2006/relationships" r:id="rId95"/>
          <a:extLst>
            <a:ext uri="{FF2B5EF4-FFF2-40B4-BE49-F238E27FC236}">
              <a16:creationId xmlns:a16="http://schemas.microsoft.com/office/drawing/2014/main" id="{00000000-0008-0000-0400-0000F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7" name="Picture 32" descr="Italia">
          <a:hlinkClick xmlns:r="http://schemas.openxmlformats.org/officeDocument/2006/relationships" r:id="rId96"/>
          <a:extLst>
            <a:ext uri="{FF2B5EF4-FFF2-40B4-BE49-F238E27FC236}">
              <a16:creationId xmlns:a16="http://schemas.microsoft.com/office/drawing/2014/main" id="{00000000-0008-0000-0400-0000F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8" name="Picture 34" descr="Deutschland">
          <a:hlinkClick xmlns:r="http://schemas.openxmlformats.org/officeDocument/2006/relationships" r:id="rId102"/>
          <a:extLst>
            <a:ext uri="{FF2B5EF4-FFF2-40B4-BE49-F238E27FC236}">
              <a16:creationId xmlns:a16="http://schemas.microsoft.com/office/drawing/2014/main" id="{00000000-0008-0000-0400-00000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9" name="Picture 36" descr="Israel">
          <a:hlinkClick xmlns:r="http://schemas.openxmlformats.org/officeDocument/2006/relationships" r:id="rId103"/>
          <a:extLst>
            <a:ext uri="{FF2B5EF4-FFF2-40B4-BE49-F238E27FC236}">
              <a16:creationId xmlns:a16="http://schemas.microsoft.com/office/drawing/2014/main" id="{00000000-0008-0000-0400-00000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0" name="Picture 37" descr="Slovensko">
          <a:hlinkClick xmlns:r="http://schemas.openxmlformats.org/officeDocument/2006/relationships" r:id="rId104"/>
          <a:extLst>
            <a:ext uri="{FF2B5EF4-FFF2-40B4-BE49-F238E27FC236}">
              <a16:creationId xmlns:a16="http://schemas.microsoft.com/office/drawing/2014/main" id="{00000000-0008-0000-0400-00000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1" name="Picture 2" descr="España">
          <a:hlinkClick xmlns:r="http://schemas.openxmlformats.org/officeDocument/2006/relationships" r:id="rId90"/>
          <a:extLst>
            <a:ext uri="{FF2B5EF4-FFF2-40B4-BE49-F238E27FC236}">
              <a16:creationId xmlns:a16="http://schemas.microsoft.com/office/drawing/2014/main" id="{00000000-0008-0000-0400-00000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2" name="Picture 3" descr="USA">
          <a:hlinkClick xmlns:r="http://schemas.openxmlformats.org/officeDocument/2006/relationships" r:id="rId91"/>
          <a:extLst>
            <a:ext uri="{FF2B5EF4-FFF2-40B4-BE49-F238E27FC236}">
              <a16:creationId xmlns:a16="http://schemas.microsoft.com/office/drawing/2014/main" id="{00000000-0008-0000-0400-00000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3" name="Picture 5" descr="España">
          <a:hlinkClick xmlns:r="http://schemas.openxmlformats.org/officeDocument/2006/relationships" r:id="rId90"/>
          <a:extLst>
            <a:ext uri="{FF2B5EF4-FFF2-40B4-BE49-F238E27FC236}">
              <a16:creationId xmlns:a16="http://schemas.microsoft.com/office/drawing/2014/main" id="{00000000-0008-0000-0400-00000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4" name="Picture 6" descr="España">
          <a:hlinkClick xmlns:r="http://schemas.openxmlformats.org/officeDocument/2006/relationships" r:id="rId90"/>
          <a:extLst>
            <a:ext uri="{FF2B5EF4-FFF2-40B4-BE49-F238E27FC236}">
              <a16:creationId xmlns:a16="http://schemas.microsoft.com/office/drawing/2014/main" id="{00000000-0008-0000-0400-00000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5" name="Picture 8" descr="Česká republika">
          <a:hlinkClick xmlns:r="http://schemas.openxmlformats.org/officeDocument/2006/relationships" r:id="rId92"/>
          <a:extLst>
            <a:ext uri="{FF2B5EF4-FFF2-40B4-BE49-F238E27FC236}">
              <a16:creationId xmlns:a16="http://schemas.microsoft.com/office/drawing/2014/main" id="{00000000-0008-0000-0400-00000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6" name="Picture 9" descr="Sverige">
          <a:hlinkClick xmlns:r="http://schemas.openxmlformats.org/officeDocument/2006/relationships" r:id="rId93"/>
          <a:extLst>
            <a:ext uri="{FF2B5EF4-FFF2-40B4-BE49-F238E27FC236}">
              <a16:creationId xmlns:a16="http://schemas.microsoft.com/office/drawing/2014/main" id="{00000000-0008-0000-0400-00000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7" name="Picture 11" descr="Suomi">
          <a:hlinkClick xmlns:r="http://schemas.openxmlformats.org/officeDocument/2006/relationships" r:id="rId94"/>
          <a:extLst>
            <a:ext uri="{FF2B5EF4-FFF2-40B4-BE49-F238E27FC236}">
              <a16:creationId xmlns:a16="http://schemas.microsoft.com/office/drawing/2014/main" id="{00000000-0008-0000-0400-00000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8" name="Picture 12" descr="España">
          <a:hlinkClick xmlns:r="http://schemas.openxmlformats.org/officeDocument/2006/relationships" r:id="rId90"/>
          <a:extLst>
            <a:ext uri="{FF2B5EF4-FFF2-40B4-BE49-F238E27FC236}">
              <a16:creationId xmlns:a16="http://schemas.microsoft.com/office/drawing/2014/main" id="{00000000-0008-0000-0400-00000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9" name="Picture 13" descr="Nederland">
          <a:hlinkClick xmlns:r="http://schemas.openxmlformats.org/officeDocument/2006/relationships" r:id="rId95"/>
          <a:extLst>
            <a:ext uri="{FF2B5EF4-FFF2-40B4-BE49-F238E27FC236}">
              <a16:creationId xmlns:a16="http://schemas.microsoft.com/office/drawing/2014/main" id="{00000000-0008-0000-0400-00000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0" name="Picture 14" descr="Italia">
          <a:hlinkClick xmlns:r="http://schemas.openxmlformats.org/officeDocument/2006/relationships" r:id="rId96"/>
          <a:extLst>
            <a:ext uri="{FF2B5EF4-FFF2-40B4-BE49-F238E27FC236}">
              <a16:creationId xmlns:a16="http://schemas.microsoft.com/office/drawing/2014/main" id="{00000000-0008-0000-0400-00000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1" name="Picture 16" descr="España">
          <a:hlinkClick xmlns:r="http://schemas.openxmlformats.org/officeDocument/2006/relationships" r:id="rId90"/>
          <a:extLst>
            <a:ext uri="{FF2B5EF4-FFF2-40B4-BE49-F238E27FC236}">
              <a16:creationId xmlns:a16="http://schemas.microsoft.com/office/drawing/2014/main" id="{00000000-0008-0000-0400-00000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2" name="Picture 18" descr="France">
          <a:hlinkClick xmlns:r="http://schemas.openxmlformats.org/officeDocument/2006/relationships" r:id="rId97"/>
          <a:extLst>
            <a:ext uri="{FF2B5EF4-FFF2-40B4-BE49-F238E27FC236}">
              <a16:creationId xmlns:a16="http://schemas.microsoft.com/office/drawing/2014/main" id="{00000000-0008-0000-0400-00000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3" name="Picture 19" descr="France">
          <a:hlinkClick xmlns:r="http://schemas.openxmlformats.org/officeDocument/2006/relationships" r:id="rId97"/>
          <a:extLst>
            <a:ext uri="{FF2B5EF4-FFF2-40B4-BE49-F238E27FC236}">
              <a16:creationId xmlns:a16="http://schemas.microsoft.com/office/drawing/2014/main" id="{00000000-0008-0000-0400-00000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4" name="Picture 21" descr="Argentina">
          <a:hlinkClick xmlns:r="http://schemas.openxmlformats.org/officeDocument/2006/relationships" r:id="rId98"/>
          <a:extLst>
            <a:ext uri="{FF2B5EF4-FFF2-40B4-BE49-F238E27FC236}">
              <a16:creationId xmlns:a16="http://schemas.microsoft.com/office/drawing/2014/main" id="{00000000-0008-0000-0400-00001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5" name="Picture 23" descr="España">
          <a:hlinkClick xmlns:r="http://schemas.openxmlformats.org/officeDocument/2006/relationships" r:id="rId90"/>
          <a:extLst>
            <a:ext uri="{FF2B5EF4-FFF2-40B4-BE49-F238E27FC236}">
              <a16:creationId xmlns:a16="http://schemas.microsoft.com/office/drawing/2014/main" id="{00000000-0008-0000-0400-00001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6" name="Picture 25" descr="Lubnan">
          <a:hlinkClick xmlns:r="http://schemas.openxmlformats.org/officeDocument/2006/relationships" r:id="rId99"/>
          <a:extLst>
            <a:ext uri="{FF2B5EF4-FFF2-40B4-BE49-F238E27FC236}">
              <a16:creationId xmlns:a16="http://schemas.microsoft.com/office/drawing/2014/main" id="{00000000-0008-0000-0400-00001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7" name="Picture 27" descr="Magyarország">
          <a:hlinkClick xmlns:r="http://schemas.openxmlformats.org/officeDocument/2006/relationships" r:id="rId100"/>
          <a:extLst>
            <a:ext uri="{FF2B5EF4-FFF2-40B4-BE49-F238E27FC236}">
              <a16:creationId xmlns:a16="http://schemas.microsoft.com/office/drawing/2014/main" id="{00000000-0008-0000-0400-00001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8" name="Picture 29" descr="Uruguay">
          <a:hlinkClick xmlns:r="http://schemas.openxmlformats.org/officeDocument/2006/relationships" r:id="rId101"/>
          <a:extLst>
            <a:ext uri="{FF2B5EF4-FFF2-40B4-BE49-F238E27FC236}">
              <a16:creationId xmlns:a16="http://schemas.microsoft.com/office/drawing/2014/main" id="{00000000-0008-0000-0400-00001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9" name="Picture 30" descr="Italia">
          <a:hlinkClick xmlns:r="http://schemas.openxmlformats.org/officeDocument/2006/relationships" r:id="rId96"/>
          <a:extLst>
            <a:ext uri="{FF2B5EF4-FFF2-40B4-BE49-F238E27FC236}">
              <a16:creationId xmlns:a16="http://schemas.microsoft.com/office/drawing/2014/main" id="{00000000-0008-0000-0400-00001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0" name="Picture 31" descr="Nederland">
          <a:hlinkClick xmlns:r="http://schemas.openxmlformats.org/officeDocument/2006/relationships" r:id="rId95"/>
          <a:extLst>
            <a:ext uri="{FF2B5EF4-FFF2-40B4-BE49-F238E27FC236}">
              <a16:creationId xmlns:a16="http://schemas.microsoft.com/office/drawing/2014/main" id="{00000000-0008-0000-0400-00001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1" name="Picture 32" descr="Italia">
          <a:hlinkClick xmlns:r="http://schemas.openxmlformats.org/officeDocument/2006/relationships" r:id="rId96"/>
          <a:extLst>
            <a:ext uri="{FF2B5EF4-FFF2-40B4-BE49-F238E27FC236}">
              <a16:creationId xmlns:a16="http://schemas.microsoft.com/office/drawing/2014/main" id="{00000000-0008-0000-0400-00001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2" name="Picture 34" descr="Deutschland">
          <a:hlinkClick xmlns:r="http://schemas.openxmlformats.org/officeDocument/2006/relationships" r:id="rId102"/>
          <a:extLst>
            <a:ext uri="{FF2B5EF4-FFF2-40B4-BE49-F238E27FC236}">
              <a16:creationId xmlns:a16="http://schemas.microsoft.com/office/drawing/2014/main" id="{00000000-0008-0000-0400-00001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3" name="Picture 36" descr="Israel">
          <a:hlinkClick xmlns:r="http://schemas.openxmlformats.org/officeDocument/2006/relationships" r:id="rId103"/>
          <a:extLst>
            <a:ext uri="{FF2B5EF4-FFF2-40B4-BE49-F238E27FC236}">
              <a16:creationId xmlns:a16="http://schemas.microsoft.com/office/drawing/2014/main" id="{00000000-0008-0000-0400-00001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4" name="Picture 37" descr="Slovensko">
          <a:hlinkClick xmlns:r="http://schemas.openxmlformats.org/officeDocument/2006/relationships" r:id="rId104"/>
          <a:extLst>
            <a:ext uri="{FF2B5EF4-FFF2-40B4-BE49-F238E27FC236}">
              <a16:creationId xmlns:a16="http://schemas.microsoft.com/office/drawing/2014/main" id="{00000000-0008-0000-0400-00001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5" name="Picture 2" descr="España">
          <a:hlinkClick xmlns:r="http://schemas.openxmlformats.org/officeDocument/2006/relationships" r:id="rId90"/>
          <a:extLst>
            <a:ext uri="{FF2B5EF4-FFF2-40B4-BE49-F238E27FC236}">
              <a16:creationId xmlns:a16="http://schemas.microsoft.com/office/drawing/2014/main" id="{00000000-0008-0000-0400-00001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6" name="Picture 3" descr="USA">
          <a:hlinkClick xmlns:r="http://schemas.openxmlformats.org/officeDocument/2006/relationships" r:id="rId91"/>
          <a:extLst>
            <a:ext uri="{FF2B5EF4-FFF2-40B4-BE49-F238E27FC236}">
              <a16:creationId xmlns:a16="http://schemas.microsoft.com/office/drawing/2014/main" id="{00000000-0008-0000-0400-00001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7" name="Picture 5" descr="España">
          <a:hlinkClick xmlns:r="http://schemas.openxmlformats.org/officeDocument/2006/relationships" r:id="rId90"/>
          <a:extLst>
            <a:ext uri="{FF2B5EF4-FFF2-40B4-BE49-F238E27FC236}">
              <a16:creationId xmlns:a16="http://schemas.microsoft.com/office/drawing/2014/main" id="{00000000-0008-0000-0400-00001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8" name="Picture 6" descr="España">
          <a:hlinkClick xmlns:r="http://schemas.openxmlformats.org/officeDocument/2006/relationships" r:id="rId90"/>
          <a:extLst>
            <a:ext uri="{FF2B5EF4-FFF2-40B4-BE49-F238E27FC236}">
              <a16:creationId xmlns:a16="http://schemas.microsoft.com/office/drawing/2014/main" id="{00000000-0008-0000-0400-00001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9" name="Picture 8" descr="Česká republika">
          <a:hlinkClick xmlns:r="http://schemas.openxmlformats.org/officeDocument/2006/relationships" r:id="rId92"/>
          <a:extLst>
            <a:ext uri="{FF2B5EF4-FFF2-40B4-BE49-F238E27FC236}">
              <a16:creationId xmlns:a16="http://schemas.microsoft.com/office/drawing/2014/main" id="{00000000-0008-0000-0400-00001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0" name="Picture 9" descr="Sverige">
          <a:hlinkClick xmlns:r="http://schemas.openxmlformats.org/officeDocument/2006/relationships" r:id="rId93"/>
          <a:extLst>
            <a:ext uri="{FF2B5EF4-FFF2-40B4-BE49-F238E27FC236}">
              <a16:creationId xmlns:a16="http://schemas.microsoft.com/office/drawing/2014/main" id="{00000000-0008-0000-0400-00002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1" name="Picture 11" descr="Suomi">
          <a:hlinkClick xmlns:r="http://schemas.openxmlformats.org/officeDocument/2006/relationships" r:id="rId94"/>
          <a:extLst>
            <a:ext uri="{FF2B5EF4-FFF2-40B4-BE49-F238E27FC236}">
              <a16:creationId xmlns:a16="http://schemas.microsoft.com/office/drawing/2014/main" id="{00000000-0008-0000-0400-00002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2" name="Picture 12" descr="España">
          <a:hlinkClick xmlns:r="http://schemas.openxmlformats.org/officeDocument/2006/relationships" r:id="rId90"/>
          <a:extLst>
            <a:ext uri="{FF2B5EF4-FFF2-40B4-BE49-F238E27FC236}">
              <a16:creationId xmlns:a16="http://schemas.microsoft.com/office/drawing/2014/main" id="{00000000-0008-0000-0400-00002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3" name="Picture 13" descr="Nederland">
          <a:hlinkClick xmlns:r="http://schemas.openxmlformats.org/officeDocument/2006/relationships" r:id="rId95"/>
          <a:extLst>
            <a:ext uri="{FF2B5EF4-FFF2-40B4-BE49-F238E27FC236}">
              <a16:creationId xmlns:a16="http://schemas.microsoft.com/office/drawing/2014/main" id="{00000000-0008-0000-0400-00002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4" name="Picture 14" descr="Italia">
          <a:hlinkClick xmlns:r="http://schemas.openxmlformats.org/officeDocument/2006/relationships" r:id="rId96"/>
          <a:extLst>
            <a:ext uri="{FF2B5EF4-FFF2-40B4-BE49-F238E27FC236}">
              <a16:creationId xmlns:a16="http://schemas.microsoft.com/office/drawing/2014/main" id="{00000000-0008-0000-0400-00002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5" name="Picture 16" descr="España">
          <a:hlinkClick xmlns:r="http://schemas.openxmlformats.org/officeDocument/2006/relationships" r:id="rId90"/>
          <a:extLst>
            <a:ext uri="{FF2B5EF4-FFF2-40B4-BE49-F238E27FC236}">
              <a16:creationId xmlns:a16="http://schemas.microsoft.com/office/drawing/2014/main" id="{00000000-0008-0000-0400-00002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6" name="Picture 18" descr="France">
          <a:hlinkClick xmlns:r="http://schemas.openxmlformats.org/officeDocument/2006/relationships" r:id="rId97"/>
          <a:extLst>
            <a:ext uri="{FF2B5EF4-FFF2-40B4-BE49-F238E27FC236}">
              <a16:creationId xmlns:a16="http://schemas.microsoft.com/office/drawing/2014/main" id="{00000000-0008-0000-0400-00002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7" name="Picture 19" descr="France">
          <a:hlinkClick xmlns:r="http://schemas.openxmlformats.org/officeDocument/2006/relationships" r:id="rId97"/>
          <a:extLst>
            <a:ext uri="{FF2B5EF4-FFF2-40B4-BE49-F238E27FC236}">
              <a16:creationId xmlns:a16="http://schemas.microsoft.com/office/drawing/2014/main" id="{00000000-0008-0000-0400-00002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8" name="Picture 21" descr="Argentina">
          <a:hlinkClick xmlns:r="http://schemas.openxmlformats.org/officeDocument/2006/relationships" r:id="rId98"/>
          <a:extLst>
            <a:ext uri="{FF2B5EF4-FFF2-40B4-BE49-F238E27FC236}">
              <a16:creationId xmlns:a16="http://schemas.microsoft.com/office/drawing/2014/main" id="{00000000-0008-0000-0400-00002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9" name="Picture 23" descr="España">
          <a:hlinkClick xmlns:r="http://schemas.openxmlformats.org/officeDocument/2006/relationships" r:id="rId90"/>
          <a:extLst>
            <a:ext uri="{FF2B5EF4-FFF2-40B4-BE49-F238E27FC236}">
              <a16:creationId xmlns:a16="http://schemas.microsoft.com/office/drawing/2014/main" id="{00000000-0008-0000-0400-00002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0" name="Picture 25" descr="Lubnan">
          <a:hlinkClick xmlns:r="http://schemas.openxmlformats.org/officeDocument/2006/relationships" r:id="rId99"/>
          <a:extLst>
            <a:ext uri="{FF2B5EF4-FFF2-40B4-BE49-F238E27FC236}">
              <a16:creationId xmlns:a16="http://schemas.microsoft.com/office/drawing/2014/main" id="{00000000-0008-0000-0400-00002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1" name="Picture 27" descr="Magyarország">
          <a:hlinkClick xmlns:r="http://schemas.openxmlformats.org/officeDocument/2006/relationships" r:id="rId100"/>
          <a:extLst>
            <a:ext uri="{FF2B5EF4-FFF2-40B4-BE49-F238E27FC236}">
              <a16:creationId xmlns:a16="http://schemas.microsoft.com/office/drawing/2014/main" id="{00000000-0008-0000-0400-00002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2" name="Picture 29" descr="Uruguay">
          <a:hlinkClick xmlns:r="http://schemas.openxmlformats.org/officeDocument/2006/relationships" r:id="rId101"/>
          <a:extLst>
            <a:ext uri="{FF2B5EF4-FFF2-40B4-BE49-F238E27FC236}">
              <a16:creationId xmlns:a16="http://schemas.microsoft.com/office/drawing/2014/main" id="{00000000-0008-0000-0400-00002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3" name="Picture 30" descr="Italia">
          <a:hlinkClick xmlns:r="http://schemas.openxmlformats.org/officeDocument/2006/relationships" r:id="rId96"/>
          <a:extLst>
            <a:ext uri="{FF2B5EF4-FFF2-40B4-BE49-F238E27FC236}">
              <a16:creationId xmlns:a16="http://schemas.microsoft.com/office/drawing/2014/main" id="{00000000-0008-0000-0400-00002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4" name="Picture 31" descr="Nederland">
          <a:hlinkClick xmlns:r="http://schemas.openxmlformats.org/officeDocument/2006/relationships" r:id="rId95"/>
          <a:extLst>
            <a:ext uri="{FF2B5EF4-FFF2-40B4-BE49-F238E27FC236}">
              <a16:creationId xmlns:a16="http://schemas.microsoft.com/office/drawing/2014/main" id="{00000000-0008-0000-0400-00002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5" name="Picture 32" descr="Italia">
          <a:hlinkClick xmlns:r="http://schemas.openxmlformats.org/officeDocument/2006/relationships" r:id="rId96"/>
          <a:extLst>
            <a:ext uri="{FF2B5EF4-FFF2-40B4-BE49-F238E27FC236}">
              <a16:creationId xmlns:a16="http://schemas.microsoft.com/office/drawing/2014/main" id="{00000000-0008-0000-0400-00002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6" name="Picture 34" descr="Deutschland">
          <a:hlinkClick xmlns:r="http://schemas.openxmlformats.org/officeDocument/2006/relationships" r:id="rId102"/>
          <a:extLst>
            <a:ext uri="{FF2B5EF4-FFF2-40B4-BE49-F238E27FC236}">
              <a16:creationId xmlns:a16="http://schemas.microsoft.com/office/drawing/2014/main" id="{00000000-0008-0000-0400-00003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7" name="Picture 36" descr="Israel">
          <a:hlinkClick xmlns:r="http://schemas.openxmlformats.org/officeDocument/2006/relationships" r:id="rId103"/>
          <a:extLst>
            <a:ext uri="{FF2B5EF4-FFF2-40B4-BE49-F238E27FC236}">
              <a16:creationId xmlns:a16="http://schemas.microsoft.com/office/drawing/2014/main" id="{00000000-0008-0000-0400-00003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8" name="Picture 37" descr="Slovensko">
          <a:hlinkClick xmlns:r="http://schemas.openxmlformats.org/officeDocument/2006/relationships" r:id="rId104"/>
          <a:extLst>
            <a:ext uri="{FF2B5EF4-FFF2-40B4-BE49-F238E27FC236}">
              <a16:creationId xmlns:a16="http://schemas.microsoft.com/office/drawing/2014/main" id="{00000000-0008-0000-0400-00003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9" name="Picture 2" descr="España">
          <a:hlinkClick xmlns:r="http://schemas.openxmlformats.org/officeDocument/2006/relationships" r:id="rId90"/>
          <a:extLst>
            <a:ext uri="{FF2B5EF4-FFF2-40B4-BE49-F238E27FC236}">
              <a16:creationId xmlns:a16="http://schemas.microsoft.com/office/drawing/2014/main" id="{00000000-0008-0000-0400-00003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0" name="Picture 3" descr="USA">
          <a:hlinkClick xmlns:r="http://schemas.openxmlformats.org/officeDocument/2006/relationships" r:id="rId91"/>
          <a:extLst>
            <a:ext uri="{FF2B5EF4-FFF2-40B4-BE49-F238E27FC236}">
              <a16:creationId xmlns:a16="http://schemas.microsoft.com/office/drawing/2014/main" id="{00000000-0008-0000-0400-00003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1" name="Picture 5" descr="España">
          <a:hlinkClick xmlns:r="http://schemas.openxmlformats.org/officeDocument/2006/relationships" r:id="rId90"/>
          <a:extLst>
            <a:ext uri="{FF2B5EF4-FFF2-40B4-BE49-F238E27FC236}">
              <a16:creationId xmlns:a16="http://schemas.microsoft.com/office/drawing/2014/main" id="{00000000-0008-0000-0400-00003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2" name="Picture 6" descr="España">
          <a:hlinkClick xmlns:r="http://schemas.openxmlformats.org/officeDocument/2006/relationships" r:id="rId90"/>
          <a:extLst>
            <a:ext uri="{FF2B5EF4-FFF2-40B4-BE49-F238E27FC236}">
              <a16:creationId xmlns:a16="http://schemas.microsoft.com/office/drawing/2014/main" id="{00000000-0008-0000-0400-00003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3" name="Picture 8" descr="Česká republika">
          <a:hlinkClick xmlns:r="http://schemas.openxmlformats.org/officeDocument/2006/relationships" r:id="rId92"/>
          <a:extLst>
            <a:ext uri="{FF2B5EF4-FFF2-40B4-BE49-F238E27FC236}">
              <a16:creationId xmlns:a16="http://schemas.microsoft.com/office/drawing/2014/main" id="{00000000-0008-0000-0400-00003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4" name="Picture 9" descr="Sverige">
          <a:hlinkClick xmlns:r="http://schemas.openxmlformats.org/officeDocument/2006/relationships" r:id="rId93"/>
          <a:extLst>
            <a:ext uri="{FF2B5EF4-FFF2-40B4-BE49-F238E27FC236}">
              <a16:creationId xmlns:a16="http://schemas.microsoft.com/office/drawing/2014/main" id="{00000000-0008-0000-0400-00003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5" name="Picture 11" descr="Suomi">
          <a:hlinkClick xmlns:r="http://schemas.openxmlformats.org/officeDocument/2006/relationships" r:id="rId94"/>
          <a:extLst>
            <a:ext uri="{FF2B5EF4-FFF2-40B4-BE49-F238E27FC236}">
              <a16:creationId xmlns:a16="http://schemas.microsoft.com/office/drawing/2014/main" id="{00000000-0008-0000-0400-00003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6" name="Picture 12" descr="España">
          <a:hlinkClick xmlns:r="http://schemas.openxmlformats.org/officeDocument/2006/relationships" r:id="rId90"/>
          <a:extLst>
            <a:ext uri="{FF2B5EF4-FFF2-40B4-BE49-F238E27FC236}">
              <a16:creationId xmlns:a16="http://schemas.microsoft.com/office/drawing/2014/main" id="{00000000-0008-0000-0400-00003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7" name="Picture 13" descr="Nederland">
          <a:hlinkClick xmlns:r="http://schemas.openxmlformats.org/officeDocument/2006/relationships" r:id="rId95"/>
          <a:extLst>
            <a:ext uri="{FF2B5EF4-FFF2-40B4-BE49-F238E27FC236}">
              <a16:creationId xmlns:a16="http://schemas.microsoft.com/office/drawing/2014/main" id="{00000000-0008-0000-0400-00003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8" name="Picture 14" descr="Italia">
          <a:hlinkClick xmlns:r="http://schemas.openxmlformats.org/officeDocument/2006/relationships" r:id="rId96"/>
          <a:extLst>
            <a:ext uri="{FF2B5EF4-FFF2-40B4-BE49-F238E27FC236}">
              <a16:creationId xmlns:a16="http://schemas.microsoft.com/office/drawing/2014/main" id="{00000000-0008-0000-0400-00003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9" name="Picture 16" descr="España">
          <a:hlinkClick xmlns:r="http://schemas.openxmlformats.org/officeDocument/2006/relationships" r:id="rId90"/>
          <a:extLst>
            <a:ext uri="{FF2B5EF4-FFF2-40B4-BE49-F238E27FC236}">
              <a16:creationId xmlns:a16="http://schemas.microsoft.com/office/drawing/2014/main" id="{00000000-0008-0000-0400-00003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0" name="Picture 18" descr="France">
          <a:hlinkClick xmlns:r="http://schemas.openxmlformats.org/officeDocument/2006/relationships" r:id="rId97"/>
          <a:extLst>
            <a:ext uri="{FF2B5EF4-FFF2-40B4-BE49-F238E27FC236}">
              <a16:creationId xmlns:a16="http://schemas.microsoft.com/office/drawing/2014/main" id="{00000000-0008-0000-0400-00003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1" name="Picture 19" descr="France">
          <a:hlinkClick xmlns:r="http://schemas.openxmlformats.org/officeDocument/2006/relationships" r:id="rId97"/>
          <a:extLst>
            <a:ext uri="{FF2B5EF4-FFF2-40B4-BE49-F238E27FC236}">
              <a16:creationId xmlns:a16="http://schemas.microsoft.com/office/drawing/2014/main" id="{00000000-0008-0000-0400-00003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2" name="Picture 21" descr="Argentina">
          <a:hlinkClick xmlns:r="http://schemas.openxmlformats.org/officeDocument/2006/relationships" r:id="rId98"/>
          <a:extLst>
            <a:ext uri="{FF2B5EF4-FFF2-40B4-BE49-F238E27FC236}">
              <a16:creationId xmlns:a16="http://schemas.microsoft.com/office/drawing/2014/main" id="{00000000-0008-0000-0400-00004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3" name="Picture 23" descr="España">
          <a:hlinkClick xmlns:r="http://schemas.openxmlformats.org/officeDocument/2006/relationships" r:id="rId90"/>
          <a:extLst>
            <a:ext uri="{FF2B5EF4-FFF2-40B4-BE49-F238E27FC236}">
              <a16:creationId xmlns:a16="http://schemas.microsoft.com/office/drawing/2014/main" id="{00000000-0008-0000-0400-00004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4" name="Picture 25" descr="Lubnan">
          <a:hlinkClick xmlns:r="http://schemas.openxmlformats.org/officeDocument/2006/relationships" r:id="rId99"/>
          <a:extLst>
            <a:ext uri="{FF2B5EF4-FFF2-40B4-BE49-F238E27FC236}">
              <a16:creationId xmlns:a16="http://schemas.microsoft.com/office/drawing/2014/main" id="{00000000-0008-0000-0400-00004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5" name="Picture 27" descr="Magyarország">
          <a:hlinkClick xmlns:r="http://schemas.openxmlformats.org/officeDocument/2006/relationships" r:id="rId100"/>
          <a:extLst>
            <a:ext uri="{FF2B5EF4-FFF2-40B4-BE49-F238E27FC236}">
              <a16:creationId xmlns:a16="http://schemas.microsoft.com/office/drawing/2014/main" id="{00000000-0008-0000-0400-00004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6" name="Picture 29" descr="Uruguay">
          <a:hlinkClick xmlns:r="http://schemas.openxmlformats.org/officeDocument/2006/relationships" r:id="rId101"/>
          <a:extLst>
            <a:ext uri="{FF2B5EF4-FFF2-40B4-BE49-F238E27FC236}">
              <a16:creationId xmlns:a16="http://schemas.microsoft.com/office/drawing/2014/main" id="{00000000-0008-0000-0400-00004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7" name="Picture 30" descr="Italia">
          <a:hlinkClick xmlns:r="http://schemas.openxmlformats.org/officeDocument/2006/relationships" r:id="rId96"/>
          <a:extLst>
            <a:ext uri="{FF2B5EF4-FFF2-40B4-BE49-F238E27FC236}">
              <a16:creationId xmlns:a16="http://schemas.microsoft.com/office/drawing/2014/main" id="{00000000-0008-0000-0400-00004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8" name="Picture 31" descr="Nederland">
          <a:hlinkClick xmlns:r="http://schemas.openxmlformats.org/officeDocument/2006/relationships" r:id="rId95"/>
          <a:extLst>
            <a:ext uri="{FF2B5EF4-FFF2-40B4-BE49-F238E27FC236}">
              <a16:creationId xmlns:a16="http://schemas.microsoft.com/office/drawing/2014/main" id="{00000000-0008-0000-0400-00004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9" name="Picture 32" descr="Italia">
          <a:hlinkClick xmlns:r="http://schemas.openxmlformats.org/officeDocument/2006/relationships" r:id="rId96"/>
          <a:extLst>
            <a:ext uri="{FF2B5EF4-FFF2-40B4-BE49-F238E27FC236}">
              <a16:creationId xmlns:a16="http://schemas.microsoft.com/office/drawing/2014/main" id="{00000000-0008-0000-0400-00004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0" name="Picture 34" descr="Deutschland">
          <a:hlinkClick xmlns:r="http://schemas.openxmlformats.org/officeDocument/2006/relationships" r:id="rId102"/>
          <a:extLst>
            <a:ext uri="{FF2B5EF4-FFF2-40B4-BE49-F238E27FC236}">
              <a16:creationId xmlns:a16="http://schemas.microsoft.com/office/drawing/2014/main" id="{00000000-0008-0000-0400-00004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1" name="Picture 36" descr="Israel">
          <a:hlinkClick xmlns:r="http://schemas.openxmlformats.org/officeDocument/2006/relationships" r:id="rId103"/>
          <a:extLst>
            <a:ext uri="{FF2B5EF4-FFF2-40B4-BE49-F238E27FC236}">
              <a16:creationId xmlns:a16="http://schemas.microsoft.com/office/drawing/2014/main" id="{00000000-0008-0000-0400-00004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2" name="Picture 37" descr="Slovensko">
          <a:hlinkClick xmlns:r="http://schemas.openxmlformats.org/officeDocument/2006/relationships" r:id="rId104"/>
          <a:extLst>
            <a:ext uri="{FF2B5EF4-FFF2-40B4-BE49-F238E27FC236}">
              <a16:creationId xmlns:a16="http://schemas.microsoft.com/office/drawing/2014/main" id="{00000000-0008-0000-0400-00004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3" name="Picture 2" descr="España">
          <a:hlinkClick xmlns:r="http://schemas.openxmlformats.org/officeDocument/2006/relationships" r:id="rId90"/>
          <a:extLst>
            <a:ext uri="{FF2B5EF4-FFF2-40B4-BE49-F238E27FC236}">
              <a16:creationId xmlns:a16="http://schemas.microsoft.com/office/drawing/2014/main" id="{00000000-0008-0000-0400-00004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4" name="Picture 3" descr="USA">
          <a:hlinkClick xmlns:r="http://schemas.openxmlformats.org/officeDocument/2006/relationships" r:id="rId91"/>
          <a:extLst>
            <a:ext uri="{FF2B5EF4-FFF2-40B4-BE49-F238E27FC236}">
              <a16:creationId xmlns:a16="http://schemas.microsoft.com/office/drawing/2014/main" id="{00000000-0008-0000-0400-00004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5" name="Picture 5" descr="España">
          <a:hlinkClick xmlns:r="http://schemas.openxmlformats.org/officeDocument/2006/relationships" r:id="rId90"/>
          <a:extLst>
            <a:ext uri="{FF2B5EF4-FFF2-40B4-BE49-F238E27FC236}">
              <a16:creationId xmlns:a16="http://schemas.microsoft.com/office/drawing/2014/main" id="{00000000-0008-0000-0400-00004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6" name="Picture 6" descr="España">
          <a:hlinkClick xmlns:r="http://schemas.openxmlformats.org/officeDocument/2006/relationships" r:id="rId90"/>
          <a:extLst>
            <a:ext uri="{FF2B5EF4-FFF2-40B4-BE49-F238E27FC236}">
              <a16:creationId xmlns:a16="http://schemas.microsoft.com/office/drawing/2014/main" id="{00000000-0008-0000-0400-00004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7" name="Picture 8" descr="Česká republika">
          <a:hlinkClick xmlns:r="http://schemas.openxmlformats.org/officeDocument/2006/relationships" r:id="rId92"/>
          <a:extLst>
            <a:ext uri="{FF2B5EF4-FFF2-40B4-BE49-F238E27FC236}">
              <a16:creationId xmlns:a16="http://schemas.microsoft.com/office/drawing/2014/main" id="{00000000-0008-0000-0400-00004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8" name="Picture 9" descr="Sverige">
          <a:hlinkClick xmlns:r="http://schemas.openxmlformats.org/officeDocument/2006/relationships" r:id="rId93"/>
          <a:extLst>
            <a:ext uri="{FF2B5EF4-FFF2-40B4-BE49-F238E27FC236}">
              <a16:creationId xmlns:a16="http://schemas.microsoft.com/office/drawing/2014/main" id="{00000000-0008-0000-0400-00005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9" name="Picture 11" descr="Suomi">
          <a:hlinkClick xmlns:r="http://schemas.openxmlformats.org/officeDocument/2006/relationships" r:id="rId94"/>
          <a:extLst>
            <a:ext uri="{FF2B5EF4-FFF2-40B4-BE49-F238E27FC236}">
              <a16:creationId xmlns:a16="http://schemas.microsoft.com/office/drawing/2014/main" id="{00000000-0008-0000-0400-00005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0" name="Picture 12" descr="España">
          <a:hlinkClick xmlns:r="http://schemas.openxmlformats.org/officeDocument/2006/relationships" r:id="rId90"/>
          <a:extLst>
            <a:ext uri="{FF2B5EF4-FFF2-40B4-BE49-F238E27FC236}">
              <a16:creationId xmlns:a16="http://schemas.microsoft.com/office/drawing/2014/main" id="{00000000-0008-0000-0400-00005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1" name="Picture 13" descr="Nederland">
          <a:hlinkClick xmlns:r="http://schemas.openxmlformats.org/officeDocument/2006/relationships" r:id="rId95"/>
          <a:extLst>
            <a:ext uri="{FF2B5EF4-FFF2-40B4-BE49-F238E27FC236}">
              <a16:creationId xmlns:a16="http://schemas.microsoft.com/office/drawing/2014/main" id="{00000000-0008-0000-0400-00005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2" name="Picture 14" descr="Italia">
          <a:hlinkClick xmlns:r="http://schemas.openxmlformats.org/officeDocument/2006/relationships" r:id="rId96"/>
          <a:extLst>
            <a:ext uri="{FF2B5EF4-FFF2-40B4-BE49-F238E27FC236}">
              <a16:creationId xmlns:a16="http://schemas.microsoft.com/office/drawing/2014/main" id="{00000000-0008-0000-0400-00005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3" name="Picture 16" descr="España">
          <a:hlinkClick xmlns:r="http://schemas.openxmlformats.org/officeDocument/2006/relationships" r:id="rId90"/>
          <a:extLst>
            <a:ext uri="{FF2B5EF4-FFF2-40B4-BE49-F238E27FC236}">
              <a16:creationId xmlns:a16="http://schemas.microsoft.com/office/drawing/2014/main" id="{00000000-0008-0000-0400-00005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4" name="Picture 18" descr="France">
          <a:hlinkClick xmlns:r="http://schemas.openxmlformats.org/officeDocument/2006/relationships" r:id="rId97"/>
          <a:extLst>
            <a:ext uri="{FF2B5EF4-FFF2-40B4-BE49-F238E27FC236}">
              <a16:creationId xmlns:a16="http://schemas.microsoft.com/office/drawing/2014/main" id="{00000000-0008-0000-0400-00005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5" name="Picture 19" descr="France">
          <a:hlinkClick xmlns:r="http://schemas.openxmlformats.org/officeDocument/2006/relationships" r:id="rId97"/>
          <a:extLst>
            <a:ext uri="{FF2B5EF4-FFF2-40B4-BE49-F238E27FC236}">
              <a16:creationId xmlns:a16="http://schemas.microsoft.com/office/drawing/2014/main" id="{00000000-0008-0000-0400-00005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6" name="Picture 21" descr="Argentina">
          <a:hlinkClick xmlns:r="http://schemas.openxmlformats.org/officeDocument/2006/relationships" r:id="rId98"/>
          <a:extLst>
            <a:ext uri="{FF2B5EF4-FFF2-40B4-BE49-F238E27FC236}">
              <a16:creationId xmlns:a16="http://schemas.microsoft.com/office/drawing/2014/main" id="{00000000-0008-0000-0400-00005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7" name="Picture 23" descr="España">
          <a:hlinkClick xmlns:r="http://schemas.openxmlformats.org/officeDocument/2006/relationships" r:id="rId90"/>
          <a:extLst>
            <a:ext uri="{FF2B5EF4-FFF2-40B4-BE49-F238E27FC236}">
              <a16:creationId xmlns:a16="http://schemas.microsoft.com/office/drawing/2014/main" id="{00000000-0008-0000-0400-00005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8" name="Picture 25" descr="Lubnan">
          <a:hlinkClick xmlns:r="http://schemas.openxmlformats.org/officeDocument/2006/relationships" r:id="rId99"/>
          <a:extLst>
            <a:ext uri="{FF2B5EF4-FFF2-40B4-BE49-F238E27FC236}">
              <a16:creationId xmlns:a16="http://schemas.microsoft.com/office/drawing/2014/main" id="{00000000-0008-0000-0400-00005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9" name="Picture 27" descr="Magyarország">
          <a:hlinkClick xmlns:r="http://schemas.openxmlformats.org/officeDocument/2006/relationships" r:id="rId100"/>
          <a:extLst>
            <a:ext uri="{FF2B5EF4-FFF2-40B4-BE49-F238E27FC236}">
              <a16:creationId xmlns:a16="http://schemas.microsoft.com/office/drawing/2014/main" id="{00000000-0008-0000-0400-00005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0" name="Picture 29" descr="Uruguay">
          <a:hlinkClick xmlns:r="http://schemas.openxmlformats.org/officeDocument/2006/relationships" r:id="rId101"/>
          <a:extLst>
            <a:ext uri="{FF2B5EF4-FFF2-40B4-BE49-F238E27FC236}">
              <a16:creationId xmlns:a16="http://schemas.microsoft.com/office/drawing/2014/main" id="{00000000-0008-0000-0400-00005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1" name="Picture 30" descr="Italia">
          <a:hlinkClick xmlns:r="http://schemas.openxmlformats.org/officeDocument/2006/relationships" r:id="rId96"/>
          <a:extLst>
            <a:ext uri="{FF2B5EF4-FFF2-40B4-BE49-F238E27FC236}">
              <a16:creationId xmlns:a16="http://schemas.microsoft.com/office/drawing/2014/main" id="{00000000-0008-0000-0400-00005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2" name="Picture 31" descr="Nederland">
          <a:hlinkClick xmlns:r="http://schemas.openxmlformats.org/officeDocument/2006/relationships" r:id="rId95"/>
          <a:extLst>
            <a:ext uri="{FF2B5EF4-FFF2-40B4-BE49-F238E27FC236}">
              <a16:creationId xmlns:a16="http://schemas.microsoft.com/office/drawing/2014/main" id="{00000000-0008-0000-0400-00005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3" name="Picture 32" descr="Italia">
          <a:hlinkClick xmlns:r="http://schemas.openxmlformats.org/officeDocument/2006/relationships" r:id="rId96"/>
          <a:extLst>
            <a:ext uri="{FF2B5EF4-FFF2-40B4-BE49-F238E27FC236}">
              <a16:creationId xmlns:a16="http://schemas.microsoft.com/office/drawing/2014/main" id="{00000000-0008-0000-0400-00005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4" name="Picture 34" descr="Deutschland">
          <a:hlinkClick xmlns:r="http://schemas.openxmlformats.org/officeDocument/2006/relationships" r:id="rId102"/>
          <a:extLst>
            <a:ext uri="{FF2B5EF4-FFF2-40B4-BE49-F238E27FC236}">
              <a16:creationId xmlns:a16="http://schemas.microsoft.com/office/drawing/2014/main" id="{00000000-0008-0000-0400-00006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5" name="Picture 36" descr="Israel">
          <a:hlinkClick xmlns:r="http://schemas.openxmlformats.org/officeDocument/2006/relationships" r:id="rId103"/>
          <a:extLst>
            <a:ext uri="{FF2B5EF4-FFF2-40B4-BE49-F238E27FC236}">
              <a16:creationId xmlns:a16="http://schemas.microsoft.com/office/drawing/2014/main" id="{00000000-0008-0000-0400-00006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6" name="Picture 37" descr="Slovensko">
          <a:hlinkClick xmlns:r="http://schemas.openxmlformats.org/officeDocument/2006/relationships" r:id="rId104"/>
          <a:extLst>
            <a:ext uri="{FF2B5EF4-FFF2-40B4-BE49-F238E27FC236}">
              <a16:creationId xmlns:a16="http://schemas.microsoft.com/office/drawing/2014/main" id="{00000000-0008-0000-0400-00006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7" name="Picture 2" descr="España">
          <a:hlinkClick xmlns:r="http://schemas.openxmlformats.org/officeDocument/2006/relationships" r:id="rId90"/>
          <a:extLst>
            <a:ext uri="{FF2B5EF4-FFF2-40B4-BE49-F238E27FC236}">
              <a16:creationId xmlns:a16="http://schemas.microsoft.com/office/drawing/2014/main" id="{00000000-0008-0000-0400-00006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8" name="Picture 3" descr="USA">
          <a:hlinkClick xmlns:r="http://schemas.openxmlformats.org/officeDocument/2006/relationships" r:id="rId91"/>
          <a:extLst>
            <a:ext uri="{FF2B5EF4-FFF2-40B4-BE49-F238E27FC236}">
              <a16:creationId xmlns:a16="http://schemas.microsoft.com/office/drawing/2014/main" id="{00000000-0008-0000-0400-00006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9" name="Picture 5" descr="España">
          <a:hlinkClick xmlns:r="http://schemas.openxmlformats.org/officeDocument/2006/relationships" r:id="rId90"/>
          <a:extLst>
            <a:ext uri="{FF2B5EF4-FFF2-40B4-BE49-F238E27FC236}">
              <a16:creationId xmlns:a16="http://schemas.microsoft.com/office/drawing/2014/main" id="{00000000-0008-0000-0400-00006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0" name="Picture 6" descr="España">
          <a:hlinkClick xmlns:r="http://schemas.openxmlformats.org/officeDocument/2006/relationships" r:id="rId90"/>
          <a:extLst>
            <a:ext uri="{FF2B5EF4-FFF2-40B4-BE49-F238E27FC236}">
              <a16:creationId xmlns:a16="http://schemas.microsoft.com/office/drawing/2014/main" id="{00000000-0008-0000-0400-00006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1" name="Picture 8" descr="Česká republika">
          <a:hlinkClick xmlns:r="http://schemas.openxmlformats.org/officeDocument/2006/relationships" r:id="rId92"/>
          <a:extLst>
            <a:ext uri="{FF2B5EF4-FFF2-40B4-BE49-F238E27FC236}">
              <a16:creationId xmlns:a16="http://schemas.microsoft.com/office/drawing/2014/main" id="{00000000-0008-0000-0400-00006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2" name="Picture 9" descr="Sverige">
          <a:hlinkClick xmlns:r="http://schemas.openxmlformats.org/officeDocument/2006/relationships" r:id="rId93"/>
          <a:extLst>
            <a:ext uri="{FF2B5EF4-FFF2-40B4-BE49-F238E27FC236}">
              <a16:creationId xmlns:a16="http://schemas.microsoft.com/office/drawing/2014/main" id="{00000000-0008-0000-0400-00006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3" name="Picture 11" descr="Suomi">
          <a:hlinkClick xmlns:r="http://schemas.openxmlformats.org/officeDocument/2006/relationships" r:id="rId94"/>
          <a:extLst>
            <a:ext uri="{FF2B5EF4-FFF2-40B4-BE49-F238E27FC236}">
              <a16:creationId xmlns:a16="http://schemas.microsoft.com/office/drawing/2014/main" id="{00000000-0008-0000-0400-00006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4" name="Picture 12" descr="España">
          <a:hlinkClick xmlns:r="http://schemas.openxmlformats.org/officeDocument/2006/relationships" r:id="rId90"/>
          <a:extLst>
            <a:ext uri="{FF2B5EF4-FFF2-40B4-BE49-F238E27FC236}">
              <a16:creationId xmlns:a16="http://schemas.microsoft.com/office/drawing/2014/main" id="{00000000-0008-0000-0400-00006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5" name="Picture 13" descr="Nederland">
          <a:hlinkClick xmlns:r="http://schemas.openxmlformats.org/officeDocument/2006/relationships" r:id="rId95"/>
          <a:extLst>
            <a:ext uri="{FF2B5EF4-FFF2-40B4-BE49-F238E27FC236}">
              <a16:creationId xmlns:a16="http://schemas.microsoft.com/office/drawing/2014/main" id="{00000000-0008-0000-0400-00006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6" name="Picture 14" descr="Italia">
          <a:hlinkClick xmlns:r="http://schemas.openxmlformats.org/officeDocument/2006/relationships" r:id="rId96"/>
          <a:extLst>
            <a:ext uri="{FF2B5EF4-FFF2-40B4-BE49-F238E27FC236}">
              <a16:creationId xmlns:a16="http://schemas.microsoft.com/office/drawing/2014/main" id="{00000000-0008-0000-0400-00006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7" name="Picture 16" descr="España">
          <a:hlinkClick xmlns:r="http://schemas.openxmlformats.org/officeDocument/2006/relationships" r:id="rId90"/>
          <a:extLst>
            <a:ext uri="{FF2B5EF4-FFF2-40B4-BE49-F238E27FC236}">
              <a16:creationId xmlns:a16="http://schemas.microsoft.com/office/drawing/2014/main" id="{00000000-0008-0000-0400-00006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8" name="Picture 18" descr="France">
          <a:hlinkClick xmlns:r="http://schemas.openxmlformats.org/officeDocument/2006/relationships" r:id="rId97"/>
          <a:extLst>
            <a:ext uri="{FF2B5EF4-FFF2-40B4-BE49-F238E27FC236}">
              <a16:creationId xmlns:a16="http://schemas.microsoft.com/office/drawing/2014/main" id="{00000000-0008-0000-0400-00006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9" name="Picture 19" descr="France">
          <a:hlinkClick xmlns:r="http://schemas.openxmlformats.org/officeDocument/2006/relationships" r:id="rId97"/>
          <a:extLst>
            <a:ext uri="{FF2B5EF4-FFF2-40B4-BE49-F238E27FC236}">
              <a16:creationId xmlns:a16="http://schemas.microsoft.com/office/drawing/2014/main" id="{00000000-0008-0000-0400-00006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0" name="Picture 21" descr="Argentina">
          <a:hlinkClick xmlns:r="http://schemas.openxmlformats.org/officeDocument/2006/relationships" r:id="rId98"/>
          <a:extLst>
            <a:ext uri="{FF2B5EF4-FFF2-40B4-BE49-F238E27FC236}">
              <a16:creationId xmlns:a16="http://schemas.microsoft.com/office/drawing/2014/main" id="{00000000-0008-0000-0400-00007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1" name="Picture 23" descr="España">
          <a:hlinkClick xmlns:r="http://schemas.openxmlformats.org/officeDocument/2006/relationships" r:id="rId90"/>
          <a:extLst>
            <a:ext uri="{FF2B5EF4-FFF2-40B4-BE49-F238E27FC236}">
              <a16:creationId xmlns:a16="http://schemas.microsoft.com/office/drawing/2014/main" id="{00000000-0008-0000-0400-00007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2" name="Picture 25" descr="Lubnan">
          <a:hlinkClick xmlns:r="http://schemas.openxmlformats.org/officeDocument/2006/relationships" r:id="rId99"/>
          <a:extLst>
            <a:ext uri="{FF2B5EF4-FFF2-40B4-BE49-F238E27FC236}">
              <a16:creationId xmlns:a16="http://schemas.microsoft.com/office/drawing/2014/main" id="{00000000-0008-0000-0400-00007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3" name="Picture 27" descr="Magyarország">
          <a:hlinkClick xmlns:r="http://schemas.openxmlformats.org/officeDocument/2006/relationships" r:id="rId100"/>
          <a:extLst>
            <a:ext uri="{FF2B5EF4-FFF2-40B4-BE49-F238E27FC236}">
              <a16:creationId xmlns:a16="http://schemas.microsoft.com/office/drawing/2014/main" id="{00000000-0008-0000-0400-00007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4" name="Picture 29" descr="Uruguay">
          <a:hlinkClick xmlns:r="http://schemas.openxmlformats.org/officeDocument/2006/relationships" r:id="rId101"/>
          <a:extLst>
            <a:ext uri="{FF2B5EF4-FFF2-40B4-BE49-F238E27FC236}">
              <a16:creationId xmlns:a16="http://schemas.microsoft.com/office/drawing/2014/main" id="{00000000-0008-0000-0400-00007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5" name="Picture 30" descr="Italia">
          <a:hlinkClick xmlns:r="http://schemas.openxmlformats.org/officeDocument/2006/relationships" r:id="rId96"/>
          <a:extLst>
            <a:ext uri="{FF2B5EF4-FFF2-40B4-BE49-F238E27FC236}">
              <a16:creationId xmlns:a16="http://schemas.microsoft.com/office/drawing/2014/main" id="{00000000-0008-0000-0400-00007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6" name="Picture 31" descr="Nederland">
          <a:hlinkClick xmlns:r="http://schemas.openxmlformats.org/officeDocument/2006/relationships" r:id="rId95"/>
          <a:extLst>
            <a:ext uri="{FF2B5EF4-FFF2-40B4-BE49-F238E27FC236}">
              <a16:creationId xmlns:a16="http://schemas.microsoft.com/office/drawing/2014/main" id="{00000000-0008-0000-0400-00007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7" name="Picture 32" descr="Italia">
          <a:hlinkClick xmlns:r="http://schemas.openxmlformats.org/officeDocument/2006/relationships" r:id="rId96"/>
          <a:extLst>
            <a:ext uri="{FF2B5EF4-FFF2-40B4-BE49-F238E27FC236}">
              <a16:creationId xmlns:a16="http://schemas.microsoft.com/office/drawing/2014/main" id="{00000000-0008-0000-0400-00007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8" name="Picture 34" descr="Deutschland">
          <a:hlinkClick xmlns:r="http://schemas.openxmlformats.org/officeDocument/2006/relationships" r:id="rId102"/>
          <a:extLst>
            <a:ext uri="{FF2B5EF4-FFF2-40B4-BE49-F238E27FC236}">
              <a16:creationId xmlns:a16="http://schemas.microsoft.com/office/drawing/2014/main" id="{00000000-0008-0000-0400-00007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9" name="Picture 36" descr="Israel">
          <a:hlinkClick xmlns:r="http://schemas.openxmlformats.org/officeDocument/2006/relationships" r:id="rId103"/>
          <a:extLst>
            <a:ext uri="{FF2B5EF4-FFF2-40B4-BE49-F238E27FC236}">
              <a16:creationId xmlns:a16="http://schemas.microsoft.com/office/drawing/2014/main" id="{00000000-0008-0000-0400-00007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0" name="Picture 37" descr="Slovensko">
          <a:hlinkClick xmlns:r="http://schemas.openxmlformats.org/officeDocument/2006/relationships" r:id="rId104"/>
          <a:extLst>
            <a:ext uri="{FF2B5EF4-FFF2-40B4-BE49-F238E27FC236}">
              <a16:creationId xmlns:a16="http://schemas.microsoft.com/office/drawing/2014/main" id="{00000000-0008-0000-0400-00007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1" name="Picture 2" descr="España">
          <a:hlinkClick xmlns:r="http://schemas.openxmlformats.org/officeDocument/2006/relationships" r:id="rId90"/>
          <a:extLst>
            <a:ext uri="{FF2B5EF4-FFF2-40B4-BE49-F238E27FC236}">
              <a16:creationId xmlns:a16="http://schemas.microsoft.com/office/drawing/2014/main" id="{00000000-0008-0000-0400-00007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2" name="Picture 3" descr="USA">
          <a:hlinkClick xmlns:r="http://schemas.openxmlformats.org/officeDocument/2006/relationships" r:id="rId91"/>
          <a:extLst>
            <a:ext uri="{FF2B5EF4-FFF2-40B4-BE49-F238E27FC236}">
              <a16:creationId xmlns:a16="http://schemas.microsoft.com/office/drawing/2014/main" id="{00000000-0008-0000-0400-00007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3" name="Picture 5" descr="España">
          <a:hlinkClick xmlns:r="http://schemas.openxmlformats.org/officeDocument/2006/relationships" r:id="rId90"/>
          <a:extLst>
            <a:ext uri="{FF2B5EF4-FFF2-40B4-BE49-F238E27FC236}">
              <a16:creationId xmlns:a16="http://schemas.microsoft.com/office/drawing/2014/main" id="{00000000-0008-0000-0400-00007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4" name="Picture 6" descr="España">
          <a:hlinkClick xmlns:r="http://schemas.openxmlformats.org/officeDocument/2006/relationships" r:id="rId90"/>
          <a:extLst>
            <a:ext uri="{FF2B5EF4-FFF2-40B4-BE49-F238E27FC236}">
              <a16:creationId xmlns:a16="http://schemas.microsoft.com/office/drawing/2014/main" id="{00000000-0008-0000-0400-00007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5" name="Picture 7" descr="Sverige">
          <a:hlinkClick xmlns:r="http://schemas.openxmlformats.org/officeDocument/2006/relationships" r:id="rId93"/>
          <a:extLst>
            <a:ext uri="{FF2B5EF4-FFF2-40B4-BE49-F238E27FC236}">
              <a16:creationId xmlns:a16="http://schemas.microsoft.com/office/drawing/2014/main" id="{00000000-0008-0000-0400-00007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6" name="Picture 9" descr="Suomi">
          <a:hlinkClick xmlns:r="http://schemas.openxmlformats.org/officeDocument/2006/relationships" r:id="rId94"/>
          <a:extLst>
            <a:ext uri="{FF2B5EF4-FFF2-40B4-BE49-F238E27FC236}">
              <a16:creationId xmlns:a16="http://schemas.microsoft.com/office/drawing/2014/main" id="{00000000-0008-0000-0400-00008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7" name="Picture 10" descr="España">
          <a:hlinkClick xmlns:r="http://schemas.openxmlformats.org/officeDocument/2006/relationships" r:id="rId90"/>
          <a:extLst>
            <a:ext uri="{FF2B5EF4-FFF2-40B4-BE49-F238E27FC236}">
              <a16:creationId xmlns:a16="http://schemas.microsoft.com/office/drawing/2014/main" id="{00000000-0008-0000-0400-00008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8" name="Picture 11" descr="Nederland">
          <a:hlinkClick xmlns:r="http://schemas.openxmlformats.org/officeDocument/2006/relationships" r:id="rId95"/>
          <a:extLst>
            <a:ext uri="{FF2B5EF4-FFF2-40B4-BE49-F238E27FC236}">
              <a16:creationId xmlns:a16="http://schemas.microsoft.com/office/drawing/2014/main" id="{00000000-0008-0000-0400-00008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9" name="Picture 13" descr="Deutschland">
          <a:hlinkClick xmlns:r="http://schemas.openxmlformats.org/officeDocument/2006/relationships" r:id="rId102"/>
          <a:extLst>
            <a:ext uri="{FF2B5EF4-FFF2-40B4-BE49-F238E27FC236}">
              <a16:creationId xmlns:a16="http://schemas.microsoft.com/office/drawing/2014/main" id="{00000000-0008-0000-0400-00008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0" name="Picture 14" descr="España">
          <a:hlinkClick xmlns:r="http://schemas.openxmlformats.org/officeDocument/2006/relationships" r:id="rId90"/>
          <a:extLst>
            <a:ext uri="{FF2B5EF4-FFF2-40B4-BE49-F238E27FC236}">
              <a16:creationId xmlns:a16="http://schemas.microsoft.com/office/drawing/2014/main" id="{00000000-0008-0000-0400-00008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1" name="Picture 16" descr="France">
          <a:hlinkClick xmlns:r="http://schemas.openxmlformats.org/officeDocument/2006/relationships" r:id="rId97"/>
          <a:extLst>
            <a:ext uri="{FF2B5EF4-FFF2-40B4-BE49-F238E27FC236}">
              <a16:creationId xmlns:a16="http://schemas.microsoft.com/office/drawing/2014/main" id="{00000000-0008-0000-0400-00008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2" name="Picture 18" descr="France">
          <a:hlinkClick xmlns:r="http://schemas.openxmlformats.org/officeDocument/2006/relationships" r:id="rId97"/>
          <a:extLst>
            <a:ext uri="{FF2B5EF4-FFF2-40B4-BE49-F238E27FC236}">
              <a16:creationId xmlns:a16="http://schemas.microsoft.com/office/drawing/2014/main" id="{00000000-0008-0000-0400-00008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3" name="Picture 19" descr="Argentina">
          <a:hlinkClick xmlns:r="http://schemas.openxmlformats.org/officeDocument/2006/relationships" r:id="rId98"/>
          <a:extLst>
            <a:ext uri="{FF2B5EF4-FFF2-40B4-BE49-F238E27FC236}">
              <a16:creationId xmlns:a16="http://schemas.microsoft.com/office/drawing/2014/main" id="{00000000-0008-0000-0400-00008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4" name="Picture 20" descr="España">
          <a:hlinkClick xmlns:r="http://schemas.openxmlformats.org/officeDocument/2006/relationships" r:id="rId90"/>
          <a:extLst>
            <a:ext uri="{FF2B5EF4-FFF2-40B4-BE49-F238E27FC236}">
              <a16:creationId xmlns:a16="http://schemas.microsoft.com/office/drawing/2014/main" id="{00000000-0008-0000-0400-00008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5" name="Picture 21" descr="Lubnan">
          <a:hlinkClick xmlns:r="http://schemas.openxmlformats.org/officeDocument/2006/relationships" r:id="rId99"/>
          <a:extLst>
            <a:ext uri="{FF2B5EF4-FFF2-40B4-BE49-F238E27FC236}">
              <a16:creationId xmlns:a16="http://schemas.microsoft.com/office/drawing/2014/main" id="{00000000-0008-0000-0400-00008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6" name="Picture 23" descr="Magyarország">
          <a:hlinkClick xmlns:r="http://schemas.openxmlformats.org/officeDocument/2006/relationships" r:id="rId100"/>
          <a:extLst>
            <a:ext uri="{FF2B5EF4-FFF2-40B4-BE49-F238E27FC236}">
              <a16:creationId xmlns:a16="http://schemas.microsoft.com/office/drawing/2014/main" id="{00000000-0008-0000-0400-00008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7" name="Picture 25" descr="Uruguay">
          <a:hlinkClick xmlns:r="http://schemas.openxmlformats.org/officeDocument/2006/relationships" r:id="rId101"/>
          <a:extLst>
            <a:ext uri="{FF2B5EF4-FFF2-40B4-BE49-F238E27FC236}">
              <a16:creationId xmlns:a16="http://schemas.microsoft.com/office/drawing/2014/main" id="{00000000-0008-0000-0400-00008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8" name="Picture 26" descr="Italia">
          <a:hlinkClick xmlns:r="http://schemas.openxmlformats.org/officeDocument/2006/relationships" r:id="rId96"/>
          <a:extLst>
            <a:ext uri="{FF2B5EF4-FFF2-40B4-BE49-F238E27FC236}">
              <a16:creationId xmlns:a16="http://schemas.microsoft.com/office/drawing/2014/main" id="{00000000-0008-0000-0400-00008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9" name="Picture 27" descr="España">
          <a:hlinkClick xmlns:r="http://schemas.openxmlformats.org/officeDocument/2006/relationships" r:id="rId90"/>
          <a:extLst>
            <a:ext uri="{FF2B5EF4-FFF2-40B4-BE49-F238E27FC236}">
              <a16:creationId xmlns:a16="http://schemas.microsoft.com/office/drawing/2014/main" id="{00000000-0008-0000-0400-00008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0" name="Picture 28" descr="Nederland">
          <a:hlinkClick xmlns:r="http://schemas.openxmlformats.org/officeDocument/2006/relationships" r:id="rId95"/>
          <a:extLst>
            <a:ext uri="{FF2B5EF4-FFF2-40B4-BE49-F238E27FC236}">
              <a16:creationId xmlns:a16="http://schemas.microsoft.com/office/drawing/2014/main" id="{00000000-0008-0000-0400-00008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1" name="Picture 29" descr="Italia">
          <a:hlinkClick xmlns:r="http://schemas.openxmlformats.org/officeDocument/2006/relationships" r:id="rId96"/>
          <a:extLst>
            <a:ext uri="{FF2B5EF4-FFF2-40B4-BE49-F238E27FC236}">
              <a16:creationId xmlns:a16="http://schemas.microsoft.com/office/drawing/2014/main" id="{00000000-0008-0000-0400-00008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2" name="Picture 30" descr="Deutschland">
          <a:hlinkClick xmlns:r="http://schemas.openxmlformats.org/officeDocument/2006/relationships" r:id="rId102"/>
          <a:extLst>
            <a:ext uri="{FF2B5EF4-FFF2-40B4-BE49-F238E27FC236}">
              <a16:creationId xmlns:a16="http://schemas.microsoft.com/office/drawing/2014/main" id="{00000000-0008-0000-0400-00009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3" name="Picture 32" descr="Israel">
          <a:hlinkClick xmlns:r="http://schemas.openxmlformats.org/officeDocument/2006/relationships" r:id="rId103"/>
          <a:extLst>
            <a:ext uri="{FF2B5EF4-FFF2-40B4-BE49-F238E27FC236}">
              <a16:creationId xmlns:a16="http://schemas.microsoft.com/office/drawing/2014/main" id="{00000000-0008-0000-0400-00009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4" name="Picture 33" descr="Slovensko">
          <a:hlinkClick xmlns:r="http://schemas.openxmlformats.org/officeDocument/2006/relationships" r:id="rId104"/>
          <a:extLst>
            <a:ext uri="{FF2B5EF4-FFF2-40B4-BE49-F238E27FC236}">
              <a16:creationId xmlns:a16="http://schemas.microsoft.com/office/drawing/2014/main" id="{00000000-0008-0000-0400-00009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12</xdr:row>
      <xdr:rowOff>0</xdr:rowOff>
    </xdr:from>
    <xdr:ext cx="9525" cy="9525"/>
    <xdr:pic>
      <xdr:nvPicPr>
        <xdr:cNvPr id="3475" name="Picture 36" descr="España">
          <a:hlinkClick xmlns:r="http://schemas.openxmlformats.org/officeDocument/2006/relationships" r:id="rId77"/>
          <a:extLst>
            <a:ext uri="{FF2B5EF4-FFF2-40B4-BE49-F238E27FC236}">
              <a16:creationId xmlns:a16="http://schemas.microsoft.com/office/drawing/2014/main" id="{00000000-0008-0000-0400-00009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12</xdr:row>
      <xdr:rowOff>0</xdr:rowOff>
    </xdr:from>
    <xdr:ext cx="9525" cy="9525"/>
    <xdr:pic>
      <xdr:nvPicPr>
        <xdr:cNvPr id="3476" name="Picture 36" descr="España">
          <a:hlinkClick xmlns:r="http://schemas.openxmlformats.org/officeDocument/2006/relationships" r:id="rId77"/>
          <a:extLst>
            <a:ext uri="{FF2B5EF4-FFF2-40B4-BE49-F238E27FC236}">
              <a16:creationId xmlns:a16="http://schemas.microsoft.com/office/drawing/2014/main" id="{00000000-0008-0000-0400-00009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0</xdr:col>
      <xdr:colOff>0</xdr:colOff>
      <xdr:row>16</xdr:row>
      <xdr:rowOff>0</xdr:rowOff>
    </xdr:from>
    <xdr:ext cx="9525" cy="9525"/>
    <xdr:pic>
      <xdr:nvPicPr>
        <xdr:cNvPr id="3538" name="Picture 15" descr="Bulgaria">
          <a:hlinkClick xmlns:r="http://schemas.openxmlformats.org/officeDocument/2006/relationships" r:id="rId9"/>
          <a:extLst>
            <a:ext uri="{FF2B5EF4-FFF2-40B4-BE49-F238E27FC236}">
              <a16:creationId xmlns:a16="http://schemas.microsoft.com/office/drawing/2014/main" id="{00000000-0008-0000-0400-0000D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39" name="Picture 13" descr="Deutschland">
          <a:hlinkClick xmlns:r="http://schemas.openxmlformats.org/officeDocument/2006/relationships" r:id="rId20"/>
          <a:extLst>
            <a:ext uri="{FF2B5EF4-FFF2-40B4-BE49-F238E27FC236}">
              <a16:creationId xmlns:a16="http://schemas.microsoft.com/office/drawing/2014/main" id="{00000000-0008-0000-0400-0000D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0" name="Picture 40" descr="España">
          <a:hlinkClick xmlns:r="http://schemas.openxmlformats.org/officeDocument/2006/relationships" r:id="rId17"/>
          <a:extLst>
            <a:ext uri="{FF2B5EF4-FFF2-40B4-BE49-F238E27FC236}">
              <a16:creationId xmlns:a16="http://schemas.microsoft.com/office/drawing/2014/main" id="{00000000-0008-0000-0400-0000D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1" name="Picture 41" descr="România">
          <a:hlinkClick xmlns:r="http://schemas.openxmlformats.org/officeDocument/2006/relationships" r:id="rId30"/>
          <a:extLst>
            <a:ext uri="{FF2B5EF4-FFF2-40B4-BE49-F238E27FC236}">
              <a16:creationId xmlns:a16="http://schemas.microsoft.com/office/drawing/2014/main" id="{00000000-0008-0000-0400-0000D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2" name="Picture 8" descr="Argentina">
          <a:hlinkClick xmlns:r="http://schemas.openxmlformats.org/officeDocument/2006/relationships" r:id="rId32"/>
          <a:extLst>
            <a:ext uri="{FF2B5EF4-FFF2-40B4-BE49-F238E27FC236}">
              <a16:creationId xmlns:a16="http://schemas.microsoft.com/office/drawing/2014/main" id="{00000000-0008-0000-0400-0000D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3" name="Picture 32" descr="España">
          <a:hlinkClick xmlns:r="http://schemas.openxmlformats.org/officeDocument/2006/relationships" r:id="rId31"/>
          <a:extLst>
            <a:ext uri="{FF2B5EF4-FFF2-40B4-BE49-F238E27FC236}">
              <a16:creationId xmlns:a16="http://schemas.microsoft.com/office/drawing/2014/main" id="{00000000-0008-0000-0400-0000D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4" name="Picture 33" descr="España">
          <a:hlinkClick xmlns:r="http://schemas.openxmlformats.org/officeDocument/2006/relationships" r:id="rId31"/>
          <a:extLst>
            <a:ext uri="{FF2B5EF4-FFF2-40B4-BE49-F238E27FC236}">
              <a16:creationId xmlns:a16="http://schemas.microsoft.com/office/drawing/2014/main" id="{00000000-0008-0000-0400-0000D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5" name="Picture 8" descr="Argentina">
          <a:hlinkClick xmlns:r="http://schemas.openxmlformats.org/officeDocument/2006/relationships" r:id="rId46"/>
          <a:extLst>
            <a:ext uri="{FF2B5EF4-FFF2-40B4-BE49-F238E27FC236}">
              <a16:creationId xmlns:a16="http://schemas.microsoft.com/office/drawing/2014/main" id="{00000000-0008-0000-0400-0000D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6" name="Picture 33" descr="España">
          <a:hlinkClick xmlns:r="http://schemas.openxmlformats.org/officeDocument/2006/relationships" r:id="rId45"/>
          <a:extLst>
            <a:ext uri="{FF2B5EF4-FFF2-40B4-BE49-F238E27FC236}">
              <a16:creationId xmlns:a16="http://schemas.microsoft.com/office/drawing/2014/main" id="{00000000-0008-0000-0400-0000D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7" name="Picture 34" descr="Italia">
          <a:hlinkClick xmlns:r="http://schemas.openxmlformats.org/officeDocument/2006/relationships" r:id="rId57"/>
          <a:extLst>
            <a:ext uri="{FF2B5EF4-FFF2-40B4-BE49-F238E27FC236}">
              <a16:creationId xmlns:a16="http://schemas.microsoft.com/office/drawing/2014/main" id="{00000000-0008-0000-0400-0000D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8" name="Picture 38" descr="Portugal">
          <a:hlinkClick xmlns:r="http://schemas.openxmlformats.org/officeDocument/2006/relationships" r:id="rId50"/>
          <a:extLst>
            <a:ext uri="{FF2B5EF4-FFF2-40B4-BE49-F238E27FC236}">
              <a16:creationId xmlns:a16="http://schemas.microsoft.com/office/drawing/2014/main" id="{00000000-0008-0000-0400-0000D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9" name="Picture 8" descr="Argentina">
          <a:hlinkClick xmlns:r="http://schemas.openxmlformats.org/officeDocument/2006/relationships" r:id="rId3"/>
          <a:extLst>
            <a:ext uri="{FF2B5EF4-FFF2-40B4-BE49-F238E27FC236}">
              <a16:creationId xmlns:a16="http://schemas.microsoft.com/office/drawing/2014/main" id="{00000000-0008-0000-0400-0000D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0" name="Picture 31" descr="Việt Nam">
          <a:hlinkClick xmlns:r="http://schemas.openxmlformats.org/officeDocument/2006/relationships" r:id="rId14"/>
          <a:extLst>
            <a:ext uri="{FF2B5EF4-FFF2-40B4-BE49-F238E27FC236}">
              <a16:creationId xmlns:a16="http://schemas.microsoft.com/office/drawing/2014/main" id="{00000000-0008-0000-0400-0000D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1" name="Picture 33" descr="Italia">
          <a:hlinkClick xmlns:r="http://schemas.openxmlformats.org/officeDocument/2006/relationships" r:id="rId4"/>
          <a:extLst>
            <a:ext uri="{FF2B5EF4-FFF2-40B4-BE49-F238E27FC236}">
              <a16:creationId xmlns:a16="http://schemas.microsoft.com/office/drawing/2014/main" id="{00000000-0008-0000-0400-0000D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2" name="Picture 37" descr="Portugal">
          <a:hlinkClick xmlns:r="http://schemas.openxmlformats.org/officeDocument/2006/relationships" r:id="rId16"/>
          <a:extLst>
            <a:ext uri="{FF2B5EF4-FFF2-40B4-BE49-F238E27FC236}">
              <a16:creationId xmlns:a16="http://schemas.microsoft.com/office/drawing/2014/main" id="{00000000-0008-0000-0400-0000E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3" name="Picture 8" descr="Argentina">
          <a:hlinkClick xmlns:r="http://schemas.openxmlformats.org/officeDocument/2006/relationships" r:id="rId64"/>
          <a:extLst>
            <a:ext uri="{FF2B5EF4-FFF2-40B4-BE49-F238E27FC236}">
              <a16:creationId xmlns:a16="http://schemas.microsoft.com/office/drawing/2014/main" id="{00000000-0008-0000-0400-0000E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4" name="Picture 34" descr="Italia">
          <a:hlinkClick xmlns:r="http://schemas.openxmlformats.org/officeDocument/2006/relationships" r:id="rId75"/>
          <a:extLst>
            <a:ext uri="{FF2B5EF4-FFF2-40B4-BE49-F238E27FC236}">
              <a16:creationId xmlns:a16="http://schemas.microsoft.com/office/drawing/2014/main" id="{00000000-0008-0000-0400-0000E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5" name="Picture 35" descr="España">
          <a:hlinkClick xmlns:r="http://schemas.openxmlformats.org/officeDocument/2006/relationships" r:id="rId63"/>
          <a:extLst>
            <a:ext uri="{FF2B5EF4-FFF2-40B4-BE49-F238E27FC236}">
              <a16:creationId xmlns:a16="http://schemas.microsoft.com/office/drawing/2014/main" id="{00000000-0008-0000-0400-0000E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6" name="Picture 8" descr="España">
          <a:hlinkClick xmlns:r="http://schemas.openxmlformats.org/officeDocument/2006/relationships" r:id="rId77"/>
          <a:extLst>
            <a:ext uri="{FF2B5EF4-FFF2-40B4-BE49-F238E27FC236}">
              <a16:creationId xmlns:a16="http://schemas.microsoft.com/office/drawing/2014/main" id="{00000000-0008-0000-0400-0000E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7" name="Picture 31" descr="Nederland">
          <a:hlinkClick xmlns:r="http://schemas.openxmlformats.org/officeDocument/2006/relationships" r:id="rId82"/>
          <a:extLst>
            <a:ext uri="{FF2B5EF4-FFF2-40B4-BE49-F238E27FC236}">
              <a16:creationId xmlns:a16="http://schemas.microsoft.com/office/drawing/2014/main" id="{00000000-0008-0000-0400-0000E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8" name="Picture 35" descr="România">
          <a:hlinkClick xmlns:r="http://schemas.openxmlformats.org/officeDocument/2006/relationships" r:id="rId89"/>
          <a:extLst>
            <a:ext uri="{FF2B5EF4-FFF2-40B4-BE49-F238E27FC236}">
              <a16:creationId xmlns:a16="http://schemas.microsoft.com/office/drawing/2014/main" id="{00000000-0008-0000-0400-0000E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9" name="Picture 15" descr="Bulgaria">
          <a:hlinkClick xmlns:r="http://schemas.openxmlformats.org/officeDocument/2006/relationships" r:id="rId9"/>
          <a:extLst>
            <a:ext uri="{FF2B5EF4-FFF2-40B4-BE49-F238E27FC236}">
              <a16:creationId xmlns:a16="http://schemas.microsoft.com/office/drawing/2014/main" id="{00000000-0008-0000-0400-0000E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0" name="Picture 13" descr="Deutschland">
          <a:hlinkClick xmlns:r="http://schemas.openxmlformats.org/officeDocument/2006/relationships" r:id="rId20"/>
          <a:extLst>
            <a:ext uri="{FF2B5EF4-FFF2-40B4-BE49-F238E27FC236}">
              <a16:creationId xmlns:a16="http://schemas.microsoft.com/office/drawing/2014/main" id="{00000000-0008-0000-0400-0000E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1" name="Picture 40" descr="España">
          <a:hlinkClick xmlns:r="http://schemas.openxmlformats.org/officeDocument/2006/relationships" r:id="rId17"/>
          <a:extLst>
            <a:ext uri="{FF2B5EF4-FFF2-40B4-BE49-F238E27FC236}">
              <a16:creationId xmlns:a16="http://schemas.microsoft.com/office/drawing/2014/main" id="{00000000-0008-0000-0400-0000E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2" name="Picture 41" descr="România">
          <a:hlinkClick xmlns:r="http://schemas.openxmlformats.org/officeDocument/2006/relationships" r:id="rId30"/>
          <a:extLst>
            <a:ext uri="{FF2B5EF4-FFF2-40B4-BE49-F238E27FC236}">
              <a16:creationId xmlns:a16="http://schemas.microsoft.com/office/drawing/2014/main" id="{00000000-0008-0000-0400-0000E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3" name="Picture 8" descr="Argentina">
          <a:hlinkClick xmlns:r="http://schemas.openxmlformats.org/officeDocument/2006/relationships" r:id="rId32"/>
          <a:extLst>
            <a:ext uri="{FF2B5EF4-FFF2-40B4-BE49-F238E27FC236}">
              <a16:creationId xmlns:a16="http://schemas.microsoft.com/office/drawing/2014/main" id="{00000000-0008-0000-0400-0000E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4" name="Picture 32" descr="España">
          <a:hlinkClick xmlns:r="http://schemas.openxmlformats.org/officeDocument/2006/relationships" r:id="rId31"/>
          <a:extLst>
            <a:ext uri="{FF2B5EF4-FFF2-40B4-BE49-F238E27FC236}">
              <a16:creationId xmlns:a16="http://schemas.microsoft.com/office/drawing/2014/main" id="{00000000-0008-0000-0400-0000E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5" name="Picture 33" descr="España">
          <a:hlinkClick xmlns:r="http://schemas.openxmlformats.org/officeDocument/2006/relationships" r:id="rId31"/>
          <a:extLst>
            <a:ext uri="{FF2B5EF4-FFF2-40B4-BE49-F238E27FC236}">
              <a16:creationId xmlns:a16="http://schemas.microsoft.com/office/drawing/2014/main" id="{00000000-0008-0000-0400-0000E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6" name="Picture 8" descr="Argentina">
          <a:hlinkClick xmlns:r="http://schemas.openxmlformats.org/officeDocument/2006/relationships" r:id="rId46"/>
          <a:extLst>
            <a:ext uri="{FF2B5EF4-FFF2-40B4-BE49-F238E27FC236}">
              <a16:creationId xmlns:a16="http://schemas.microsoft.com/office/drawing/2014/main" id="{00000000-0008-0000-0400-0000E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7" name="Picture 33" descr="España">
          <a:hlinkClick xmlns:r="http://schemas.openxmlformats.org/officeDocument/2006/relationships" r:id="rId45"/>
          <a:extLst>
            <a:ext uri="{FF2B5EF4-FFF2-40B4-BE49-F238E27FC236}">
              <a16:creationId xmlns:a16="http://schemas.microsoft.com/office/drawing/2014/main" id="{00000000-0008-0000-0400-0000E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8" name="Picture 34" descr="Italia">
          <a:hlinkClick xmlns:r="http://schemas.openxmlformats.org/officeDocument/2006/relationships" r:id="rId57"/>
          <a:extLst>
            <a:ext uri="{FF2B5EF4-FFF2-40B4-BE49-F238E27FC236}">
              <a16:creationId xmlns:a16="http://schemas.microsoft.com/office/drawing/2014/main" id="{00000000-0008-0000-0400-0000F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9" name="Picture 38" descr="Portugal">
          <a:hlinkClick xmlns:r="http://schemas.openxmlformats.org/officeDocument/2006/relationships" r:id="rId50"/>
          <a:extLst>
            <a:ext uri="{FF2B5EF4-FFF2-40B4-BE49-F238E27FC236}">
              <a16:creationId xmlns:a16="http://schemas.microsoft.com/office/drawing/2014/main" id="{00000000-0008-0000-0400-0000F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0" name="Picture 8" descr="Argentina">
          <a:hlinkClick xmlns:r="http://schemas.openxmlformats.org/officeDocument/2006/relationships" r:id="rId3"/>
          <a:extLst>
            <a:ext uri="{FF2B5EF4-FFF2-40B4-BE49-F238E27FC236}">
              <a16:creationId xmlns:a16="http://schemas.microsoft.com/office/drawing/2014/main" id="{00000000-0008-0000-0400-0000F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1" name="Picture 31" descr="Việt Nam">
          <a:hlinkClick xmlns:r="http://schemas.openxmlformats.org/officeDocument/2006/relationships" r:id="rId14"/>
          <a:extLst>
            <a:ext uri="{FF2B5EF4-FFF2-40B4-BE49-F238E27FC236}">
              <a16:creationId xmlns:a16="http://schemas.microsoft.com/office/drawing/2014/main" id="{00000000-0008-0000-0400-0000F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2" name="Picture 33" descr="Italia">
          <a:hlinkClick xmlns:r="http://schemas.openxmlformats.org/officeDocument/2006/relationships" r:id="rId4"/>
          <a:extLst>
            <a:ext uri="{FF2B5EF4-FFF2-40B4-BE49-F238E27FC236}">
              <a16:creationId xmlns:a16="http://schemas.microsoft.com/office/drawing/2014/main" id="{00000000-0008-0000-0400-0000F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3" name="Picture 37" descr="Portugal">
          <a:hlinkClick xmlns:r="http://schemas.openxmlformats.org/officeDocument/2006/relationships" r:id="rId16"/>
          <a:extLst>
            <a:ext uri="{FF2B5EF4-FFF2-40B4-BE49-F238E27FC236}">
              <a16:creationId xmlns:a16="http://schemas.microsoft.com/office/drawing/2014/main" id="{00000000-0008-0000-0400-0000F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4" name="Picture 8" descr="Argentina">
          <a:hlinkClick xmlns:r="http://schemas.openxmlformats.org/officeDocument/2006/relationships" r:id="rId64"/>
          <a:extLst>
            <a:ext uri="{FF2B5EF4-FFF2-40B4-BE49-F238E27FC236}">
              <a16:creationId xmlns:a16="http://schemas.microsoft.com/office/drawing/2014/main" id="{00000000-0008-0000-0400-0000F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5" name="Picture 34" descr="Italia">
          <a:hlinkClick xmlns:r="http://schemas.openxmlformats.org/officeDocument/2006/relationships" r:id="rId75"/>
          <a:extLst>
            <a:ext uri="{FF2B5EF4-FFF2-40B4-BE49-F238E27FC236}">
              <a16:creationId xmlns:a16="http://schemas.microsoft.com/office/drawing/2014/main" id="{00000000-0008-0000-0400-0000F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6" name="Picture 35" descr="España">
          <a:hlinkClick xmlns:r="http://schemas.openxmlformats.org/officeDocument/2006/relationships" r:id="rId63"/>
          <a:extLst>
            <a:ext uri="{FF2B5EF4-FFF2-40B4-BE49-F238E27FC236}">
              <a16:creationId xmlns:a16="http://schemas.microsoft.com/office/drawing/2014/main" id="{00000000-0008-0000-0400-0000F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7" name="Picture 8" descr="España">
          <a:hlinkClick xmlns:r="http://schemas.openxmlformats.org/officeDocument/2006/relationships" r:id="rId77"/>
          <a:extLst>
            <a:ext uri="{FF2B5EF4-FFF2-40B4-BE49-F238E27FC236}">
              <a16:creationId xmlns:a16="http://schemas.microsoft.com/office/drawing/2014/main" id="{00000000-0008-0000-0400-0000F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8" name="Picture 31" descr="Nederland">
          <a:hlinkClick xmlns:r="http://schemas.openxmlformats.org/officeDocument/2006/relationships" r:id="rId82"/>
          <a:extLst>
            <a:ext uri="{FF2B5EF4-FFF2-40B4-BE49-F238E27FC236}">
              <a16:creationId xmlns:a16="http://schemas.microsoft.com/office/drawing/2014/main" id="{00000000-0008-0000-0400-0000F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9" name="Picture 35" descr="România">
          <a:hlinkClick xmlns:r="http://schemas.openxmlformats.org/officeDocument/2006/relationships" r:id="rId89"/>
          <a:extLst>
            <a:ext uri="{FF2B5EF4-FFF2-40B4-BE49-F238E27FC236}">
              <a16:creationId xmlns:a16="http://schemas.microsoft.com/office/drawing/2014/main" id="{00000000-0008-0000-0400-0000F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7" tint="-0.249977111117893"/>
  </sheetPr>
  <dimension ref="A1:U37"/>
  <sheetViews>
    <sheetView zoomScaleNormal="100" workbookViewId="0">
      <selection activeCell="G5" sqref="G5:I5"/>
    </sheetView>
  </sheetViews>
  <sheetFormatPr baseColWidth="10" defaultColWidth="11.42578125" defaultRowHeight="15" x14ac:dyDescent="0.25"/>
  <cols>
    <col min="1" max="1" width="3" bestFit="1" customWidth="1"/>
    <col min="2" max="2" width="9.85546875" customWidth="1"/>
    <col min="3" max="3" width="20.5703125" bestFit="1" customWidth="1"/>
    <col min="4" max="5" width="5" bestFit="1" customWidth="1"/>
    <col min="6" max="6" width="6.7109375" bestFit="1" customWidth="1"/>
    <col min="7" max="7" width="10.7109375" style="109" bestFit="1" customWidth="1"/>
    <col min="8" max="8" width="20.42578125" bestFit="1" customWidth="1"/>
    <col min="9" max="9" width="5" bestFit="1" customWidth="1"/>
    <col min="10" max="10" width="4" customWidth="1"/>
    <col min="11" max="11" width="3" bestFit="1" customWidth="1"/>
    <col min="12" max="12" width="5" bestFit="1" customWidth="1"/>
    <col min="13" max="13" width="20.42578125" bestFit="1" customWidth="1"/>
    <col min="14" max="14" width="7.7109375" bestFit="1" customWidth="1"/>
    <col min="15" max="15" width="4.5703125" bestFit="1" customWidth="1"/>
    <col min="16" max="16" width="4" bestFit="1" customWidth="1"/>
    <col min="17" max="17" width="5.5703125" bestFit="1" customWidth="1"/>
    <col min="18" max="18" width="3" bestFit="1" customWidth="1"/>
    <col min="19" max="19" width="5.5703125" bestFit="1" customWidth="1"/>
    <col min="20" max="20" width="20.42578125" bestFit="1" customWidth="1"/>
    <col min="21" max="21" width="5" bestFit="1" customWidth="1"/>
    <col min="22" max="22" width="4" customWidth="1"/>
    <col min="23" max="23" width="3.28515625" bestFit="1" customWidth="1"/>
    <col min="24" max="24" width="5.85546875" bestFit="1" customWidth="1"/>
    <col min="25" max="25" width="20.42578125" bestFit="1" customWidth="1"/>
    <col min="26" max="26" width="5" bestFit="1" customWidth="1"/>
  </cols>
  <sheetData>
    <row r="1" spans="1:21" ht="18.75" x14ac:dyDescent="0.3">
      <c r="A1" s="655" t="s">
        <v>186</v>
      </c>
      <c r="B1" s="655"/>
      <c r="C1" s="655"/>
      <c r="E1" s="654" t="s">
        <v>184</v>
      </c>
      <c r="F1" s="654"/>
      <c r="G1" s="654"/>
      <c r="H1" s="654"/>
    </row>
    <row r="2" spans="1:21" x14ac:dyDescent="0.25">
      <c r="A2" s="656">
        <v>43650</v>
      </c>
      <c r="B2" s="656"/>
      <c r="C2" s="656"/>
      <c r="E2" s="306" t="s">
        <v>185</v>
      </c>
      <c r="F2" s="307" t="s">
        <v>400</v>
      </c>
      <c r="G2" s="87">
        <v>43276</v>
      </c>
      <c r="H2" t="s">
        <v>401</v>
      </c>
    </row>
    <row r="3" spans="1:21" x14ac:dyDescent="0.25">
      <c r="E3" s="306" t="s">
        <v>681</v>
      </c>
      <c r="F3" s="190" t="s">
        <v>399</v>
      </c>
      <c r="G3" s="87">
        <v>43258</v>
      </c>
      <c r="H3" t="s">
        <v>402</v>
      </c>
    </row>
    <row r="4" spans="1:21" s="88" customFormat="1" ht="10.5" customHeight="1" x14ac:dyDescent="0.3"/>
    <row r="5" spans="1:21" s="88" customFormat="1" ht="18.75" x14ac:dyDescent="0.3">
      <c r="B5" s="653" t="s">
        <v>187</v>
      </c>
      <c r="C5" s="653"/>
      <c r="D5"/>
      <c r="G5" s="653" t="s">
        <v>387</v>
      </c>
      <c r="H5" s="653"/>
      <c r="I5" s="653"/>
      <c r="J5" s="103"/>
      <c r="K5" s="103"/>
      <c r="L5" s="653" t="s">
        <v>189</v>
      </c>
      <c r="M5" s="653"/>
      <c r="N5"/>
      <c r="O5" s="2" t="s">
        <v>392</v>
      </c>
      <c r="S5" s="653" t="s">
        <v>386</v>
      </c>
      <c r="T5" s="653"/>
    </row>
    <row r="6" spans="1:21" x14ac:dyDescent="0.25">
      <c r="A6" s="3">
        <v>1</v>
      </c>
      <c r="B6" s="360">
        <v>99</v>
      </c>
      <c r="C6" s="361" t="s">
        <v>345</v>
      </c>
      <c r="D6" s="361" t="s">
        <v>1</v>
      </c>
      <c r="F6" s="77">
        <v>1</v>
      </c>
      <c r="G6" s="360">
        <v>387</v>
      </c>
      <c r="H6" s="361" t="s">
        <v>210</v>
      </c>
      <c r="I6" s="362" t="s">
        <v>183</v>
      </c>
      <c r="K6" s="77">
        <v>1</v>
      </c>
      <c r="L6" s="360">
        <v>266</v>
      </c>
      <c r="M6" s="361" t="s">
        <v>190</v>
      </c>
      <c r="N6" s="361" t="s">
        <v>91</v>
      </c>
      <c r="O6" s="368">
        <f>L6/G10</f>
        <v>0.88666666666666671</v>
      </c>
      <c r="P6" s="361"/>
      <c r="R6" s="79">
        <v>1</v>
      </c>
      <c r="S6" s="363" t="s">
        <v>398</v>
      </c>
      <c r="T6" s="364" t="s">
        <v>385</v>
      </c>
      <c r="U6" s="365" t="s">
        <v>64</v>
      </c>
    </row>
    <row r="7" spans="1:21" x14ac:dyDescent="0.25">
      <c r="A7" s="3">
        <v>2</v>
      </c>
      <c r="B7" s="360">
        <v>66</v>
      </c>
      <c r="C7" s="361" t="s">
        <v>89</v>
      </c>
      <c r="D7" s="362" t="s">
        <v>1</v>
      </c>
      <c r="F7" s="77">
        <v>2</v>
      </c>
      <c r="G7" s="360">
        <v>377</v>
      </c>
      <c r="H7" s="361" t="s">
        <v>199</v>
      </c>
      <c r="I7" s="361" t="s">
        <v>198</v>
      </c>
      <c r="K7" s="77">
        <v>2</v>
      </c>
      <c r="L7" s="360">
        <v>125</v>
      </c>
      <c r="M7" s="361" t="s">
        <v>199</v>
      </c>
      <c r="N7" s="361" t="s">
        <v>198</v>
      </c>
      <c r="O7" s="368">
        <f>L7/G7</f>
        <v>0.33156498673740054</v>
      </c>
      <c r="P7" s="361"/>
      <c r="R7" s="79">
        <v>2</v>
      </c>
      <c r="S7" s="367" t="s">
        <v>389</v>
      </c>
      <c r="T7" s="361" t="s">
        <v>345</v>
      </c>
      <c r="U7" s="361" t="s">
        <v>1</v>
      </c>
    </row>
    <row r="8" spans="1:21" x14ac:dyDescent="0.25">
      <c r="A8" s="3">
        <v>3</v>
      </c>
      <c r="B8" s="363">
        <v>46</v>
      </c>
      <c r="C8" s="364" t="s">
        <v>87</v>
      </c>
      <c r="D8" s="365" t="s">
        <v>1</v>
      </c>
      <c r="F8" s="77">
        <v>3</v>
      </c>
      <c r="G8" s="360">
        <v>320</v>
      </c>
      <c r="H8" s="361" t="s">
        <v>219</v>
      </c>
      <c r="I8" s="362" t="s">
        <v>62</v>
      </c>
      <c r="K8" s="77">
        <v>3</v>
      </c>
      <c r="L8" s="360">
        <v>120</v>
      </c>
      <c r="M8" s="361" t="s">
        <v>253</v>
      </c>
      <c r="N8" s="361" t="s">
        <v>63</v>
      </c>
      <c r="O8" s="368">
        <f>L8/G13</f>
        <v>0.43321299638989169</v>
      </c>
      <c r="P8" s="361"/>
      <c r="R8" s="79">
        <v>2</v>
      </c>
      <c r="S8" s="367" t="s">
        <v>389</v>
      </c>
      <c r="T8" s="361" t="s">
        <v>199</v>
      </c>
      <c r="U8" s="361" t="s">
        <v>198</v>
      </c>
    </row>
    <row r="9" spans="1:21" s="88" customFormat="1" ht="18.75" x14ac:dyDescent="0.3">
      <c r="A9">
        <v>4</v>
      </c>
      <c r="B9" s="345">
        <v>2</v>
      </c>
      <c r="C9" s="348" t="s">
        <v>86</v>
      </c>
      <c r="D9" s="348" t="s">
        <v>1</v>
      </c>
      <c r="F9" s="271">
        <v>4</v>
      </c>
      <c r="G9" s="346">
        <v>313</v>
      </c>
      <c r="H9" s="632" t="s">
        <v>192</v>
      </c>
      <c r="I9" s="633" t="s">
        <v>62</v>
      </c>
      <c r="K9" s="308">
        <v>4</v>
      </c>
      <c r="L9" s="345">
        <v>100</v>
      </c>
      <c r="M9" s="348" t="s">
        <v>192</v>
      </c>
      <c r="N9" s="348" t="s">
        <v>62</v>
      </c>
      <c r="O9" s="350">
        <f>L9/G9</f>
        <v>0.31948881789137379</v>
      </c>
      <c r="P9" s="348"/>
      <c r="R9" s="79">
        <v>2</v>
      </c>
      <c r="S9" s="367" t="s">
        <v>389</v>
      </c>
      <c r="T9" s="361" t="s">
        <v>219</v>
      </c>
      <c r="U9" s="362" t="s">
        <v>62</v>
      </c>
    </row>
    <row r="10" spans="1:21" ht="18.75" x14ac:dyDescent="0.3">
      <c r="A10">
        <v>5</v>
      </c>
      <c r="B10" s="346">
        <v>1</v>
      </c>
      <c r="C10" s="347" t="s">
        <v>191</v>
      </c>
      <c r="D10" s="347" t="s">
        <v>2</v>
      </c>
      <c r="F10" s="271">
        <v>5</v>
      </c>
      <c r="G10" s="351">
        <v>300</v>
      </c>
      <c r="H10" s="352" t="s">
        <v>217</v>
      </c>
      <c r="I10" s="353" t="s">
        <v>91</v>
      </c>
      <c r="K10" s="308">
        <v>5</v>
      </c>
      <c r="L10" s="351">
        <v>91</v>
      </c>
      <c r="M10" s="352" t="s">
        <v>219</v>
      </c>
      <c r="N10" s="353" t="s">
        <v>62</v>
      </c>
      <c r="O10" s="358">
        <f>L10/G8</f>
        <v>0.28437499999999999</v>
      </c>
      <c r="P10" s="359"/>
      <c r="R10" s="79">
        <v>2</v>
      </c>
      <c r="S10" s="363" t="s">
        <v>389</v>
      </c>
      <c r="T10" s="364" t="s">
        <v>395</v>
      </c>
      <c r="U10" s="364" t="s">
        <v>64</v>
      </c>
    </row>
    <row r="11" spans="1:21" x14ac:dyDescent="0.25">
      <c r="A11">
        <v>5</v>
      </c>
      <c r="B11" s="345">
        <v>1</v>
      </c>
      <c r="C11" s="348" t="s">
        <v>201</v>
      </c>
      <c r="D11" s="348" t="s">
        <v>183</v>
      </c>
      <c r="F11" s="635">
        <v>6</v>
      </c>
      <c r="G11" s="351">
        <v>292</v>
      </c>
      <c r="H11" s="352" t="s">
        <v>196</v>
      </c>
      <c r="I11" s="353" t="s">
        <v>62</v>
      </c>
      <c r="K11" s="635">
        <v>6</v>
      </c>
      <c r="L11" s="345">
        <v>90</v>
      </c>
      <c r="M11" s="348" t="s">
        <v>385</v>
      </c>
      <c r="N11" s="348" t="s">
        <v>64</v>
      </c>
      <c r="O11" s="350">
        <f>L11/G21</f>
        <v>0.61643835616438358</v>
      </c>
      <c r="P11" s="348">
        <v>169</v>
      </c>
      <c r="R11" s="79">
        <v>2</v>
      </c>
      <c r="S11" s="363" t="s">
        <v>389</v>
      </c>
      <c r="T11" s="364" t="s">
        <v>403</v>
      </c>
      <c r="U11" s="365" t="s">
        <v>183</v>
      </c>
    </row>
    <row r="12" spans="1:21" x14ac:dyDescent="0.25">
      <c r="B12" s="635"/>
      <c r="F12" s="635">
        <v>7</v>
      </c>
      <c r="G12" s="351">
        <v>278</v>
      </c>
      <c r="H12" s="352" t="s">
        <v>218</v>
      </c>
      <c r="I12" s="353" t="s">
        <v>63</v>
      </c>
      <c r="K12" s="635">
        <v>7</v>
      </c>
      <c r="L12" s="355">
        <v>82</v>
      </c>
      <c r="M12" s="352" t="s">
        <v>210</v>
      </c>
      <c r="N12" s="353" t="s">
        <v>183</v>
      </c>
      <c r="O12" s="358">
        <f>L12/G6</f>
        <v>0.21188630490956073</v>
      </c>
      <c r="P12" s="352"/>
      <c r="R12" s="81">
        <v>7</v>
      </c>
      <c r="S12" s="345" t="s">
        <v>346</v>
      </c>
      <c r="T12" s="348" t="s">
        <v>382</v>
      </c>
      <c r="U12" s="348" t="s">
        <v>2</v>
      </c>
    </row>
    <row r="13" spans="1:21" ht="18.75" x14ac:dyDescent="0.3">
      <c r="A13" s="88"/>
      <c r="B13" s="636" t="s">
        <v>188</v>
      </c>
      <c r="C13" s="636"/>
      <c r="E13" s="88"/>
      <c r="F13" s="635">
        <v>8</v>
      </c>
      <c r="G13" s="354">
        <v>277</v>
      </c>
      <c r="H13" s="352" t="s">
        <v>253</v>
      </c>
      <c r="I13" s="352" t="s">
        <v>63</v>
      </c>
      <c r="J13" s="88"/>
      <c r="K13" s="635">
        <v>7</v>
      </c>
      <c r="L13" s="351">
        <v>82</v>
      </c>
      <c r="M13" s="352" t="s">
        <v>218</v>
      </c>
      <c r="N13" s="353" t="s">
        <v>63</v>
      </c>
      <c r="O13" s="358">
        <f>L13/G12</f>
        <v>0.29496402877697842</v>
      </c>
      <c r="P13" s="359"/>
      <c r="Q13" s="88"/>
      <c r="R13" s="81">
        <v>7</v>
      </c>
      <c r="S13" s="345" t="s">
        <v>346</v>
      </c>
      <c r="T13" s="348" t="s">
        <v>192</v>
      </c>
      <c r="U13" s="349" t="s">
        <v>62</v>
      </c>
    </row>
    <row r="14" spans="1:21" x14ac:dyDescent="0.25">
      <c r="A14" s="3">
        <v>1</v>
      </c>
      <c r="B14" s="366">
        <v>215</v>
      </c>
      <c r="C14" s="361" t="s">
        <v>345</v>
      </c>
      <c r="D14" s="361" t="s">
        <v>1</v>
      </c>
      <c r="F14" s="635">
        <v>9</v>
      </c>
      <c r="G14" s="351">
        <v>269</v>
      </c>
      <c r="H14" s="352" t="s">
        <v>200</v>
      </c>
      <c r="I14" s="353" t="s">
        <v>183</v>
      </c>
      <c r="K14" s="635">
        <v>9</v>
      </c>
      <c r="L14" s="351">
        <v>80</v>
      </c>
      <c r="M14" s="352" t="s">
        <v>211</v>
      </c>
      <c r="N14" s="353" t="s">
        <v>62</v>
      </c>
      <c r="O14" s="358">
        <f>L14/G15</f>
        <v>0.30303030303030304</v>
      </c>
      <c r="P14" s="352"/>
      <c r="R14" s="81">
        <v>7</v>
      </c>
      <c r="S14" s="351" t="s">
        <v>346</v>
      </c>
      <c r="T14" s="352" t="s">
        <v>210</v>
      </c>
      <c r="U14" s="353" t="s">
        <v>183</v>
      </c>
    </row>
    <row r="15" spans="1:21" x14ac:dyDescent="0.25">
      <c r="A15" s="3">
        <v>2</v>
      </c>
      <c r="B15" s="363">
        <v>88</v>
      </c>
      <c r="C15" s="364" t="s">
        <v>87</v>
      </c>
      <c r="D15" s="365" t="s">
        <v>1</v>
      </c>
      <c r="F15" s="635">
        <v>10</v>
      </c>
      <c r="G15" s="351">
        <v>264</v>
      </c>
      <c r="H15" s="352" t="s">
        <v>211</v>
      </c>
      <c r="I15" s="353" t="s">
        <v>62</v>
      </c>
      <c r="K15" s="635">
        <v>10</v>
      </c>
      <c r="L15" s="355">
        <v>67</v>
      </c>
      <c r="M15" s="352" t="s">
        <v>200</v>
      </c>
      <c r="N15" s="353" t="s">
        <v>183</v>
      </c>
      <c r="O15" s="358">
        <f>L15/G14</f>
        <v>0.24907063197026022</v>
      </c>
      <c r="P15" s="352"/>
      <c r="R15" s="81">
        <v>10</v>
      </c>
      <c r="S15" s="351" t="s">
        <v>397</v>
      </c>
      <c r="T15" s="352" t="s">
        <v>253</v>
      </c>
      <c r="U15" s="353" t="s">
        <v>63</v>
      </c>
    </row>
    <row r="16" spans="1:21" x14ac:dyDescent="0.25">
      <c r="A16" s="3">
        <v>3</v>
      </c>
      <c r="B16" s="367">
        <v>80</v>
      </c>
      <c r="C16" s="361" t="s">
        <v>210</v>
      </c>
      <c r="D16" s="362" t="s">
        <v>183</v>
      </c>
      <c r="F16" s="635">
        <v>11</v>
      </c>
      <c r="G16" s="354">
        <v>235</v>
      </c>
      <c r="H16" s="352" t="s">
        <v>345</v>
      </c>
      <c r="I16" s="352" t="s">
        <v>1</v>
      </c>
      <c r="K16" s="635">
        <v>11</v>
      </c>
      <c r="L16" s="355">
        <v>60</v>
      </c>
      <c r="M16" s="352" t="s">
        <v>196</v>
      </c>
      <c r="N16" s="352" t="s">
        <v>62</v>
      </c>
      <c r="O16" s="358">
        <f>L16/G11</f>
        <v>0.20547945205479451</v>
      </c>
      <c r="P16" s="352"/>
      <c r="R16" s="81">
        <v>10</v>
      </c>
      <c r="S16" s="351" t="s">
        <v>397</v>
      </c>
      <c r="T16" s="352" t="s">
        <v>218</v>
      </c>
      <c r="U16" s="353" t="s">
        <v>63</v>
      </c>
    </row>
    <row r="17" spans="1:21" x14ac:dyDescent="0.25">
      <c r="A17">
        <v>4</v>
      </c>
      <c r="B17" s="345">
        <v>21</v>
      </c>
      <c r="C17" s="348" t="s">
        <v>82</v>
      </c>
      <c r="D17" s="348" t="s">
        <v>63</v>
      </c>
      <c r="F17" s="635">
        <v>12</v>
      </c>
      <c r="G17" s="345">
        <v>202</v>
      </c>
      <c r="H17" s="348" t="s">
        <v>191</v>
      </c>
      <c r="I17" s="349" t="s">
        <v>183</v>
      </c>
      <c r="K17" s="635">
        <v>12</v>
      </c>
      <c r="L17" s="351">
        <v>59</v>
      </c>
      <c r="M17" s="352" t="s">
        <v>255</v>
      </c>
      <c r="N17" s="353" t="s">
        <v>91</v>
      </c>
      <c r="O17" s="358">
        <f>L17/G22</f>
        <v>0.47967479674796748</v>
      </c>
      <c r="P17" s="352"/>
      <c r="R17" s="81">
        <v>12</v>
      </c>
      <c r="S17" s="351" t="s">
        <v>365</v>
      </c>
      <c r="T17" s="352" t="s">
        <v>211</v>
      </c>
      <c r="U17" s="353" t="s">
        <v>62</v>
      </c>
    </row>
    <row r="18" spans="1:21" x14ac:dyDescent="0.25">
      <c r="A18">
        <v>5</v>
      </c>
      <c r="B18" s="345">
        <v>8</v>
      </c>
      <c r="C18" s="348" t="s">
        <v>192</v>
      </c>
      <c r="D18" s="349" t="s">
        <v>62</v>
      </c>
      <c r="F18" s="635">
        <v>13</v>
      </c>
      <c r="G18" s="355">
        <v>199</v>
      </c>
      <c r="H18" s="352" t="s">
        <v>89</v>
      </c>
      <c r="I18" s="353" t="s">
        <v>1</v>
      </c>
      <c r="K18" s="635">
        <v>13</v>
      </c>
      <c r="L18" s="345">
        <v>53</v>
      </c>
      <c r="M18" s="348" t="s">
        <v>191</v>
      </c>
      <c r="N18" s="348" t="s">
        <v>2</v>
      </c>
      <c r="O18" s="350">
        <f>L18/G17</f>
        <v>0.26237623762376239</v>
      </c>
      <c r="P18" s="348"/>
      <c r="R18" s="81">
        <v>12</v>
      </c>
      <c r="S18" s="351" t="s">
        <v>365</v>
      </c>
      <c r="T18" s="352" t="s">
        <v>196</v>
      </c>
      <c r="U18" s="353" t="s">
        <v>62</v>
      </c>
    </row>
    <row r="19" spans="1:21" x14ac:dyDescent="0.25">
      <c r="A19">
        <v>6</v>
      </c>
      <c r="B19" s="345">
        <v>6</v>
      </c>
      <c r="C19" s="348" t="s">
        <v>84</v>
      </c>
      <c r="D19" s="349" t="s">
        <v>62</v>
      </c>
      <c r="F19" s="635">
        <v>14</v>
      </c>
      <c r="G19" s="345">
        <v>172</v>
      </c>
      <c r="H19" s="348" t="s">
        <v>382</v>
      </c>
      <c r="I19" s="348" t="s">
        <v>2</v>
      </c>
      <c r="K19" s="635">
        <v>14</v>
      </c>
      <c r="L19" s="345">
        <v>33</v>
      </c>
      <c r="M19" s="348" t="s">
        <v>382</v>
      </c>
      <c r="N19" s="348" t="s">
        <v>2</v>
      </c>
      <c r="O19" s="350">
        <f>L19/G21</f>
        <v>0.22602739726027396</v>
      </c>
      <c r="P19" s="348">
        <v>79</v>
      </c>
      <c r="R19" s="81">
        <v>12</v>
      </c>
      <c r="S19" s="351" t="s">
        <v>365</v>
      </c>
      <c r="T19" s="352" t="s">
        <v>217</v>
      </c>
      <c r="U19" s="353" t="s">
        <v>91</v>
      </c>
    </row>
    <row r="20" spans="1:21" x14ac:dyDescent="0.25">
      <c r="A20">
        <v>7</v>
      </c>
      <c r="B20" s="345">
        <v>5</v>
      </c>
      <c r="C20" s="348" t="s">
        <v>83</v>
      </c>
      <c r="D20" s="349" t="s">
        <v>62</v>
      </c>
      <c r="F20" s="635">
        <v>15</v>
      </c>
      <c r="G20" s="345">
        <v>146</v>
      </c>
      <c r="H20" s="348" t="s">
        <v>87</v>
      </c>
      <c r="I20" s="349" t="s">
        <v>1</v>
      </c>
      <c r="K20" s="635">
        <v>15</v>
      </c>
      <c r="L20" s="345">
        <v>32</v>
      </c>
      <c r="M20" s="348" t="s">
        <v>395</v>
      </c>
      <c r="N20" s="348" t="s">
        <v>64</v>
      </c>
      <c r="O20" s="350">
        <f>L20/G24</f>
        <v>0.33333333333333331</v>
      </c>
      <c r="P20" s="348">
        <v>89</v>
      </c>
      <c r="R20" s="81">
        <v>15</v>
      </c>
      <c r="S20" s="351" t="s">
        <v>330</v>
      </c>
      <c r="T20" s="352" t="s">
        <v>255</v>
      </c>
      <c r="U20" s="353" t="s">
        <v>91</v>
      </c>
    </row>
    <row r="21" spans="1:21" x14ac:dyDescent="0.25">
      <c r="A21">
        <v>8</v>
      </c>
      <c r="B21" s="345">
        <v>4</v>
      </c>
      <c r="C21" s="348" t="s">
        <v>167</v>
      </c>
      <c r="D21" s="349" t="s">
        <v>91</v>
      </c>
      <c r="F21" s="635">
        <v>15</v>
      </c>
      <c r="G21" s="345">
        <v>146</v>
      </c>
      <c r="H21" s="348" t="s">
        <v>385</v>
      </c>
      <c r="I21" s="348" t="s">
        <v>64</v>
      </c>
      <c r="K21" s="635">
        <v>16</v>
      </c>
      <c r="L21" s="351">
        <v>27</v>
      </c>
      <c r="M21" s="352" t="s">
        <v>230</v>
      </c>
      <c r="N21" s="352" t="s">
        <v>62</v>
      </c>
      <c r="O21" s="358">
        <f>L21/G23</f>
        <v>0.24770642201834864</v>
      </c>
      <c r="P21" s="352"/>
      <c r="R21" s="81">
        <v>16</v>
      </c>
      <c r="S21" s="351" t="s">
        <v>390</v>
      </c>
      <c r="T21" s="352" t="s">
        <v>200</v>
      </c>
      <c r="U21" s="353" t="s">
        <v>183</v>
      </c>
    </row>
    <row r="22" spans="1:21" x14ac:dyDescent="0.25">
      <c r="A22">
        <v>9</v>
      </c>
      <c r="B22" s="351">
        <v>2</v>
      </c>
      <c r="C22" s="352" t="s">
        <v>89</v>
      </c>
      <c r="D22" s="353" t="s">
        <v>1</v>
      </c>
      <c r="F22" s="635">
        <v>17</v>
      </c>
      <c r="G22" s="354">
        <v>123</v>
      </c>
      <c r="H22" s="356" t="s">
        <v>294</v>
      </c>
      <c r="I22" s="357" t="s">
        <v>91</v>
      </c>
      <c r="K22" s="635">
        <v>17</v>
      </c>
      <c r="L22" s="351">
        <v>23</v>
      </c>
      <c r="M22" s="352" t="s">
        <v>295</v>
      </c>
      <c r="N22" s="352" t="s">
        <v>2</v>
      </c>
      <c r="O22" s="358">
        <f>L22/G26</f>
        <v>0.26436781609195403</v>
      </c>
      <c r="P22" s="352"/>
      <c r="R22" s="81">
        <v>17</v>
      </c>
      <c r="S22" s="351" t="s">
        <v>261</v>
      </c>
      <c r="T22" s="352" t="s">
        <v>89</v>
      </c>
      <c r="U22" s="353" t="s">
        <v>1</v>
      </c>
    </row>
    <row r="23" spans="1:21" x14ac:dyDescent="0.25">
      <c r="A23">
        <v>10</v>
      </c>
      <c r="B23" s="345">
        <v>1</v>
      </c>
      <c r="C23" s="348" t="s">
        <v>88</v>
      </c>
      <c r="D23" s="349" t="s">
        <v>91</v>
      </c>
      <c r="F23" s="635">
        <v>18</v>
      </c>
      <c r="G23" s="354">
        <v>109</v>
      </c>
      <c r="H23" s="352" t="s">
        <v>230</v>
      </c>
      <c r="I23" s="352" t="s">
        <v>62</v>
      </c>
      <c r="K23" s="635">
        <v>18</v>
      </c>
      <c r="L23" s="345">
        <v>19</v>
      </c>
      <c r="M23" s="348" t="s">
        <v>88</v>
      </c>
      <c r="N23" s="349" t="s">
        <v>193</v>
      </c>
      <c r="O23" s="350"/>
      <c r="P23" s="348"/>
      <c r="R23" s="81">
        <v>17</v>
      </c>
      <c r="S23" s="345" t="s">
        <v>261</v>
      </c>
      <c r="T23" s="348" t="s">
        <v>87</v>
      </c>
      <c r="U23" s="349" t="s">
        <v>1</v>
      </c>
    </row>
    <row r="24" spans="1:21" x14ac:dyDescent="0.25">
      <c r="A24">
        <v>10</v>
      </c>
      <c r="B24" s="345">
        <v>1</v>
      </c>
      <c r="C24" s="348" t="s">
        <v>191</v>
      </c>
      <c r="D24" s="348" t="s">
        <v>2</v>
      </c>
      <c r="F24" s="635">
        <v>19</v>
      </c>
      <c r="G24" s="345">
        <v>96</v>
      </c>
      <c r="H24" s="348" t="s">
        <v>395</v>
      </c>
      <c r="I24" s="348" t="s">
        <v>64</v>
      </c>
      <c r="K24" s="635">
        <v>19</v>
      </c>
      <c r="L24" s="345">
        <v>15</v>
      </c>
      <c r="M24" s="348" t="s">
        <v>83</v>
      </c>
      <c r="N24" s="349" t="s">
        <v>62</v>
      </c>
      <c r="O24" s="350"/>
      <c r="P24" s="348"/>
      <c r="R24" s="81">
        <v>17</v>
      </c>
      <c r="S24" s="351" t="s">
        <v>261</v>
      </c>
      <c r="T24" s="352" t="s">
        <v>230</v>
      </c>
      <c r="U24" s="352" t="s">
        <v>62</v>
      </c>
    </row>
    <row r="25" spans="1:21" x14ac:dyDescent="0.25">
      <c r="A25">
        <v>10</v>
      </c>
      <c r="B25" s="345">
        <v>1</v>
      </c>
      <c r="C25" s="348" t="s">
        <v>403</v>
      </c>
      <c r="D25" s="349" t="s">
        <v>2</v>
      </c>
      <c r="F25" s="635">
        <v>20</v>
      </c>
      <c r="G25" s="345">
        <v>89</v>
      </c>
      <c r="H25" s="348" t="s">
        <v>201</v>
      </c>
      <c r="I25" s="349" t="s">
        <v>183</v>
      </c>
      <c r="K25" s="635">
        <v>20</v>
      </c>
      <c r="L25" s="345">
        <v>12</v>
      </c>
      <c r="M25" s="348" t="s">
        <v>248</v>
      </c>
      <c r="N25" s="349" t="s">
        <v>91</v>
      </c>
      <c r="O25" s="350"/>
      <c r="P25" s="348"/>
      <c r="R25" s="81">
        <v>20</v>
      </c>
      <c r="S25" s="345" t="s">
        <v>197</v>
      </c>
      <c r="T25" s="348" t="s">
        <v>167</v>
      </c>
      <c r="U25" s="349" t="s">
        <v>91</v>
      </c>
    </row>
    <row r="26" spans="1:21" x14ac:dyDescent="0.25">
      <c r="B26" s="296">
        <f>SUM(B14:B25)</f>
        <v>432</v>
      </c>
      <c r="F26" s="635">
        <v>21</v>
      </c>
      <c r="G26" s="351">
        <v>87</v>
      </c>
      <c r="H26" s="352" t="s">
        <v>295</v>
      </c>
      <c r="I26" s="352" t="s">
        <v>183</v>
      </c>
      <c r="K26" s="635">
        <v>21</v>
      </c>
      <c r="L26" s="355">
        <v>11</v>
      </c>
      <c r="M26" s="352" t="s">
        <v>89</v>
      </c>
      <c r="N26" s="353" t="s">
        <v>1</v>
      </c>
      <c r="O26" s="358">
        <f>L26/G18</f>
        <v>5.5276381909547742E-2</v>
      </c>
      <c r="P26" s="352"/>
      <c r="R26" s="81">
        <v>20</v>
      </c>
      <c r="S26" s="351" t="s">
        <v>197</v>
      </c>
      <c r="T26" s="352" t="s">
        <v>191</v>
      </c>
      <c r="U26" s="353" t="s">
        <v>2</v>
      </c>
    </row>
    <row r="27" spans="1:21" x14ac:dyDescent="0.25">
      <c r="B27" s="635"/>
      <c r="F27" s="635">
        <v>22</v>
      </c>
      <c r="G27" s="345">
        <v>55</v>
      </c>
      <c r="H27" s="348" t="s">
        <v>88</v>
      </c>
      <c r="I27" s="349" t="s">
        <v>91</v>
      </c>
      <c r="K27" s="635">
        <v>22</v>
      </c>
      <c r="L27" s="345">
        <v>10</v>
      </c>
      <c r="M27" s="348" t="s">
        <v>201</v>
      </c>
      <c r="N27" s="349" t="s">
        <v>183</v>
      </c>
      <c r="O27" s="350"/>
      <c r="P27" s="348"/>
      <c r="R27" s="81">
        <v>20</v>
      </c>
      <c r="S27" s="351" t="s">
        <v>197</v>
      </c>
      <c r="T27" s="352" t="s">
        <v>295</v>
      </c>
      <c r="U27" s="352" t="s">
        <v>183</v>
      </c>
    </row>
    <row r="28" spans="1:21" x14ac:dyDescent="0.25">
      <c r="B28" s="635"/>
      <c r="G28"/>
      <c r="K28" s="635">
        <v>22</v>
      </c>
      <c r="L28" s="345">
        <v>10</v>
      </c>
      <c r="M28" s="348" t="s">
        <v>254</v>
      </c>
      <c r="N28" s="349" t="s">
        <v>91</v>
      </c>
      <c r="O28" s="350"/>
      <c r="P28" s="348"/>
      <c r="R28" s="81">
        <v>23</v>
      </c>
      <c r="S28" s="345" t="s">
        <v>384</v>
      </c>
      <c r="T28" s="348" t="s">
        <v>347</v>
      </c>
      <c r="U28" s="348" t="s">
        <v>64</v>
      </c>
    </row>
    <row r="29" spans="1:21" x14ac:dyDescent="0.25">
      <c r="B29" s="635"/>
      <c r="G29"/>
      <c r="K29" s="635">
        <v>24</v>
      </c>
      <c r="L29" s="345">
        <v>9</v>
      </c>
      <c r="M29" s="348" t="s">
        <v>203</v>
      </c>
      <c r="N29" s="348" t="s">
        <v>91</v>
      </c>
      <c r="O29" s="350"/>
      <c r="P29" s="348"/>
      <c r="R29" s="81">
        <v>24</v>
      </c>
      <c r="S29" s="345" t="s">
        <v>229</v>
      </c>
      <c r="T29" s="348" t="s">
        <v>254</v>
      </c>
      <c r="U29" s="349" t="s">
        <v>91</v>
      </c>
    </row>
    <row r="30" spans="1:21" x14ac:dyDescent="0.25">
      <c r="B30" s="635"/>
      <c r="G30"/>
      <c r="K30" s="635">
        <v>24</v>
      </c>
      <c r="L30" s="345">
        <v>9</v>
      </c>
      <c r="M30" s="348" t="s">
        <v>202</v>
      </c>
      <c r="N30" s="348" t="s">
        <v>91</v>
      </c>
      <c r="O30" s="350"/>
      <c r="P30" s="348"/>
      <c r="R30" s="81">
        <v>24</v>
      </c>
      <c r="S30" s="345" t="s">
        <v>229</v>
      </c>
      <c r="T30" s="348" t="s">
        <v>248</v>
      </c>
      <c r="U30" s="348" t="s">
        <v>91</v>
      </c>
    </row>
    <row r="31" spans="1:21" x14ac:dyDescent="0.25">
      <c r="B31" s="635"/>
      <c r="G31"/>
      <c r="K31" s="635">
        <v>26</v>
      </c>
      <c r="L31" s="345">
        <v>8</v>
      </c>
      <c r="M31" s="348" t="s">
        <v>85</v>
      </c>
      <c r="N31" s="348" t="s">
        <v>183</v>
      </c>
      <c r="O31" s="350"/>
      <c r="P31" s="348"/>
      <c r="R31" s="81"/>
    </row>
    <row r="32" spans="1:21" x14ac:dyDescent="0.25">
      <c r="B32" s="635"/>
      <c r="G32"/>
      <c r="K32" s="635">
        <v>27</v>
      </c>
      <c r="L32" s="345">
        <v>6</v>
      </c>
      <c r="M32" s="348" t="s">
        <v>87</v>
      </c>
      <c r="N32" s="349" t="s">
        <v>1</v>
      </c>
      <c r="O32" s="350"/>
      <c r="P32" s="348"/>
    </row>
    <row r="33" spans="2:16" x14ac:dyDescent="0.25">
      <c r="B33" s="635"/>
      <c r="G33"/>
      <c r="K33" s="635">
        <v>28</v>
      </c>
      <c r="L33" s="345">
        <v>3</v>
      </c>
      <c r="M33" s="348" t="s">
        <v>347</v>
      </c>
      <c r="N33" s="348" t="s">
        <v>64</v>
      </c>
      <c r="O33" s="350"/>
      <c r="P33" s="348"/>
    </row>
    <row r="34" spans="2:16" x14ac:dyDescent="0.25">
      <c r="B34" s="635"/>
      <c r="G34"/>
      <c r="K34" s="635">
        <v>28</v>
      </c>
      <c r="L34" s="345">
        <v>3</v>
      </c>
      <c r="M34" s="348" t="s">
        <v>297</v>
      </c>
      <c r="N34" s="348" t="s">
        <v>62</v>
      </c>
      <c r="O34" s="350"/>
      <c r="P34" s="348"/>
    </row>
    <row r="35" spans="2:16" x14ac:dyDescent="0.25">
      <c r="B35" s="635"/>
      <c r="G35"/>
      <c r="K35" s="635">
        <v>28</v>
      </c>
      <c r="L35" s="345">
        <v>3</v>
      </c>
      <c r="M35" s="348" t="s">
        <v>403</v>
      </c>
      <c r="N35" s="348" t="s">
        <v>183</v>
      </c>
      <c r="O35" s="350"/>
      <c r="P35" s="348">
        <v>49</v>
      </c>
    </row>
    <row r="36" spans="2:16" x14ac:dyDescent="0.25">
      <c r="B36" s="635"/>
      <c r="G36"/>
      <c r="K36" s="635">
        <v>31</v>
      </c>
      <c r="L36" s="354">
        <v>2</v>
      </c>
      <c r="M36" s="352" t="s">
        <v>345</v>
      </c>
      <c r="N36" s="356" t="s">
        <v>1</v>
      </c>
      <c r="O36" s="358">
        <f>L36/G16</f>
        <v>8.5106382978723406E-3</v>
      </c>
      <c r="P36" s="356">
        <v>3</v>
      </c>
    </row>
    <row r="37" spans="2:16" x14ac:dyDescent="0.25">
      <c r="B37" s="635"/>
      <c r="G37"/>
      <c r="L37" s="297">
        <f>SUM(L6:L36)</f>
        <v>1510</v>
      </c>
    </row>
  </sheetData>
  <mergeCells count="7">
    <mergeCell ref="S5:T5"/>
    <mergeCell ref="G5:I5"/>
    <mergeCell ref="E1:H1"/>
    <mergeCell ref="A1:C1"/>
    <mergeCell ref="A2:C2"/>
    <mergeCell ref="B5:C5"/>
    <mergeCell ref="L5:M5"/>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BA33"/>
  <sheetViews>
    <sheetView zoomScaleNormal="100" workbookViewId="0">
      <pane xSplit="6" ySplit="3" topLeftCell="R4" activePane="bottomRight" state="frozen"/>
      <selection pane="topRight" activeCell="H1" sqref="H1"/>
      <selection pane="bottomLeft" activeCell="A4" sqref="A4"/>
      <selection pane="bottomRight" activeCell="AM12" sqref="AM12"/>
    </sheetView>
  </sheetViews>
  <sheetFormatPr baseColWidth="10" defaultColWidth="11.42578125" defaultRowHeight="15" x14ac:dyDescent="0.25"/>
  <cols>
    <col min="1" max="1" width="4.7109375" bestFit="1" customWidth="1"/>
    <col min="2" max="2" width="5.140625" bestFit="1" customWidth="1"/>
    <col min="3" max="3" width="15.140625" style="55" bestFit="1" customWidth="1"/>
    <col min="4" max="4" width="5.5703125" bestFit="1" customWidth="1"/>
    <col min="5" max="5" width="5" bestFit="1" customWidth="1"/>
    <col min="6" max="6" width="4.5703125" style="154" bestFit="1" customWidth="1"/>
    <col min="7" max="7" width="3.7109375" style="2" customWidth="1"/>
    <col min="8" max="8" width="4.5703125" customWidth="1"/>
    <col min="9" max="9" width="6.140625" style="47" customWidth="1"/>
    <col min="10" max="12" width="6.140625" customWidth="1"/>
    <col min="13" max="13" width="6.140625" bestFit="1" customWidth="1"/>
    <col min="14" max="14" width="5" bestFit="1" customWidth="1"/>
    <col min="15" max="15" width="6.140625" customWidth="1"/>
    <col min="16" max="16" width="5.5703125" style="180" customWidth="1"/>
    <col min="17" max="17" width="5" style="180" customWidth="1"/>
    <col min="18" max="18" width="4.42578125" style="154" bestFit="1" customWidth="1"/>
    <col min="19" max="25" width="5.5703125" style="154" bestFit="1" customWidth="1"/>
    <col min="26" max="27" width="4.5703125" bestFit="1" customWidth="1"/>
    <col min="28" max="28" width="5.5703125" bestFit="1" customWidth="1"/>
    <col min="29" max="32" width="4.5703125" bestFit="1" customWidth="1"/>
    <col min="33" max="33" width="3.7109375" customWidth="1"/>
    <col min="34" max="34" width="6.140625" bestFit="1" customWidth="1"/>
    <col min="35" max="35" width="15.140625" bestFit="1" customWidth="1"/>
    <col min="36" max="37" width="7.85546875" bestFit="1" customWidth="1"/>
    <col min="38" max="38" width="7.7109375" bestFit="1" customWidth="1"/>
    <col min="39" max="39" width="7.140625" bestFit="1" customWidth="1"/>
    <col min="40" max="41" width="6.5703125" bestFit="1" customWidth="1"/>
    <col min="42" max="42" width="6.42578125" bestFit="1" customWidth="1"/>
    <col min="43" max="44" width="5.85546875" bestFit="1" customWidth="1"/>
    <col min="45" max="45" width="5.5703125" bestFit="1" customWidth="1"/>
    <col min="46" max="46" width="4.5703125" bestFit="1" customWidth="1"/>
    <col min="47" max="47" width="5.5703125" customWidth="1"/>
    <col min="48" max="48" width="11" bestFit="1" customWidth="1"/>
    <col min="49" max="49" width="5.85546875" bestFit="1" customWidth="1"/>
    <col min="50" max="50" width="12.42578125" bestFit="1" customWidth="1"/>
    <col min="51" max="51" width="15.140625" bestFit="1" customWidth="1"/>
    <col min="52" max="53" width="9.5703125" bestFit="1" customWidth="1"/>
  </cols>
  <sheetData>
    <row r="1" spans="1:53" ht="18.75" x14ac:dyDescent="0.3">
      <c r="P1"/>
      <c r="Q1"/>
      <c r="AH1" s="692" t="s">
        <v>278</v>
      </c>
      <c r="AI1" s="692"/>
      <c r="AJ1" s="692"/>
      <c r="AK1" s="692"/>
      <c r="AL1" s="692"/>
      <c r="AM1" s="692"/>
      <c r="AN1" s="692"/>
      <c r="AO1" s="692"/>
      <c r="AP1" s="692"/>
      <c r="AQ1" s="692"/>
      <c r="AR1" s="692"/>
      <c r="AS1" s="692"/>
      <c r="AT1" s="692"/>
      <c r="AV1" s="171" t="s">
        <v>280</v>
      </c>
      <c r="AW1" s="171" t="s">
        <v>69</v>
      </c>
      <c r="AX1" s="171" t="s">
        <v>281</v>
      </c>
      <c r="AY1" s="172" t="s">
        <v>282</v>
      </c>
      <c r="AZ1" s="170" t="s">
        <v>283</v>
      </c>
      <c r="BA1" s="170" t="s">
        <v>284</v>
      </c>
    </row>
    <row r="2" spans="1:53" s="72" customFormat="1" ht="18.75" x14ac:dyDescent="0.3">
      <c r="C2" s="153">
        <f ca="1">TODAY()</f>
        <v>43657</v>
      </c>
      <c r="D2" s="657">
        <v>41471</v>
      </c>
      <c r="E2" s="657"/>
      <c r="F2" s="657"/>
      <c r="G2" s="73"/>
      <c r="H2" s="73"/>
      <c r="I2" s="104"/>
      <c r="J2" s="73"/>
      <c r="K2" s="73"/>
      <c r="L2" s="73"/>
      <c r="M2" s="73"/>
      <c r="N2" s="73"/>
      <c r="O2" s="73"/>
      <c r="P2" s="143"/>
      <c r="Q2" s="85"/>
      <c r="R2" s="85"/>
      <c r="S2" s="85">
        <v>0</v>
      </c>
      <c r="T2" s="85">
        <v>0</v>
      </c>
      <c r="U2" s="85">
        <v>40</v>
      </c>
      <c r="V2" s="85">
        <v>0</v>
      </c>
      <c r="W2" s="85">
        <v>0</v>
      </c>
      <c r="X2" s="85">
        <v>17</v>
      </c>
      <c r="Y2" s="85">
        <v>0</v>
      </c>
      <c r="AJ2" s="168">
        <f>SUM(AJ4:AJ14)*$AY$3</f>
        <v>0</v>
      </c>
      <c r="AK2" s="168">
        <f>SUM(AK4:AK14)*$AY$3</f>
        <v>0</v>
      </c>
      <c r="AL2" s="168">
        <f>SUM(AL4:AL14)*$AY$2</f>
        <v>0</v>
      </c>
      <c r="AM2" s="168">
        <f>SUM(AM4:AM14)*$AY$4</f>
        <v>4.3637500000000005</v>
      </c>
      <c r="AN2" s="168" t="e">
        <f>SUM(AN4:AN14)*$AY$5</f>
        <v>#REF!</v>
      </c>
      <c r="AO2" s="168">
        <f>SUM(AO4:AO14)*$AY$5</f>
        <v>0.22100000000000003</v>
      </c>
      <c r="AP2" s="168" t="e">
        <f>SUM(AP4:AP14)*$AY$6</f>
        <v>#REF!</v>
      </c>
      <c r="AQ2" s="169" t="e">
        <f>SUM(AQ4:AQ14)</f>
        <v>#REF!</v>
      </c>
      <c r="AR2" s="169" t="e">
        <f>SUM(AR4:AR14)</f>
        <v>#REF!</v>
      </c>
      <c r="AS2" s="169">
        <f t="shared" ref="AS2:AT2" si="0">SUM(AS4:AS14)</f>
        <v>7.4164166666666667</v>
      </c>
      <c r="AT2" s="169">
        <f t="shared" si="0"/>
        <v>0</v>
      </c>
      <c r="AV2" s="77" t="s">
        <v>285</v>
      </c>
      <c r="AW2" s="173">
        <v>1</v>
      </c>
      <c r="AX2" s="174">
        <v>0.624</v>
      </c>
      <c r="AY2" s="175">
        <v>0.245</v>
      </c>
      <c r="AZ2" s="114">
        <f>AY2*10</f>
        <v>2.4500000000000002</v>
      </c>
      <c r="BA2" s="114">
        <f>AY2*15</f>
        <v>3.6749999999999998</v>
      </c>
    </row>
    <row r="3" spans="1:53" ht="18.75" x14ac:dyDescent="0.3">
      <c r="A3" s="94" t="s">
        <v>180</v>
      </c>
      <c r="B3" s="94" t="s">
        <v>100</v>
      </c>
      <c r="C3" s="96" t="s">
        <v>71</v>
      </c>
      <c r="D3" s="94" t="s">
        <v>72</v>
      </c>
      <c r="E3" s="94" t="s">
        <v>61</v>
      </c>
      <c r="F3" s="94" t="s">
        <v>74</v>
      </c>
      <c r="G3" s="94" t="s">
        <v>75</v>
      </c>
      <c r="H3" s="94" t="s">
        <v>68</v>
      </c>
      <c r="I3" s="94" t="s">
        <v>106</v>
      </c>
      <c r="J3" s="94" t="s">
        <v>77</v>
      </c>
      <c r="K3" s="94" t="s">
        <v>78</v>
      </c>
      <c r="L3" s="94" t="s">
        <v>79</v>
      </c>
      <c r="M3" s="94" t="s">
        <v>80</v>
      </c>
      <c r="N3" s="94" t="s">
        <v>81</v>
      </c>
      <c r="O3" s="94" t="s">
        <v>74</v>
      </c>
      <c r="P3" s="145" t="s">
        <v>72</v>
      </c>
      <c r="Q3" s="145" t="s">
        <v>61</v>
      </c>
      <c r="R3" s="144" t="s">
        <v>68</v>
      </c>
      <c r="S3" s="144" t="s">
        <v>106</v>
      </c>
      <c r="T3" s="144" t="s">
        <v>77</v>
      </c>
      <c r="U3" s="144" t="s">
        <v>78</v>
      </c>
      <c r="V3" s="144" t="s">
        <v>79</v>
      </c>
      <c r="W3" s="144" t="s">
        <v>80</v>
      </c>
      <c r="X3" s="144" t="s">
        <v>81</v>
      </c>
      <c r="Y3" s="144" t="s">
        <v>74</v>
      </c>
      <c r="Z3" s="144" t="s">
        <v>106</v>
      </c>
      <c r="AA3" s="144" t="s">
        <v>77</v>
      </c>
      <c r="AB3" s="144" t="s">
        <v>78</v>
      </c>
      <c r="AC3" s="144" t="s">
        <v>79</v>
      </c>
      <c r="AD3" s="144" t="s">
        <v>80</v>
      </c>
      <c r="AE3" s="144" t="s">
        <v>81</v>
      </c>
      <c r="AF3" s="144" t="s">
        <v>74</v>
      </c>
      <c r="AH3" s="693">
        <v>451</v>
      </c>
      <c r="AI3" s="694"/>
      <c r="AJ3" s="112" t="s">
        <v>204</v>
      </c>
      <c r="AK3" s="112" t="s">
        <v>205</v>
      </c>
      <c r="AL3" s="112" t="s">
        <v>215</v>
      </c>
      <c r="AM3" s="112" t="s">
        <v>206</v>
      </c>
      <c r="AN3" s="112" t="s">
        <v>207</v>
      </c>
      <c r="AO3" s="112" t="s">
        <v>208</v>
      </c>
      <c r="AP3" s="112" t="s">
        <v>209</v>
      </c>
      <c r="AQ3" s="112" t="s">
        <v>342</v>
      </c>
      <c r="AR3" s="112" t="s">
        <v>343</v>
      </c>
      <c r="AS3" s="112" t="s">
        <v>257</v>
      </c>
      <c r="AT3" s="112" t="s">
        <v>279</v>
      </c>
      <c r="AV3" s="77" t="s">
        <v>286</v>
      </c>
      <c r="AW3" s="173">
        <v>1</v>
      </c>
      <c r="AX3" s="174">
        <v>1.002</v>
      </c>
      <c r="AY3" s="175">
        <v>0.34</v>
      </c>
      <c r="AZ3" s="114">
        <f t="shared" ref="AZ3:AZ6" si="1">AY3*10</f>
        <v>3.4000000000000004</v>
      </c>
      <c r="BA3" s="114">
        <f t="shared" ref="BA3:BA6" si="2">AY3*15</f>
        <v>5.1000000000000005</v>
      </c>
    </row>
    <row r="4" spans="1:53" s="78" customFormat="1" ht="18.75" x14ac:dyDescent="0.3">
      <c r="A4" s="131" t="str">
        <f>Plantilla!A4</f>
        <v>#1</v>
      </c>
      <c r="B4" s="131" t="str">
        <f>Plantilla!B4</f>
        <v>POR</v>
      </c>
      <c r="C4" s="90" t="str">
        <f>Plantilla!D4</f>
        <v>D. Gehmacher</v>
      </c>
      <c r="D4" s="133">
        <f>Plantilla!E4</f>
        <v>35</v>
      </c>
      <c r="E4" s="138">
        <f ca="1">Plantilla!F4</f>
        <v>19</v>
      </c>
      <c r="F4" s="134"/>
      <c r="G4" s="328">
        <f>Plantilla!H4</f>
        <v>6</v>
      </c>
      <c r="H4" s="102">
        <f>Plantilla!I4</f>
        <v>23.7</v>
      </c>
      <c r="I4" s="184">
        <f>Plantilla!X4</f>
        <v>16.666666666666668</v>
      </c>
      <c r="J4" s="184">
        <f>Plantilla!Y4</f>
        <v>11.95</v>
      </c>
      <c r="K4" s="184">
        <f>Plantilla!Z4</f>
        <v>2.0699999999999985</v>
      </c>
      <c r="L4" s="184">
        <f>Plantilla!AA4</f>
        <v>2.149999999999999</v>
      </c>
      <c r="M4" s="184">
        <f>Plantilla!AB4</f>
        <v>0.95</v>
      </c>
      <c r="N4" s="184">
        <f>Plantilla!AC4</f>
        <v>0</v>
      </c>
      <c r="O4" s="184">
        <f>Plantilla!AD4</f>
        <v>18.2</v>
      </c>
      <c r="P4" s="146">
        <f t="shared" ref="P4:P5" si="3">D4</f>
        <v>35</v>
      </c>
      <c r="Q4" s="147">
        <f t="shared" ref="Q4:Q5" ca="1" si="4">E4+7</f>
        <v>26</v>
      </c>
      <c r="R4" s="92">
        <f t="shared" ref="R4:R27" si="5">H4+$R$2</f>
        <v>23.7</v>
      </c>
      <c r="S4" s="200">
        <f>I4</f>
        <v>16.666666666666668</v>
      </c>
      <c r="T4" s="200">
        <f t="shared" ref="T4:Y4" si="6">J4</f>
        <v>11.95</v>
      </c>
      <c r="U4" s="200">
        <f t="shared" si="6"/>
        <v>2.0699999999999985</v>
      </c>
      <c r="V4" s="200">
        <f t="shared" si="6"/>
        <v>2.149999999999999</v>
      </c>
      <c r="W4" s="200">
        <f t="shared" si="6"/>
        <v>0.95</v>
      </c>
      <c r="X4" s="200">
        <f t="shared" si="6"/>
        <v>0</v>
      </c>
      <c r="Y4" s="200">
        <f t="shared" si="6"/>
        <v>18.2</v>
      </c>
      <c r="Z4" s="156">
        <f t="shared" ref="Z4:Z27" si="7">S4-I4</f>
        <v>0</v>
      </c>
      <c r="AA4" s="156">
        <f t="shared" ref="AA4:AA27" si="8">T4-J4</f>
        <v>0</v>
      </c>
      <c r="AB4" s="156">
        <f t="shared" ref="AB4:AB27" si="9">U4-K4</f>
        <v>0</v>
      </c>
      <c r="AC4" s="156">
        <f t="shared" ref="AC4:AC27" si="10">V4-L4</f>
        <v>0</v>
      </c>
      <c r="AD4" s="156">
        <f t="shared" ref="AD4:AD27" si="11">W4-M4</f>
        <v>0</v>
      </c>
      <c r="AE4" s="156">
        <f t="shared" ref="AE4:AE27" si="12">X4-N4</f>
        <v>0</v>
      </c>
      <c r="AF4" s="156">
        <f t="shared" ref="AF4:AF27" si="13">Y4-O4</f>
        <v>0</v>
      </c>
      <c r="AH4" s="157" t="s">
        <v>1</v>
      </c>
      <c r="AI4" s="99"/>
      <c r="AJ4" s="162">
        <v>0</v>
      </c>
      <c r="AK4" s="162">
        <v>0</v>
      </c>
      <c r="AL4" s="162">
        <v>0</v>
      </c>
      <c r="AM4" s="162">
        <v>0</v>
      </c>
      <c r="AN4" s="162">
        <v>0</v>
      </c>
      <c r="AO4" s="162">
        <v>0</v>
      </c>
      <c r="AP4" s="162">
        <v>0</v>
      </c>
      <c r="AQ4" s="225">
        <v>0</v>
      </c>
      <c r="AR4" s="225">
        <f>0.08*Z4+0.1*AF4</f>
        <v>0</v>
      </c>
      <c r="AS4" s="165">
        <v>0</v>
      </c>
      <c r="AT4" s="165">
        <v>0</v>
      </c>
      <c r="AV4" s="77" t="s">
        <v>287</v>
      </c>
      <c r="AW4" s="173">
        <v>1</v>
      </c>
      <c r="AX4" s="174">
        <v>0.46800000000000003</v>
      </c>
      <c r="AY4" s="175">
        <v>0.125</v>
      </c>
      <c r="AZ4" s="114">
        <f t="shared" si="1"/>
        <v>1.25</v>
      </c>
      <c r="BA4" s="114">
        <f t="shared" si="2"/>
        <v>1.875</v>
      </c>
    </row>
    <row r="5" spans="1:53" s="75" customFormat="1" ht="18.75" x14ac:dyDescent="0.3">
      <c r="A5" s="131" t="str">
        <f>Plantilla!A5</f>
        <v>#25</v>
      </c>
      <c r="B5" s="131" t="str">
        <f>Plantilla!B5</f>
        <v>POR</v>
      </c>
      <c r="C5" s="90" t="str">
        <f>Plantilla!D5</f>
        <v>T. Hammond</v>
      </c>
      <c r="D5" s="133">
        <f>Plantilla!E5</f>
        <v>39</v>
      </c>
      <c r="E5" s="138">
        <f ca="1">Plantilla!F5</f>
        <v>28</v>
      </c>
      <c r="F5" s="134" t="str">
        <f>Plantilla!G5</f>
        <v>CAB</v>
      </c>
      <c r="G5" s="328">
        <f>Plantilla!H5</f>
        <v>3</v>
      </c>
      <c r="H5" s="102">
        <f>Plantilla!I5</f>
        <v>8.4</v>
      </c>
      <c r="I5" s="184">
        <f>Plantilla!X5</f>
        <v>7.95</v>
      </c>
      <c r="J5" s="184">
        <f>Plantilla!Y5</f>
        <v>6.95</v>
      </c>
      <c r="K5" s="184">
        <f>Plantilla!Z5</f>
        <v>0.95</v>
      </c>
      <c r="L5" s="184">
        <f>Plantilla!AA5</f>
        <v>0.95</v>
      </c>
      <c r="M5" s="184">
        <f>Plantilla!AB5</f>
        <v>1.95</v>
      </c>
      <c r="N5" s="184">
        <f>Plantilla!AC5</f>
        <v>0</v>
      </c>
      <c r="O5" s="184">
        <f>Plantilla!AD5</f>
        <v>14.95</v>
      </c>
      <c r="P5" s="146">
        <f t="shared" si="3"/>
        <v>39</v>
      </c>
      <c r="Q5" s="147">
        <f t="shared" ca="1" si="4"/>
        <v>35</v>
      </c>
      <c r="R5" s="92">
        <f t="shared" si="5"/>
        <v>8.4</v>
      </c>
      <c r="S5" s="200">
        <f t="shared" ref="S5:S12" si="14">I5</f>
        <v>7.95</v>
      </c>
      <c r="T5" s="200">
        <f t="shared" ref="T5:T12" si="15">J5</f>
        <v>6.95</v>
      </c>
      <c r="U5" s="200">
        <f t="shared" ref="U5:U12" si="16">K5</f>
        <v>0.95</v>
      </c>
      <c r="V5" s="200">
        <f t="shared" ref="V5:V12" si="17">L5</f>
        <v>0.95</v>
      </c>
      <c r="W5" s="200">
        <f t="shared" ref="W5:W12" si="18">M5</f>
        <v>1.95</v>
      </c>
      <c r="X5" s="200">
        <f t="shared" ref="X5:X12" si="19">N5</f>
        <v>0</v>
      </c>
      <c r="Y5" s="200">
        <f t="shared" ref="Y5:Y12" si="20">O5</f>
        <v>14.95</v>
      </c>
      <c r="Z5" s="156">
        <f t="shared" si="7"/>
        <v>0</v>
      </c>
      <c r="AA5" s="156">
        <f t="shared" si="8"/>
        <v>0</v>
      </c>
      <c r="AB5" s="156">
        <f t="shared" si="9"/>
        <v>0</v>
      </c>
      <c r="AC5" s="156">
        <f t="shared" si="10"/>
        <v>0</v>
      </c>
      <c r="AD5" s="156">
        <f t="shared" si="11"/>
        <v>0</v>
      </c>
      <c r="AE5" s="156">
        <f t="shared" si="12"/>
        <v>0</v>
      </c>
      <c r="AF5" s="156">
        <f t="shared" si="13"/>
        <v>0</v>
      </c>
      <c r="AH5" s="158" t="s">
        <v>260</v>
      </c>
      <c r="AI5" s="100"/>
      <c r="AJ5" s="162">
        <v>0</v>
      </c>
      <c r="AK5" s="162">
        <v>0</v>
      </c>
      <c r="AL5" s="162">
        <v>0</v>
      </c>
      <c r="AM5" s="163">
        <v>0</v>
      </c>
      <c r="AN5" s="163">
        <f>AC19*0.588</f>
        <v>0</v>
      </c>
      <c r="AO5" s="163">
        <v>0</v>
      </c>
      <c r="AP5" s="163">
        <v>0</v>
      </c>
      <c r="AQ5" s="166">
        <f>(0.5*AE19+0.3*AF19)/10</f>
        <v>0.14166666666666669</v>
      </c>
      <c r="AR5" s="166">
        <f>(0.4*AA19+0.3*AF19)/10</f>
        <v>0</v>
      </c>
      <c r="AS5" s="166">
        <f>((T19+1)+(W19+1)*2)/8</f>
        <v>2.25</v>
      </c>
      <c r="AT5" s="166">
        <f>((AA19)+(AD19)*2)/8</f>
        <v>0</v>
      </c>
      <c r="AV5" s="77" t="s">
        <v>288</v>
      </c>
      <c r="AW5" s="173">
        <v>1</v>
      </c>
      <c r="AX5" s="174">
        <v>0.877</v>
      </c>
      <c r="AY5" s="175">
        <v>0.25</v>
      </c>
      <c r="AZ5" s="114">
        <f t="shared" si="1"/>
        <v>2.5</v>
      </c>
      <c r="BA5" s="114">
        <f t="shared" si="2"/>
        <v>3.75</v>
      </c>
    </row>
    <row r="6" spans="1:53" s="81" customFormat="1" ht="18.75" x14ac:dyDescent="0.3">
      <c r="A6" s="131" t="str">
        <f>Plantilla!A6</f>
        <v>#2</v>
      </c>
      <c r="B6" s="131" t="str">
        <f>Plantilla!B6</f>
        <v>DEF</v>
      </c>
      <c r="C6" s="90" t="str">
        <f>Plantilla!D6</f>
        <v>E. Toney</v>
      </c>
      <c r="D6" s="133">
        <f>Plantilla!E6</f>
        <v>36</v>
      </c>
      <c r="E6" s="138">
        <f ca="1">Plantilla!F6</f>
        <v>30</v>
      </c>
      <c r="F6" s="134"/>
      <c r="G6" s="328">
        <f>Plantilla!H6</f>
        <v>4</v>
      </c>
      <c r="H6" s="102">
        <f>Plantilla!I6</f>
        <v>18</v>
      </c>
      <c r="I6" s="184">
        <f>Plantilla!X6</f>
        <v>0</v>
      </c>
      <c r="J6" s="184">
        <f>Plantilla!Y6</f>
        <v>11.95</v>
      </c>
      <c r="K6" s="184">
        <f>Plantilla!Z6</f>
        <v>12.95</v>
      </c>
      <c r="L6" s="184">
        <f>Plantilla!AA6</f>
        <v>8.9499999999999993</v>
      </c>
      <c r="M6" s="184">
        <f>Plantilla!AB6</f>
        <v>8.9499999999999993</v>
      </c>
      <c r="N6" s="184">
        <f>Plantilla!AC6</f>
        <v>0.95</v>
      </c>
      <c r="O6" s="184">
        <f>Plantilla!AD6</f>
        <v>17.177777777777774</v>
      </c>
      <c r="P6" s="146">
        <f t="shared" ref="P6:P27" si="21">D6</f>
        <v>36</v>
      </c>
      <c r="Q6" s="147">
        <f t="shared" ref="Q6:Q27" ca="1" si="22">E6+7</f>
        <v>37</v>
      </c>
      <c r="R6" s="92">
        <f t="shared" si="5"/>
        <v>18</v>
      </c>
      <c r="S6" s="200">
        <f t="shared" si="14"/>
        <v>0</v>
      </c>
      <c r="T6" s="200">
        <f t="shared" si="15"/>
        <v>11.95</v>
      </c>
      <c r="U6" s="200">
        <f t="shared" si="16"/>
        <v>12.95</v>
      </c>
      <c r="V6" s="200">
        <f t="shared" si="17"/>
        <v>8.9499999999999993</v>
      </c>
      <c r="W6" s="200">
        <f t="shared" si="18"/>
        <v>8.9499999999999993</v>
      </c>
      <c r="X6" s="200">
        <f t="shared" si="19"/>
        <v>0.95</v>
      </c>
      <c r="Y6" s="200">
        <f t="shared" si="20"/>
        <v>17.177777777777774</v>
      </c>
      <c r="Z6" s="156">
        <f t="shared" si="7"/>
        <v>0</v>
      </c>
      <c r="AA6" s="156">
        <f t="shared" si="8"/>
        <v>0</v>
      </c>
      <c r="AB6" s="156">
        <f t="shared" si="9"/>
        <v>0</v>
      </c>
      <c r="AC6" s="156">
        <f t="shared" si="10"/>
        <v>0</v>
      </c>
      <c r="AD6" s="156">
        <f t="shared" si="11"/>
        <v>0</v>
      </c>
      <c r="AE6" s="156">
        <f t="shared" si="12"/>
        <v>0</v>
      </c>
      <c r="AF6" s="156">
        <f t="shared" si="13"/>
        <v>0</v>
      </c>
      <c r="AH6" s="159" t="s">
        <v>276</v>
      </c>
      <c r="AI6" s="100"/>
      <c r="AJ6" s="162">
        <v>0</v>
      </c>
      <c r="AK6" s="162">
        <v>0</v>
      </c>
      <c r="AL6" s="162">
        <v>0</v>
      </c>
      <c r="AM6" s="164">
        <v>0</v>
      </c>
      <c r="AN6" s="164">
        <v>0</v>
      </c>
      <c r="AO6" s="164">
        <v>0</v>
      </c>
      <c r="AP6" s="164">
        <v>0</v>
      </c>
      <c r="AQ6" s="167">
        <f>(0.5*AE15+0.3*AF15)/10</f>
        <v>0.17</v>
      </c>
      <c r="AR6" s="167">
        <f>(0.4*AA15+0.3*AF15)/10</f>
        <v>0</v>
      </c>
      <c r="AS6" s="166">
        <f>((T15+1)+(W15+1)*2)/8</f>
        <v>1.375</v>
      </c>
      <c r="AT6" s="166">
        <f>((AA15)+(AD15)*2)/8</f>
        <v>0</v>
      </c>
      <c r="AV6" s="77" t="s">
        <v>289</v>
      </c>
      <c r="AW6" s="173">
        <v>1</v>
      </c>
      <c r="AX6" s="174">
        <v>0.59299999999999997</v>
      </c>
      <c r="AY6" s="175">
        <v>0.19</v>
      </c>
      <c r="AZ6" s="114">
        <f t="shared" si="1"/>
        <v>1.9</v>
      </c>
      <c r="BA6" s="114">
        <f t="shared" si="2"/>
        <v>2.85</v>
      </c>
    </row>
    <row r="7" spans="1:53" s="81" customFormat="1" x14ac:dyDescent="0.25">
      <c r="A7" s="131" t="str">
        <f>Plantilla!A7</f>
        <v>#24</v>
      </c>
      <c r="B7" s="131" t="str">
        <f>Plantilla!B7</f>
        <v>DEF</v>
      </c>
      <c r="C7" s="90" t="str">
        <f>Plantilla!D7</f>
        <v>B. Bartolache</v>
      </c>
      <c r="D7" s="133">
        <f>Plantilla!E7</f>
        <v>36</v>
      </c>
      <c r="E7" s="138">
        <f ca="1">Plantilla!F7</f>
        <v>15</v>
      </c>
      <c r="F7" s="134"/>
      <c r="G7" s="328">
        <f>Plantilla!H7</f>
        <v>3</v>
      </c>
      <c r="H7" s="102">
        <f>Plantilla!I7</f>
        <v>11.8</v>
      </c>
      <c r="I7" s="184">
        <f>Plantilla!X7</f>
        <v>0</v>
      </c>
      <c r="J7" s="184">
        <f>Plantilla!Y7</f>
        <v>11.95</v>
      </c>
      <c r="K7" s="184">
        <f>Plantilla!Z7</f>
        <v>5.95</v>
      </c>
      <c r="L7" s="184">
        <f>Plantilla!AA7</f>
        <v>6.95</v>
      </c>
      <c r="M7" s="184">
        <f>Plantilla!AB7</f>
        <v>7.95</v>
      </c>
      <c r="N7" s="184">
        <f>Plantilla!AC7</f>
        <v>1.95</v>
      </c>
      <c r="O7" s="184">
        <f>Plantilla!AD7</f>
        <v>16</v>
      </c>
      <c r="P7" s="146">
        <f t="shared" si="21"/>
        <v>36</v>
      </c>
      <c r="Q7" s="147">
        <f t="shared" ca="1" si="22"/>
        <v>22</v>
      </c>
      <c r="R7" s="92">
        <f t="shared" si="5"/>
        <v>11.8</v>
      </c>
      <c r="S7" s="200">
        <f t="shared" si="14"/>
        <v>0</v>
      </c>
      <c r="T7" s="200">
        <f t="shared" si="15"/>
        <v>11.95</v>
      </c>
      <c r="U7" s="200">
        <f t="shared" si="16"/>
        <v>5.95</v>
      </c>
      <c r="V7" s="200">
        <f t="shared" si="17"/>
        <v>6.95</v>
      </c>
      <c r="W7" s="200">
        <f t="shared" si="18"/>
        <v>7.95</v>
      </c>
      <c r="X7" s="200">
        <f t="shared" si="19"/>
        <v>1.95</v>
      </c>
      <c r="Y7" s="200">
        <f t="shared" si="20"/>
        <v>16</v>
      </c>
      <c r="Z7" s="156">
        <f t="shared" si="7"/>
        <v>0</v>
      </c>
      <c r="AA7" s="156">
        <f t="shared" si="8"/>
        <v>0</v>
      </c>
      <c r="AB7" s="156">
        <f t="shared" si="9"/>
        <v>0</v>
      </c>
      <c r="AC7" s="156">
        <f t="shared" si="10"/>
        <v>0</v>
      </c>
      <c r="AD7" s="156">
        <f t="shared" si="11"/>
        <v>0</v>
      </c>
      <c r="AE7" s="156">
        <f t="shared" si="12"/>
        <v>0</v>
      </c>
      <c r="AF7" s="156">
        <f t="shared" si="13"/>
        <v>0</v>
      </c>
      <c r="AH7" s="159" t="s">
        <v>276</v>
      </c>
      <c r="AI7" s="100"/>
      <c r="AJ7" s="162">
        <v>0</v>
      </c>
      <c r="AK7" s="162">
        <v>0</v>
      </c>
      <c r="AL7" s="162">
        <v>0</v>
      </c>
      <c r="AM7" s="164">
        <v>0</v>
      </c>
      <c r="AN7" s="164">
        <v>0</v>
      </c>
      <c r="AO7" s="164">
        <f>AC8*0.588</f>
        <v>0</v>
      </c>
      <c r="AP7" s="164">
        <v>0</v>
      </c>
      <c r="AQ7" s="167">
        <f>(0.5*AE8+0.3*AF8)/10</f>
        <v>0</v>
      </c>
      <c r="AR7" s="167">
        <f>(0.4*AA8+0.3*AF8)/10</f>
        <v>0</v>
      </c>
      <c r="AS7" s="166">
        <f>((T8+1)+(W8+1)*2)/8</f>
        <v>3.7914166666666662</v>
      </c>
      <c r="AT7" s="166">
        <f>((AA8)+(AD8)*2)/8</f>
        <v>0</v>
      </c>
    </row>
    <row r="8" spans="1:53" s="82" customFormat="1" x14ac:dyDescent="0.25">
      <c r="A8" s="131" t="str">
        <f>Plantilla!A8</f>
        <v>#13</v>
      </c>
      <c r="B8" s="131" t="str">
        <f>Plantilla!B8</f>
        <v>DEF</v>
      </c>
      <c r="C8" s="90" t="str">
        <f>Plantilla!D8</f>
        <v>F. Lasprilla</v>
      </c>
      <c r="D8" s="133">
        <f>Plantilla!E8</f>
        <v>32</v>
      </c>
      <c r="E8" s="138">
        <f ca="1">Plantilla!F8</f>
        <v>38</v>
      </c>
      <c r="F8" s="134"/>
      <c r="G8" s="328">
        <f>Plantilla!H8</f>
        <v>4</v>
      </c>
      <c r="H8" s="102">
        <f>Plantilla!I8</f>
        <v>6.3</v>
      </c>
      <c r="I8" s="184">
        <f>Plantilla!X8</f>
        <v>0</v>
      </c>
      <c r="J8" s="184">
        <f>Plantilla!Y8</f>
        <v>9.6046666666666667</v>
      </c>
      <c r="K8" s="184">
        <f>Plantilla!Z8</f>
        <v>8</v>
      </c>
      <c r="L8" s="184">
        <f>Plantilla!AA8</f>
        <v>6.1599999999999984</v>
      </c>
      <c r="M8" s="184">
        <f>Plantilla!AB8</f>
        <v>8.8633333333333315</v>
      </c>
      <c r="N8" s="184">
        <f>Plantilla!AC8</f>
        <v>2.95</v>
      </c>
      <c r="O8" s="184">
        <f>Plantilla!AD8</f>
        <v>13.33611111111111</v>
      </c>
      <c r="P8" s="146">
        <f t="shared" si="21"/>
        <v>32</v>
      </c>
      <c r="Q8" s="147">
        <f t="shared" ca="1" si="22"/>
        <v>45</v>
      </c>
      <c r="R8" s="92">
        <f t="shared" si="5"/>
        <v>6.3</v>
      </c>
      <c r="S8" s="200">
        <f t="shared" si="14"/>
        <v>0</v>
      </c>
      <c r="T8" s="200">
        <f t="shared" si="15"/>
        <v>9.6046666666666667</v>
      </c>
      <c r="U8" s="200">
        <f t="shared" si="16"/>
        <v>8</v>
      </c>
      <c r="V8" s="200">
        <f t="shared" si="17"/>
        <v>6.1599999999999984</v>
      </c>
      <c r="W8" s="200">
        <f t="shared" si="18"/>
        <v>8.8633333333333315</v>
      </c>
      <c r="X8" s="200">
        <f t="shared" si="19"/>
        <v>2.95</v>
      </c>
      <c r="Y8" s="200">
        <f t="shared" si="20"/>
        <v>13.33611111111111</v>
      </c>
      <c r="Z8" s="156">
        <f t="shared" si="7"/>
        <v>0</v>
      </c>
      <c r="AA8" s="156">
        <f t="shared" si="8"/>
        <v>0</v>
      </c>
      <c r="AB8" s="156">
        <f t="shared" si="9"/>
        <v>0</v>
      </c>
      <c r="AC8" s="156">
        <f t="shared" si="10"/>
        <v>0</v>
      </c>
      <c r="AD8" s="156">
        <f t="shared" si="11"/>
        <v>0</v>
      </c>
      <c r="AE8" s="156">
        <f t="shared" si="12"/>
        <v>0</v>
      </c>
      <c r="AF8" s="156">
        <f t="shared" si="13"/>
        <v>0</v>
      </c>
      <c r="AH8" s="158" t="s">
        <v>260</v>
      </c>
      <c r="AI8" s="99"/>
      <c r="AJ8" s="162">
        <v>0</v>
      </c>
      <c r="AK8" s="162">
        <v>0</v>
      </c>
      <c r="AL8" s="162">
        <v>0</v>
      </c>
      <c r="AM8" s="162">
        <v>0</v>
      </c>
      <c r="AN8" s="162" t="e">
        <f>(#REF!*0.864)+(#REF!*0.244)</f>
        <v>#REF!</v>
      </c>
      <c r="AO8" s="162">
        <v>0</v>
      </c>
      <c r="AP8" s="162" t="e">
        <f>(#REF!*0.121)</f>
        <v>#REF!</v>
      </c>
      <c r="AQ8" s="167" t="e">
        <f>(0.5*#REF!+0.3*#REF!)/10</f>
        <v>#REF!</v>
      </c>
      <c r="AR8" s="167" t="e">
        <f>(0.4*#REF!+0.3*#REF!)/10</f>
        <v>#REF!</v>
      </c>
      <c r="AS8" s="165">
        <v>0</v>
      </c>
      <c r="AT8" s="165">
        <v>0</v>
      </c>
    </row>
    <row r="9" spans="1:53" s="81" customFormat="1" x14ac:dyDescent="0.25">
      <c r="A9" s="131" t="str">
        <f>Plantilla!A9</f>
        <v>#7</v>
      </c>
      <c r="B9" s="131" t="str">
        <f>Plantilla!B9</f>
        <v>DEF</v>
      </c>
      <c r="C9" s="90" t="str">
        <f>Plantilla!D9</f>
        <v>E. Romweber</v>
      </c>
      <c r="D9" s="133">
        <f>Plantilla!E9</f>
        <v>35</v>
      </c>
      <c r="E9" s="138">
        <f ca="1">Plantilla!F9</f>
        <v>104</v>
      </c>
      <c r="F9" s="134" t="str">
        <f>Plantilla!G9</f>
        <v>IMP</v>
      </c>
      <c r="G9" s="328">
        <f>Plantilla!H9</f>
        <v>0</v>
      </c>
      <c r="H9" s="102">
        <f>Plantilla!I9</f>
        <v>17.100000000000001</v>
      </c>
      <c r="I9" s="184">
        <f>Plantilla!X9</f>
        <v>0</v>
      </c>
      <c r="J9" s="184">
        <f>Plantilla!Y9</f>
        <v>11.95</v>
      </c>
      <c r="K9" s="184">
        <f>Plantilla!Z9</f>
        <v>11.95</v>
      </c>
      <c r="L9" s="184">
        <f>Plantilla!AA9</f>
        <v>12.95</v>
      </c>
      <c r="M9" s="184">
        <f>Plantilla!AB9</f>
        <v>9.9499999999999993</v>
      </c>
      <c r="N9" s="184">
        <f>Plantilla!AC9</f>
        <v>5.95</v>
      </c>
      <c r="O9" s="184">
        <f>Plantilla!AD9</f>
        <v>17.529999999999998</v>
      </c>
      <c r="P9" s="146">
        <f t="shared" si="21"/>
        <v>35</v>
      </c>
      <c r="Q9" s="147">
        <f t="shared" ca="1" si="22"/>
        <v>111</v>
      </c>
      <c r="R9" s="92">
        <f t="shared" si="5"/>
        <v>17.100000000000001</v>
      </c>
      <c r="S9" s="200">
        <f t="shared" si="14"/>
        <v>0</v>
      </c>
      <c r="T9" s="200">
        <f t="shared" si="15"/>
        <v>11.95</v>
      </c>
      <c r="U9" s="200">
        <f t="shared" si="16"/>
        <v>11.95</v>
      </c>
      <c r="V9" s="200">
        <f t="shared" si="17"/>
        <v>12.95</v>
      </c>
      <c r="W9" s="200">
        <f t="shared" si="18"/>
        <v>9.9499999999999993</v>
      </c>
      <c r="X9" s="200">
        <f t="shared" si="19"/>
        <v>5.95</v>
      </c>
      <c r="Y9" s="200">
        <f t="shared" si="20"/>
        <v>17.529999999999998</v>
      </c>
      <c r="Z9" s="156">
        <f t="shared" si="7"/>
        <v>0</v>
      </c>
      <c r="AA9" s="156">
        <f t="shared" si="8"/>
        <v>0</v>
      </c>
      <c r="AB9" s="156">
        <f t="shared" si="9"/>
        <v>0</v>
      </c>
      <c r="AC9" s="156">
        <f t="shared" si="10"/>
        <v>0</v>
      </c>
      <c r="AD9" s="156">
        <f t="shared" si="11"/>
        <v>0</v>
      </c>
      <c r="AE9" s="156">
        <f t="shared" si="12"/>
        <v>0</v>
      </c>
      <c r="AF9" s="156">
        <f t="shared" si="13"/>
        <v>0</v>
      </c>
      <c r="AH9" s="159" t="s">
        <v>353</v>
      </c>
      <c r="AI9" s="79" t="str">
        <f>C15</f>
        <v>G. Piscaer</v>
      </c>
      <c r="AJ9" s="164">
        <f>AA15*0.189</f>
        <v>0</v>
      </c>
      <c r="AK9" s="164">
        <v>0</v>
      </c>
      <c r="AL9" s="164">
        <f>AA15*0.4</f>
        <v>0</v>
      </c>
      <c r="AM9" s="164">
        <f>AB15*1</f>
        <v>8.0000000000000018</v>
      </c>
      <c r="AN9" s="164">
        <f>(AC13*0.574)+(AD13*0.315)</f>
        <v>0</v>
      </c>
      <c r="AO9" s="164">
        <v>0</v>
      </c>
      <c r="AP9" s="164">
        <f>AD13*0.241</f>
        <v>0</v>
      </c>
      <c r="AQ9" s="167">
        <f>(0.5*AE13+0.3*AF13)/10</f>
        <v>0.17</v>
      </c>
      <c r="AR9" s="167">
        <f>(0.4*AA13+0.3*AF13)/10</f>
        <v>0</v>
      </c>
      <c r="AS9" s="167">
        <v>0</v>
      </c>
      <c r="AT9" s="167">
        <v>0</v>
      </c>
    </row>
    <row r="10" spans="1:53" s="2" customFormat="1" x14ac:dyDescent="0.25">
      <c r="A10" s="131" t="str">
        <f>Plantilla!A10</f>
        <v>#6</v>
      </c>
      <c r="B10" s="131" t="str">
        <f>Plantilla!B10</f>
        <v>DEF</v>
      </c>
      <c r="C10" s="90" t="str">
        <f>Plantilla!D10</f>
        <v>S. Buschelman</v>
      </c>
      <c r="D10" s="133">
        <f>Plantilla!E10</f>
        <v>34</v>
      </c>
      <c r="E10" s="138">
        <f ca="1">Plantilla!F10</f>
        <v>63</v>
      </c>
      <c r="F10" s="134" t="str">
        <f>Plantilla!G10</f>
        <v>TEC</v>
      </c>
      <c r="G10" s="328">
        <f>Plantilla!H10</f>
        <v>3</v>
      </c>
      <c r="H10" s="102">
        <f>Plantilla!I10</f>
        <v>14.8</v>
      </c>
      <c r="I10" s="184">
        <f>Plantilla!X10</f>
        <v>0</v>
      </c>
      <c r="J10" s="184">
        <f>Plantilla!Y10</f>
        <v>9.3036666666666648</v>
      </c>
      <c r="K10" s="184">
        <f>Plantilla!Z10</f>
        <v>14</v>
      </c>
      <c r="L10" s="184">
        <f>Plantilla!AA10</f>
        <v>12.945</v>
      </c>
      <c r="M10" s="184">
        <f>Plantilla!AB10</f>
        <v>9.9499999999999993</v>
      </c>
      <c r="N10" s="184">
        <f>Plantilla!AC10</f>
        <v>3.95</v>
      </c>
      <c r="O10" s="184">
        <f>Plantilla!AD10</f>
        <v>16</v>
      </c>
      <c r="P10" s="146">
        <f t="shared" si="21"/>
        <v>34</v>
      </c>
      <c r="Q10" s="147">
        <f t="shared" ca="1" si="22"/>
        <v>70</v>
      </c>
      <c r="R10" s="92">
        <f t="shared" si="5"/>
        <v>14.8</v>
      </c>
      <c r="S10" s="200">
        <f t="shared" si="14"/>
        <v>0</v>
      </c>
      <c r="T10" s="200">
        <f t="shared" si="15"/>
        <v>9.3036666666666648</v>
      </c>
      <c r="U10" s="200">
        <f t="shared" si="16"/>
        <v>14</v>
      </c>
      <c r="V10" s="200">
        <f t="shared" si="17"/>
        <v>12.945</v>
      </c>
      <c r="W10" s="200">
        <f t="shared" si="18"/>
        <v>9.9499999999999993</v>
      </c>
      <c r="X10" s="200">
        <f t="shared" si="19"/>
        <v>3.95</v>
      </c>
      <c r="Y10" s="200">
        <f t="shared" si="20"/>
        <v>16</v>
      </c>
      <c r="Z10" s="156">
        <f t="shared" si="7"/>
        <v>0</v>
      </c>
      <c r="AA10" s="156">
        <f t="shared" si="8"/>
        <v>0</v>
      </c>
      <c r="AB10" s="156">
        <f t="shared" si="9"/>
        <v>0</v>
      </c>
      <c r="AC10" s="156">
        <f t="shared" si="10"/>
        <v>0</v>
      </c>
      <c r="AD10" s="156">
        <f t="shared" si="11"/>
        <v>0</v>
      </c>
      <c r="AE10" s="156">
        <f t="shared" si="12"/>
        <v>0</v>
      </c>
      <c r="AF10" s="156">
        <f t="shared" si="13"/>
        <v>0</v>
      </c>
      <c r="AH10" s="159" t="s">
        <v>679</v>
      </c>
      <c r="AI10" s="79" t="str">
        <f>C18</f>
        <v>R. Forsyth</v>
      </c>
      <c r="AJ10" s="164">
        <f>AA18*((0.27+0.135)/2)</f>
        <v>0</v>
      </c>
      <c r="AK10" s="164">
        <f>AJ10</f>
        <v>0</v>
      </c>
      <c r="AL10" s="164">
        <f>AA18*0.594</f>
        <v>0</v>
      </c>
      <c r="AM10" s="164">
        <f>AB18*0.944</f>
        <v>7.5519999999999996</v>
      </c>
      <c r="AN10" s="164">
        <f>AD16*0.188</f>
        <v>0</v>
      </c>
      <c r="AO10" s="164">
        <f>AN10</f>
        <v>0</v>
      </c>
      <c r="AP10" s="164">
        <f>AD16*0.507+AE16*0.31</f>
        <v>1.054</v>
      </c>
      <c r="AQ10" s="167">
        <f>(0.5*AE16+0.3*AF16)/10</f>
        <v>0.17</v>
      </c>
      <c r="AR10" s="167">
        <f>(0.4*AA16+0.3*AF16)/10</f>
        <v>0</v>
      </c>
      <c r="AS10" s="167">
        <v>0</v>
      </c>
      <c r="AT10" s="167">
        <v>0</v>
      </c>
    </row>
    <row r="11" spans="1:53" x14ac:dyDescent="0.25">
      <c r="A11" s="131" t="str">
        <f>Plantilla!A11</f>
        <v>#12</v>
      </c>
      <c r="B11" s="131" t="str">
        <f>Plantilla!B11</f>
        <v>DEF</v>
      </c>
      <c r="C11" s="90" t="str">
        <f>Plantilla!D11</f>
        <v>E. Gross</v>
      </c>
      <c r="D11" s="133">
        <f>Plantilla!E11</f>
        <v>35</v>
      </c>
      <c r="E11" s="138">
        <f ca="1">Plantilla!F11</f>
        <v>91</v>
      </c>
      <c r="F11" s="134"/>
      <c r="G11" s="328">
        <f>Plantilla!H11</f>
        <v>3</v>
      </c>
      <c r="H11" s="102">
        <f>Plantilla!I11</f>
        <v>13.1</v>
      </c>
      <c r="I11" s="184">
        <f>Plantilla!X11</f>
        <v>0</v>
      </c>
      <c r="J11" s="184">
        <f>Plantilla!Y11</f>
        <v>10.549999999999995</v>
      </c>
      <c r="K11" s="184">
        <f>Plantilla!Z11</f>
        <v>12.95</v>
      </c>
      <c r="L11" s="184">
        <f>Plantilla!AA11</f>
        <v>3.95</v>
      </c>
      <c r="M11" s="184">
        <f>Plantilla!AB11</f>
        <v>8.9499999999999993</v>
      </c>
      <c r="N11" s="184">
        <f>Plantilla!AC11</f>
        <v>0.95</v>
      </c>
      <c r="O11" s="184">
        <f>Plantilla!AD11</f>
        <v>17.3</v>
      </c>
      <c r="P11" s="146">
        <f t="shared" si="21"/>
        <v>35</v>
      </c>
      <c r="Q11" s="147">
        <f t="shared" ca="1" si="22"/>
        <v>98</v>
      </c>
      <c r="R11" s="92">
        <f t="shared" si="5"/>
        <v>13.1</v>
      </c>
      <c r="S11" s="200">
        <f t="shared" si="14"/>
        <v>0</v>
      </c>
      <c r="T11" s="200">
        <f t="shared" si="15"/>
        <v>10.549999999999995</v>
      </c>
      <c r="U11" s="200">
        <f t="shared" si="16"/>
        <v>12.95</v>
      </c>
      <c r="V11" s="200">
        <f t="shared" si="17"/>
        <v>3.95</v>
      </c>
      <c r="W11" s="200">
        <f t="shared" si="18"/>
        <v>8.9499999999999993</v>
      </c>
      <c r="X11" s="200">
        <f t="shared" si="19"/>
        <v>0.95</v>
      </c>
      <c r="Y11" s="200">
        <f t="shared" si="20"/>
        <v>17.3</v>
      </c>
      <c r="Z11" s="156">
        <f t="shared" si="7"/>
        <v>0</v>
      </c>
      <c r="AA11" s="156">
        <f t="shared" si="8"/>
        <v>0</v>
      </c>
      <c r="AB11" s="156">
        <f t="shared" si="9"/>
        <v>0</v>
      </c>
      <c r="AC11" s="156">
        <f t="shared" si="10"/>
        <v>0</v>
      </c>
      <c r="AD11" s="156">
        <f t="shared" si="11"/>
        <v>0</v>
      </c>
      <c r="AE11" s="156">
        <f t="shared" si="12"/>
        <v>0</v>
      </c>
      <c r="AF11" s="156">
        <f t="shared" si="13"/>
        <v>0</v>
      </c>
      <c r="AH11" s="159" t="s">
        <v>353</v>
      </c>
      <c r="AI11" s="79" t="str">
        <f>C13</f>
        <v>I. Vanags</v>
      </c>
      <c r="AJ11" s="164">
        <v>0</v>
      </c>
      <c r="AK11" s="164">
        <f>AA13*0.189</f>
        <v>0</v>
      </c>
      <c r="AL11" s="164">
        <f>AA13*0.4</f>
        <v>0</v>
      </c>
      <c r="AM11" s="164">
        <f>AB13*1</f>
        <v>8</v>
      </c>
      <c r="AN11" s="164">
        <v>0</v>
      </c>
      <c r="AO11" s="164">
        <f>(AC14*0.574)+(AD14*0.314)</f>
        <v>0</v>
      </c>
      <c r="AP11" s="164">
        <f>AD14*0.241</f>
        <v>0</v>
      </c>
      <c r="AQ11" s="167">
        <f>(0.5*AE14+0.3*AF14)/10</f>
        <v>0.14166666666666669</v>
      </c>
      <c r="AR11" s="167">
        <f>(0.4*AA14+0.3*AF14)/10</f>
        <v>0</v>
      </c>
      <c r="AS11" s="167">
        <v>0</v>
      </c>
      <c r="AT11" s="167">
        <v>0</v>
      </c>
    </row>
    <row r="12" spans="1:53" s="81" customFormat="1" x14ac:dyDescent="0.25">
      <c r="A12" s="131" t="str">
        <f>Plantilla!A12</f>
        <v>#23</v>
      </c>
      <c r="B12" s="131" t="str">
        <f>Plantilla!B12</f>
        <v>DEF</v>
      </c>
      <c r="C12" s="90" t="str">
        <f>Plantilla!D12</f>
        <v>W. Gelifini</v>
      </c>
      <c r="D12" s="133">
        <f>Plantilla!E12</f>
        <v>34</v>
      </c>
      <c r="E12" s="138">
        <f ca="1">Plantilla!F12</f>
        <v>16</v>
      </c>
      <c r="F12" s="134"/>
      <c r="G12" s="328">
        <f>Plantilla!H12</f>
        <v>2</v>
      </c>
      <c r="H12" s="102">
        <f>Plantilla!I12</f>
        <v>4.5</v>
      </c>
      <c r="I12" s="184">
        <f>Plantilla!X12</f>
        <v>0</v>
      </c>
      <c r="J12" s="184">
        <f>Plantilla!Y12</f>
        <v>5.6515555555555519</v>
      </c>
      <c r="K12" s="184">
        <f>Plantilla!Z12</f>
        <v>9</v>
      </c>
      <c r="L12" s="184">
        <f>Plantilla!AA12</f>
        <v>6.95</v>
      </c>
      <c r="M12" s="184">
        <f>Plantilla!AB12</f>
        <v>8.9499999999999993</v>
      </c>
      <c r="N12" s="184">
        <f>Plantilla!AC12</f>
        <v>2.95</v>
      </c>
      <c r="O12" s="184">
        <f>Plantilla!AD12</f>
        <v>12.847222222222223</v>
      </c>
      <c r="P12" s="146">
        <f t="shared" si="21"/>
        <v>34</v>
      </c>
      <c r="Q12" s="147">
        <f t="shared" ca="1" si="22"/>
        <v>23</v>
      </c>
      <c r="R12" s="92">
        <f t="shared" si="5"/>
        <v>4.5</v>
      </c>
      <c r="S12" s="200">
        <f t="shared" si="14"/>
        <v>0</v>
      </c>
      <c r="T12" s="200">
        <f t="shared" si="15"/>
        <v>5.6515555555555519</v>
      </c>
      <c r="U12" s="200">
        <f t="shared" si="16"/>
        <v>9</v>
      </c>
      <c r="V12" s="200">
        <f t="shared" si="17"/>
        <v>6.95</v>
      </c>
      <c r="W12" s="200">
        <f t="shared" si="18"/>
        <v>8.9499999999999993</v>
      </c>
      <c r="X12" s="200">
        <f t="shared" si="19"/>
        <v>2.95</v>
      </c>
      <c r="Y12" s="200">
        <f t="shared" si="20"/>
        <v>12.847222222222223</v>
      </c>
      <c r="Z12" s="156">
        <f t="shared" si="7"/>
        <v>0</v>
      </c>
      <c r="AA12" s="156">
        <f t="shared" si="8"/>
        <v>0</v>
      </c>
      <c r="AB12" s="156">
        <f t="shared" si="9"/>
        <v>0</v>
      </c>
      <c r="AC12" s="156">
        <f t="shared" si="10"/>
        <v>0</v>
      </c>
      <c r="AD12" s="156">
        <f t="shared" si="11"/>
        <v>0</v>
      </c>
      <c r="AE12" s="156">
        <f t="shared" si="12"/>
        <v>0</v>
      </c>
      <c r="AF12" s="156">
        <f t="shared" si="13"/>
        <v>0</v>
      </c>
      <c r="AH12" s="641" t="s">
        <v>680</v>
      </c>
      <c r="AI12" s="79" t="str">
        <f>C14</f>
        <v>I. Stone</v>
      </c>
      <c r="AJ12" s="164">
        <f>AA14*0.284</f>
        <v>0</v>
      </c>
      <c r="AK12" s="164">
        <v>0</v>
      </c>
      <c r="AL12" s="164">
        <f>AA14*0.244</f>
        <v>0</v>
      </c>
      <c r="AM12" s="164">
        <f>AB14*0.631</f>
        <v>6.3100000000000005</v>
      </c>
      <c r="AN12" s="164">
        <v>0</v>
      </c>
      <c r="AO12" s="164">
        <f>(AC11*1)+(AD11*0.286)</f>
        <v>0</v>
      </c>
      <c r="AP12" s="164">
        <f>AD11*0.135</f>
        <v>0</v>
      </c>
      <c r="AQ12" s="167">
        <f>(0.5*AE11+0.3*AF11)/10</f>
        <v>0</v>
      </c>
      <c r="AR12" s="167">
        <f>(0.4*AA11+0.3*AF11)/10</f>
        <v>0</v>
      </c>
      <c r="AS12" s="167">
        <v>0</v>
      </c>
      <c r="AT12" s="167">
        <v>0</v>
      </c>
    </row>
    <row r="13" spans="1:53" s="82" customFormat="1" x14ac:dyDescent="0.25">
      <c r="A13" s="131" t="str">
        <f>Plantilla!A13</f>
        <v>#17</v>
      </c>
      <c r="B13" s="131" t="str">
        <f>Plantilla!B13</f>
        <v>MED</v>
      </c>
      <c r="C13" s="90" t="str">
        <f>Plantilla!D13</f>
        <v>I. Vanags</v>
      </c>
      <c r="D13" s="133">
        <f>Plantilla!E13</f>
        <v>18</v>
      </c>
      <c r="E13" s="138">
        <f ca="1">Plantilla!F13</f>
        <v>86</v>
      </c>
      <c r="F13" s="134" t="str">
        <f>Plantilla!G13</f>
        <v>CAB</v>
      </c>
      <c r="G13" s="328">
        <f>Plantilla!H13</f>
        <v>4</v>
      </c>
      <c r="H13" s="102">
        <f>Plantilla!I13</f>
        <v>0.4</v>
      </c>
      <c r="I13" s="184">
        <f>Plantilla!X13</f>
        <v>0</v>
      </c>
      <c r="J13" s="184">
        <f>Plantilla!Y13</f>
        <v>4</v>
      </c>
      <c r="K13" s="184">
        <f>Plantilla!Z13</f>
        <v>7.8</v>
      </c>
      <c r="L13" s="184">
        <f>Plantilla!AA13</f>
        <v>3</v>
      </c>
      <c r="M13" s="184">
        <f>Plantilla!AB13</f>
        <v>4</v>
      </c>
      <c r="N13" s="184">
        <f>Plantilla!AC13</f>
        <v>7</v>
      </c>
      <c r="O13" s="184">
        <f>Plantilla!AD13</f>
        <v>6</v>
      </c>
      <c r="P13" s="146">
        <f t="shared" si="21"/>
        <v>18</v>
      </c>
      <c r="Q13" s="147">
        <f t="shared" ca="1" si="22"/>
        <v>93</v>
      </c>
      <c r="R13" s="92">
        <f t="shared" si="5"/>
        <v>0.4</v>
      </c>
      <c r="S13" s="200">
        <f t="shared" ref="S13:S23" si="23">I13</f>
        <v>0</v>
      </c>
      <c r="T13" s="200">
        <f>J13+T$2/4</f>
        <v>4</v>
      </c>
      <c r="U13" s="200">
        <f>K13+U$2/5</f>
        <v>15.8</v>
      </c>
      <c r="V13" s="200">
        <f t="shared" ref="V13:V23" si="24">L13</f>
        <v>3</v>
      </c>
      <c r="W13" s="200">
        <f t="shared" ref="W13:W23" si="25">M13</f>
        <v>4</v>
      </c>
      <c r="X13" s="200">
        <f>N13+X$2/5</f>
        <v>10.4</v>
      </c>
      <c r="Y13" s="200">
        <f>O13+Y$2/1</f>
        <v>6</v>
      </c>
      <c r="Z13" s="156">
        <f t="shared" si="7"/>
        <v>0</v>
      </c>
      <c r="AA13" s="156">
        <f t="shared" si="8"/>
        <v>0</v>
      </c>
      <c r="AB13" s="156">
        <f t="shared" si="9"/>
        <v>8</v>
      </c>
      <c r="AC13" s="156">
        <f t="shared" si="10"/>
        <v>0</v>
      </c>
      <c r="AD13" s="156">
        <f t="shared" si="11"/>
        <v>0</v>
      </c>
      <c r="AE13" s="156">
        <f t="shared" si="12"/>
        <v>3.4000000000000004</v>
      </c>
      <c r="AF13" s="156">
        <f t="shared" si="13"/>
        <v>0</v>
      </c>
      <c r="AH13" s="641" t="s">
        <v>680</v>
      </c>
      <c r="AI13" s="99" t="str">
        <f>C16</f>
        <v>M. Bondarewski</v>
      </c>
      <c r="AJ13" s="162">
        <v>0</v>
      </c>
      <c r="AK13" s="162">
        <f>AA16*0.284</f>
        <v>0</v>
      </c>
      <c r="AL13" s="164">
        <f>AA16*0.244</f>
        <v>0</v>
      </c>
      <c r="AM13" s="162">
        <f>AB16*0.631</f>
        <v>5.048</v>
      </c>
      <c r="AN13" s="162">
        <f>(AD20*0.142)+(AC20*0.221)+(AE20*0.26)</f>
        <v>0.88400000000000012</v>
      </c>
      <c r="AO13" s="162">
        <f>AN13</f>
        <v>0.88400000000000012</v>
      </c>
      <c r="AP13" s="162">
        <f>(AD20*0.369)+(AE20*1)</f>
        <v>3.4000000000000004</v>
      </c>
      <c r="AQ13" s="224">
        <f>((0.5*AE20+0.3*AF20)/10)+0.09*AF20</f>
        <v>0.17</v>
      </c>
      <c r="AR13" s="224">
        <f>(0.4*AA20+0.3*AF20)/10</f>
        <v>0</v>
      </c>
      <c r="AS13" s="165">
        <v>0</v>
      </c>
      <c r="AT13" s="165">
        <v>0</v>
      </c>
    </row>
    <row r="14" spans="1:53" s="81" customFormat="1" x14ac:dyDescent="0.25">
      <c r="A14" s="131" t="str">
        <f>Plantilla!A14</f>
        <v>#8</v>
      </c>
      <c r="B14" s="131" t="str">
        <f>Plantilla!B14</f>
        <v>MED</v>
      </c>
      <c r="C14" s="90" t="str">
        <f>Plantilla!D14</f>
        <v>I. Stone</v>
      </c>
      <c r="D14" s="133">
        <f>Plantilla!E14</f>
        <v>18</v>
      </c>
      <c r="E14" s="138">
        <f ca="1">Plantilla!F14</f>
        <v>29</v>
      </c>
      <c r="F14" s="134" t="str">
        <f>Plantilla!G14</f>
        <v>RAP</v>
      </c>
      <c r="G14" s="328">
        <f>Plantilla!H14</f>
        <v>6</v>
      </c>
      <c r="H14" s="102">
        <f>Plantilla!I14</f>
        <v>1.2</v>
      </c>
      <c r="I14" s="184">
        <f>Plantilla!X14</f>
        <v>0</v>
      </c>
      <c r="J14" s="184">
        <f>Plantilla!Y14</f>
        <v>3</v>
      </c>
      <c r="K14" s="184">
        <f>Plantilla!Z14</f>
        <v>6.25</v>
      </c>
      <c r="L14" s="184">
        <f>Plantilla!AA14</f>
        <v>2</v>
      </c>
      <c r="M14" s="184">
        <f>Plantilla!AB14</f>
        <v>6</v>
      </c>
      <c r="N14" s="184">
        <f>Plantilla!AC14</f>
        <v>9</v>
      </c>
      <c r="O14" s="184">
        <f>Plantilla!AD14</f>
        <v>2</v>
      </c>
      <c r="P14" s="146">
        <f t="shared" si="21"/>
        <v>18</v>
      </c>
      <c r="Q14" s="147">
        <f t="shared" ca="1" si="22"/>
        <v>36</v>
      </c>
      <c r="R14" s="92">
        <f t="shared" si="5"/>
        <v>1.2</v>
      </c>
      <c r="S14" s="200">
        <f t="shared" si="23"/>
        <v>0</v>
      </c>
      <c r="T14" s="200">
        <f>J14+T$2/3</f>
        <v>3</v>
      </c>
      <c r="U14" s="200">
        <f t="shared" ref="U14" si="26">K14+U$2/4</f>
        <v>16.25</v>
      </c>
      <c r="V14" s="200">
        <f t="shared" si="24"/>
        <v>2</v>
      </c>
      <c r="W14" s="200">
        <f t="shared" si="25"/>
        <v>6</v>
      </c>
      <c r="X14" s="200">
        <f>N14+X$2/6</f>
        <v>11.833333333333334</v>
      </c>
      <c r="Y14" s="200">
        <f t="shared" ref="Y14:Y22" si="27">O14+Y$2/1</f>
        <v>2</v>
      </c>
      <c r="Z14" s="156">
        <f t="shared" si="7"/>
        <v>0</v>
      </c>
      <c r="AA14" s="156">
        <f t="shared" si="8"/>
        <v>0</v>
      </c>
      <c r="AB14" s="156">
        <f t="shared" si="9"/>
        <v>10</v>
      </c>
      <c r="AC14" s="156">
        <f t="shared" si="10"/>
        <v>0</v>
      </c>
      <c r="AD14" s="156">
        <f t="shared" si="11"/>
        <v>0</v>
      </c>
      <c r="AE14" s="156">
        <f t="shared" si="12"/>
        <v>2.8333333333333339</v>
      </c>
      <c r="AF14" s="156">
        <f t="shared" si="13"/>
        <v>0</v>
      </c>
      <c r="AH14" s="641" t="s">
        <v>277</v>
      </c>
      <c r="AI14" s="79"/>
      <c r="AJ14" s="164">
        <v>0</v>
      </c>
      <c r="AK14" s="164">
        <v>0</v>
      </c>
      <c r="AL14" s="164">
        <v>0</v>
      </c>
      <c r="AM14" s="162">
        <v>0</v>
      </c>
      <c r="AN14" s="162">
        <f>(AD12*0.142)+(AC12*0.221)+(AE12*0.26)</f>
        <v>0</v>
      </c>
      <c r="AO14" s="162">
        <f>AN14</f>
        <v>0</v>
      </c>
      <c r="AP14" s="162">
        <f>(AD12*0.369)+(AE12*1)</f>
        <v>0</v>
      </c>
      <c r="AQ14" s="167">
        <f>(0.5*AE12+0.3*AF12)/10</f>
        <v>0</v>
      </c>
      <c r="AR14" s="167">
        <f>(0.4*AA12+0.3*AF12)/10</f>
        <v>0</v>
      </c>
      <c r="AS14" s="165">
        <v>0</v>
      </c>
      <c r="AT14" s="165">
        <v>0</v>
      </c>
    </row>
    <row r="15" spans="1:53" s="75" customFormat="1" x14ac:dyDescent="0.25">
      <c r="A15" s="131" t="str">
        <f>Plantilla!A15</f>
        <v>#14</v>
      </c>
      <c r="B15" s="131" t="str">
        <f>Plantilla!B15</f>
        <v>MED</v>
      </c>
      <c r="C15" s="90" t="str">
        <f>Plantilla!D15</f>
        <v>G. Piscaer</v>
      </c>
      <c r="D15" s="133">
        <f>Plantilla!E15</f>
        <v>18</v>
      </c>
      <c r="E15" s="138">
        <f ca="1">Plantilla!F15</f>
        <v>102</v>
      </c>
      <c r="F15" s="134" t="str">
        <f>Plantilla!G15</f>
        <v>IMP</v>
      </c>
      <c r="G15" s="328">
        <f>Plantilla!H15</f>
        <v>1</v>
      </c>
      <c r="H15" s="102">
        <f>Plantilla!I15</f>
        <v>1.8</v>
      </c>
      <c r="I15" s="184">
        <f>Plantilla!X15</f>
        <v>0</v>
      </c>
      <c r="J15" s="184">
        <f>Plantilla!Y15</f>
        <v>4</v>
      </c>
      <c r="K15" s="184">
        <f>Plantilla!Z15</f>
        <v>8.6</v>
      </c>
      <c r="L15" s="184">
        <f>Plantilla!AA15</f>
        <v>3</v>
      </c>
      <c r="M15" s="184">
        <f>Plantilla!AB15</f>
        <v>2</v>
      </c>
      <c r="N15" s="184">
        <f>Plantilla!AC15</f>
        <v>8</v>
      </c>
      <c r="O15" s="184">
        <f>Plantilla!AD15</f>
        <v>0</v>
      </c>
      <c r="P15" s="146">
        <f t="shared" si="21"/>
        <v>18</v>
      </c>
      <c r="Q15" s="147">
        <f t="shared" ca="1" si="22"/>
        <v>109</v>
      </c>
      <c r="R15" s="92">
        <f t="shared" si="5"/>
        <v>1.8</v>
      </c>
      <c r="S15" s="200">
        <f t="shared" si="23"/>
        <v>0</v>
      </c>
      <c r="T15" s="200">
        <f>J15+T$2/4</f>
        <v>4</v>
      </c>
      <c r="U15" s="200">
        <f>K15+U$2/5</f>
        <v>16.600000000000001</v>
      </c>
      <c r="V15" s="200">
        <f t="shared" si="24"/>
        <v>3</v>
      </c>
      <c r="W15" s="200">
        <f t="shared" si="25"/>
        <v>2</v>
      </c>
      <c r="X15" s="200">
        <f t="shared" ref="X15:X20" si="28">N15+X$2/5</f>
        <v>11.4</v>
      </c>
      <c r="Y15" s="200">
        <f t="shared" si="27"/>
        <v>0</v>
      </c>
      <c r="Z15" s="156">
        <f t="shared" si="7"/>
        <v>0</v>
      </c>
      <c r="AA15" s="156">
        <f t="shared" si="8"/>
        <v>0</v>
      </c>
      <c r="AB15" s="156">
        <f t="shared" si="9"/>
        <v>8.0000000000000018</v>
      </c>
      <c r="AC15" s="156">
        <f t="shared" si="10"/>
        <v>0</v>
      </c>
      <c r="AD15" s="156">
        <f t="shared" si="11"/>
        <v>0</v>
      </c>
      <c r="AE15" s="156">
        <f t="shared" si="12"/>
        <v>3.4000000000000004</v>
      </c>
      <c r="AF15" s="156">
        <f t="shared" si="13"/>
        <v>0</v>
      </c>
      <c r="AH15" s="160"/>
      <c r="AI15" s="161"/>
      <c r="AJ15" s="161"/>
      <c r="AK15" s="161"/>
      <c r="AL15" s="161"/>
      <c r="AM15" s="161"/>
      <c r="AN15" s="161"/>
      <c r="AO15" s="161"/>
      <c r="AP15" s="161"/>
      <c r="AQ15" s="161"/>
      <c r="AR15" s="161"/>
      <c r="AS15" s="161"/>
      <c r="AT15" s="161"/>
    </row>
    <row r="16" spans="1:53" s="82" customFormat="1" x14ac:dyDescent="0.25">
      <c r="A16" s="131" t="str">
        <f>Plantilla!A16</f>
        <v>#3</v>
      </c>
      <c r="B16" s="131" t="str">
        <f>Plantilla!B16</f>
        <v>MED</v>
      </c>
      <c r="C16" s="90" t="str">
        <f>Plantilla!D16</f>
        <v>M. Bondarewski</v>
      </c>
      <c r="D16" s="133">
        <f>Plantilla!E16</f>
        <v>18</v>
      </c>
      <c r="E16" s="138">
        <f ca="1">Plantilla!F16</f>
        <v>102</v>
      </c>
      <c r="F16" s="134" t="str">
        <f>Plantilla!G16</f>
        <v>RAP</v>
      </c>
      <c r="G16" s="328">
        <f>Plantilla!H16</f>
        <v>1</v>
      </c>
      <c r="H16" s="102">
        <f>Plantilla!I16</f>
        <v>1.6</v>
      </c>
      <c r="I16" s="184">
        <f>Plantilla!X16</f>
        <v>0</v>
      </c>
      <c r="J16" s="184">
        <f>Plantilla!Y16</f>
        <v>2</v>
      </c>
      <c r="K16" s="184">
        <f>Plantilla!Z16</f>
        <v>8.8000000000000007</v>
      </c>
      <c r="L16" s="184">
        <f>Plantilla!AA16</f>
        <v>5</v>
      </c>
      <c r="M16" s="184">
        <f>Plantilla!AB16</f>
        <v>4</v>
      </c>
      <c r="N16" s="184">
        <f>Plantilla!AC16</f>
        <v>8</v>
      </c>
      <c r="O16" s="184">
        <f>Plantilla!AD16</f>
        <v>6</v>
      </c>
      <c r="P16" s="146">
        <f t="shared" si="21"/>
        <v>18</v>
      </c>
      <c r="Q16" s="147">
        <f t="shared" ca="1" si="22"/>
        <v>109</v>
      </c>
      <c r="R16" s="92">
        <f t="shared" si="5"/>
        <v>1.6</v>
      </c>
      <c r="S16" s="200">
        <f t="shared" si="23"/>
        <v>0</v>
      </c>
      <c r="T16" s="200">
        <f>J16+T$2/3</f>
        <v>2</v>
      </c>
      <c r="U16" s="200">
        <f>K16+U$2/5</f>
        <v>16.8</v>
      </c>
      <c r="V16" s="200">
        <f t="shared" si="24"/>
        <v>5</v>
      </c>
      <c r="W16" s="200">
        <f t="shared" si="25"/>
        <v>4</v>
      </c>
      <c r="X16" s="200">
        <f t="shared" si="28"/>
        <v>11.4</v>
      </c>
      <c r="Y16" s="200">
        <f t="shared" si="27"/>
        <v>6</v>
      </c>
      <c r="Z16" s="156">
        <f t="shared" si="7"/>
        <v>0</v>
      </c>
      <c r="AA16" s="156">
        <f t="shared" si="8"/>
        <v>0</v>
      </c>
      <c r="AB16" s="156">
        <f t="shared" si="9"/>
        <v>8</v>
      </c>
      <c r="AC16" s="156">
        <f t="shared" si="10"/>
        <v>0</v>
      </c>
      <c r="AD16" s="156">
        <f t="shared" si="11"/>
        <v>0</v>
      </c>
      <c r="AE16" s="156">
        <f t="shared" si="12"/>
        <v>3.4000000000000004</v>
      </c>
      <c r="AF16" s="156">
        <f t="shared" si="13"/>
        <v>0</v>
      </c>
      <c r="AH16" s="72"/>
      <c r="AI16" s="72"/>
      <c r="AJ16" s="168">
        <f>SUM(AJ18:AJ28)*$AY$3</f>
        <v>0</v>
      </c>
      <c r="AK16" s="168">
        <f>SUM(AK18:AK28)*$AY$3</f>
        <v>0</v>
      </c>
      <c r="AL16" s="168">
        <f>SUM(AL18:AL28)*$AY$2</f>
        <v>0</v>
      </c>
      <c r="AM16" s="168">
        <f>SUM(AM18:AM28)*$AY$4</f>
        <v>4.3637500000000005</v>
      </c>
      <c r="AN16" s="168" t="e">
        <f>SUM(AN18:AN28)*$AY$5</f>
        <v>#REF!</v>
      </c>
      <c r="AO16" s="168">
        <f>SUM(AO18:AO28)*$AY$5</f>
        <v>0.40516666666666673</v>
      </c>
      <c r="AP16" s="168" t="e">
        <f>SUM(AP18:AP28)*$AY$6</f>
        <v>#REF!</v>
      </c>
      <c r="AQ16" s="169" t="e">
        <f>SUM(AQ18:AQ28)</f>
        <v>#REF!</v>
      </c>
      <c r="AR16" s="169" t="e">
        <f>SUM(AR18:AR28)</f>
        <v>#REF!</v>
      </c>
      <c r="AS16" s="169">
        <f t="shared" ref="AS16:AT16" si="29">SUM(AS18:AS28)</f>
        <v>7.25</v>
      </c>
      <c r="AT16" s="169">
        <f t="shared" si="29"/>
        <v>0</v>
      </c>
    </row>
    <row r="17" spans="1:46" s="75" customFormat="1" x14ac:dyDescent="0.25">
      <c r="A17" s="131" t="str">
        <f>Plantilla!A17</f>
        <v>#18</v>
      </c>
      <c r="B17" s="131" t="str">
        <f>Plantilla!B17</f>
        <v>MED</v>
      </c>
      <c r="C17" s="90" t="str">
        <f>Plantilla!D17</f>
        <v>J. Vartiainen</v>
      </c>
      <c r="D17" s="133">
        <f>Plantilla!E17</f>
        <v>19</v>
      </c>
      <c r="E17" s="138">
        <f ca="1">Plantilla!F17</f>
        <v>36</v>
      </c>
      <c r="F17" s="134" t="str">
        <f>Plantilla!G17</f>
        <v>CAB</v>
      </c>
      <c r="G17" s="328">
        <f>Plantilla!H17</f>
        <v>4</v>
      </c>
      <c r="H17" s="102">
        <f>Plantilla!I17</f>
        <v>0.3</v>
      </c>
      <c r="I17" s="184">
        <f>Plantilla!X17</f>
        <v>0</v>
      </c>
      <c r="J17" s="184">
        <f>Plantilla!Y17</f>
        <v>7</v>
      </c>
      <c r="K17" s="184">
        <f>Plantilla!Z17</f>
        <v>7.7111111111111104</v>
      </c>
      <c r="L17" s="184">
        <f>Plantilla!AA17</f>
        <v>1</v>
      </c>
      <c r="M17" s="184">
        <f>Plantilla!AB17</f>
        <v>1</v>
      </c>
      <c r="N17" s="184">
        <f>Plantilla!AC17</f>
        <v>6</v>
      </c>
      <c r="O17" s="184">
        <f>Plantilla!AD17</f>
        <v>1</v>
      </c>
      <c r="P17" s="146">
        <f t="shared" si="21"/>
        <v>19</v>
      </c>
      <c r="Q17" s="147">
        <f t="shared" ca="1" si="22"/>
        <v>43</v>
      </c>
      <c r="R17" s="92">
        <f t="shared" si="5"/>
        <v>0.3</v>
      </c>
      <c r="S17" s="200">
        <f t="shared" si="23"/>
        <v>0</v>
      </c>
      <c r="T17" s="200">
        <f>J17+T$2/5</f>
        <v>7</v>
      </c>
      <c r="U17" s="200">
        <f>K17+U$2/5</f>
        <v>15.71111111111111</v>
      </c>
      <c r="V17" s="200">
        <f t="shared" si="24"/>
        <v>1</v>
      </c>
      <c r="W17" s="200">
        <f t="shared" si="25"/>
        <v>1</v>
      </c>
      <c r="X17" s="200">
        <f>N17+X$2/4</f>
        <v>10.25</v>
      </c>
      <c r="Y17" s="200">
        <f t="shared" si="27"/>
        <v>1</v>
      </c>
      <c r="Z17" s="156">
        <f t="shared" si="7"/>
        <v>0</v>
      </c>
      <c r="AA17" s="156">
        <f t="shared" si="8"/>
        <v>0</v>
      </c>
      <c r="AB17" s="156">
        <f t="shared" si="9"/>
        <v>8</v>
      </c>
      <c r="AC17" s="156">
        <f t="shared" si="10"/>
        <v>0</v>
      </c>
      <c r="AD17" s="156">
        <f t="shared" si="11"/>
        <v>0</v>
      </c>
      <c r="AE17" s="156">
        <f t="shared" si="12"/>
        <v>4.25</v>
      </c>
      <c r="AF17" s="156">
        <f t="shared" si="13"/>
        <v>0</v>
      </c>
      <c r="AH17" s="693">
        <v>550</v>
      </c>
      <c r="AI17" s="694"/>
      <c r="AJ17" s="112" t="s">
        <v>204</v>
      </c>
      <c r="AK17" s="112" t="s">
        <v>205</v>
      </c>
      <c r="AL17" s="112" t="s">
        <v>215</v>
      </c>
      <c r="AM17" s="112" t="s">
        <v>206</v>
      </c>
      <c r="AN17" s="112" t="s">
        <v>207</v>
      </c>
      <c r="AO17" s="112" t="s">
        <v>208</v>
      </c>
      <c r="AP17" s="112" t="s">
        <v>209</v>
      </c>
      <c r="AQ17" s="112" t="s">
        <v>342</v>
      </c>
      <c r="AR17" s="112" t="s">
        <v>343</v>
      </c>
      <c r="AS17" s="112" t="s">
        <v>257</v>
      </c>
      <c r="AT17" s="112" t="s">
        <v>279</v>
      </c>
    </row>
    <row r="18" spans="1:46" s="70" customFormat="1" x14ac:dyDescent="0.25">
      <c r="A18" s="131" t="str">
        <f>Plantilla!A18</f>
        <v>#16</v>
      </c>
      <c r="B18" s="131" t="str">
        <f>Plantilla!B18</f>
        <v>MED</v>
      </c>
      <c r="C18" s="90" t="str">
        <f>Plantilla!D18</f>
        <v>R. Forsyth</v>
      </c>
      <c r="D18" s="133">
        <f>Plantilla!E18</f>
        <v>19</v>
      </c>
      <c r="E18" s="138">
        <f ca="1">Plantilla!F18</f>
        <v>31</v>
      </c>
      <c r="F18" s="134" t="str">
        <f>Plantilla!G18</f>
        <v>POT</v>
      </c>
      <c r="G18" s="328">
        <f>Plantilla!H18</f>
        <v>4</v>
      </c>
      <c r="H18" s="102">
        <f>Plantilla!I18</f>
        <v>1.8</v>
      </c>
      <c r="I18" s="184">
        <f>Plantilla!X18</f>
        <v>0</v>
      </c>
      <c r="J18" s="184">
        <f>Plantilla!Y18</f>
        <v>7</v>
      </c>
      <c r="K18" s="184">
        <f>Plantilla!Z18</f>
        <v>8</v>
      </c>
      <c r="L18" s="184">
        <f>Plantilla!AA18</f>
        <v>2</v>
      </c>
      <c r="M18" s="184">
        <f>Plantilla!AB18</f>
        <v>4</v>
      </c>
      <c r="N18" s="184">
        <f>Plantilla!AC18</f>
        <v>6</v>
      </c>
      <c r="O18" s="184">
        <f>Plantilla!AD18</f>
        <v>2</v>
      </c>
      <c r="P18" s="146">
        <f t="shared" si="21"/>
        <v>19</v>
      </c>
      <c r="Q18" s="147">
        <f t="shared" ca="1" si="22"/>
        <v>38</v>
      </c>
      <c r="R18" s="92">
        <f t="shared" si="5"/>
        <v>1.8</v>
      </c>
      <c r="S18" s="200">
        <f t="shared" si="23"/>
        <v>0</v>
      </c>
      <c r="T18" s="200">
        <f>J18+T$2/5</f>
        <v>7</v>
      </c>
      <c r="U18" s="200">
        <f>K18+U$2/5</f>
        <v>16</v>
      </c>
      <c r="V18" s="200">
        <f t="shared" si="24"/>
        <v>2</v>
      </c>
      <c r="W18" s="200">
        <f t="shared" si="25"/>
        <v>4</v>
      </c>
      <c r="X18" s="200">
        <f>N18+X$2/4</f>
        <v>10.25</v>
      </c>
      <c r="Y18" s="200">
        <f t="shared" si="27"/>
        <v>2</v>
      </c>
      <c r="Z18" s="156">
        <f t="shared" si="7"/>
        <v>0</v>
      </c>
      <c r="AA18" s="156">
        <f t="shared" si="8"/>
        <v>0</v>
      </c>
      <c r="AB18" s="156">
        <f t="shared" si="9"/>
        <v>8</v>
      </c>
      <c r="AC18" s="156">
        <f t="shared" si="10"/>
        <v>0</v>
      </c>
      <c r="AD18" s="156">
        <f t="shared" si="11"/>
        <v>0</v>
      </c>
      <c r="AE18" s="156">
        <f t="shared" si="12"/>
        <v>4.25</v>
      </c>
      <c r="AF18" s="156">
        <f t="shared" si="13"/>
        <v>0</v>
      </c>
      <c r="AH18" s="157" t="s">
        <v>1</v>
      </c>
      <c r="AI18" s="99"/>
      <c r="AJ18" s="162">
        <v>0</v>
      </c>
      <c r="AK18" s="162">
        <v>0</v>
      </c>
      <c r="AL18" s="162">
        <v>0</v>
      </c>
      <c r="AM18" s="162">
        <v>0</v>
      </c>
      <c r="AN18" s="162">
        <f t="shared" ref="AN18:AT18" si="30">AN4</f>
        <v>0</v>
      </c>
      <c r="AO18" s="162">
        <f t="shared" si="30"/>
        <v>0</v>
      </c>
      <c r="AP18" s="162">
        <f t="shared" si="30"/>
        <v>0</v>
      </c>
      <c r="AQ18" s="225">
        <f t="shared" si="30"/>
        <v>0</v>
      </c>
      <c r="AR18" s="225">
        <f t="shared" si="30"/>
        <v>0</v>
      </c>
      <c r="AS18" s="165">
        <f t="shared" si="30"/>
        <v>0</v>
      </c>
      <c r="AT18" s="165">
        <f t="shared" si="30"/>
        <v>0</v>
      </c>
    </row>
    <row r="19" spans="1:46" s="70" customFormat="1" x14ac:dyDescent="0.25">
      <c r="A19" s="131" t="str">
        <f>Plantilla!A19</f>
        <v>#21</v>
      </c>
      <c r="B19" s="131" t="str">
        <f>Plantilla!B19</f>
        <v>EXT</v>
      </c>
      <c r="C19" s="90" t="str">
        <f>Plantilla!D19</f>
        <v>M. Grupinski</v>
      </c>
      <c r="D19" s="133">
        <f>Plantilla!E19</f>
        <v>22</v>
      </c>
      <c r="E19" s="138">
        <f ca="1">Plantilla!F19</f>
        <v>101</v>
      </c>
      <c r="F19" s="134" t="str">
        <f>Plantilla!G19</f>
        <v>CAB</v>
      </c>
      <c r="G19" s="328">
        <f>Plantilla!H19</f>
        <v>5</v>
      </c>
      <c r="H19" s="102">
        <f>Plantilla!I19</f>
        <v>1.6</v>
      </c>
      <c r="I19" s="184">
        <f>Plantilla!X19</f>
        <v>0</v>
      </c>
      <c r="J19" s="184">
        <f>Plantilla!Y19</f>
        <v>3</v>
      </c>
      <c r="K19" s="184">
        <f>Plantilla!Z19</f>
        <v>8</v>
      </c>
      <c r="L19" s="184">
        <f>Plantilla!AA19</f>
        <v>9</v>
      </c>
      <c r="M19" s="184">
        <f>Plantilla!AB19</f>
        <v>6</v>
      </c>
      <c r="N19" s="184">
        <f>Plantilla!AC19</f>
        <v>3</v>
      </c>
      <c r="O19" s="184">
        <f>Plantilla!AD19</f>
        <v>3</v>
      </c>
      <c r="P19" s="146">
        <f t="shared" si="21"/>
        <v>22</v>
      </c>
      <c r="Q19" s="147">
        <f t="shared" ca="1" si="22"/>
        <v>108</v>
      </c>
      <c r="R19" s="92">
        <f t="shared" si="5"/>
        <v>1.6</v>
      </c>
      <c r="S19" s="200">
        <f t="shared" si="23"/>
        <v>0</v>
      </c>
      <c r="T19" s="200">
        <f>J19+T$2/4</f>
        <v>3</v>
      </c>
      <c r="U19" s="200">
        <f>K19+U$2/4</f>
        <v>18</v>
      </c>
      <c r="V19" s="200">
        <f t="shared" si="24"/>
        <v>9</v>
      </c>
      <c r="W19" s="200">
        <f t="shared" si="25"/>
        <v>6</v>
      </c>
      <c r="X19" s="200">
        <f>N19+X$2/6</f>
        <v>5.8333333333333339</v>
      </c>
      <c r="Y19" s="200">
        <f t="shared" si="27"/>
        <v>3</v>
      </c>
      <c r="Z19" s="156">
        <f t="shared" si="7"/>
        <v>0</v>
      </c>
      <c r="AA19" s="156">
        <f t="shared" si="8"/>
        <v>0</v>
      </c>
      <c r="AB19" s="156">
        <f t="shared" si="9"/>
        <v>10</v>
      </c>
      <c r="AC19" s="156">
        <f t="shared" si="10"/>
        <v>0</v>
      </c>
      <c r="AD19" s="156">
        <f t="shared" si="11"/>
        <v>0</v>
      </c>
      <c r="AE19" s="156">
        <f t="shared" si="12"/>
        <v>2.8333333333333339</v>
      </c>
      <c r="AF19" s="156">
        <f t="shared" si="13"/>
        <v>0</v>
      </c>
      <c r="AH19" s="158" t="s">
        <v>260</v>
      </c>
      <c r="AI19" s="100"/>
      <c r="AJ19" s="162">
        <v>0</v>
      </c>
      <c r="AK19" s="162">
        <v>0</v>
      </c>
      <c r="AL19" s="162">
        <v>0</v>
      </c>
      <c r="AM19" s="163">
        <v>0</v>
      </c>
      <c r="AN19" s="163">
        <f>AC19*0.588</f>
        <v>0</v>
      </c>
      <c r="AO19" s="163">
        <v>0</v>
      </c>
      <c r="AP19" s="163">
        <v>0</v>
      </c>
      <c r="AQ19" s="166">
        <f>AQ5</f>
        <v>0.14166666666666669</v>
      </c>
      <c r="AR19" s="166">
        <f>AR5</f>
        <v>0</v>
      </c>
      <c r="AS19" s="166">
        <f>((T19+1)+(W19+1)*2)/8</f>
        <v>2.25</v>
      </c>
      <c r="AT19" s="166">
        <f>((AA19)+(AD19)*2)/8</f>
        <v>0</v>
      </c>
    </row>
    <row r="20" spans="1:46" s="69" customFormat="1" x14ac:dyDescent="0.25">
      <c r="A20" s="131" t="str">
        <f>Plantilla!A20</f>
        <v>#19</v>
      </c>
      <c r="B20" s="131" t="str">
        <f>Plantilla!B20</f>
        <v>EXT</v>
      </c>
      <c r="C20" s="90" t="str">
        <f>Plantilla!D20</f>
        <v>V. Godoi</v>
      </c>
      <c r="D20" s="133">
        <f>Plantilla!E20</f>
        <v>25</v>
      </c>
      <c r="E20" s="138">
        <f ca="1">Plantilla!F20</f>
        <v>107</v>
      </c>
      <c r="F20" s="134"/>
      <c r="G20" s="328">
        <f>Plantilla!H20</f>
        <v>5</v>
      </c>
      <c r="H20" s="102">
        <f>Plantilla!I20</f>
        <v>4.5</v>
      </c>
      <c r="I20" s="184">
        <f>Plantilla!X20</f>
        <v>0</v>
      </c>
      <c r="J20" s="184">
        <f>Plantilla!Y20</f>
        <v>3</v>
      </c>
      <c r="K20" s="184">
        <f>Plantilla!Z20</f>
        <v>9.1538461538461533</v>
      </c>
      <c r="L20" s="184">
        <f>Plantilla!AA20</f>
        <v>9</v>
      </c>
      <c r="M20" s="184">
        <f>Plantilla!AB20</f>
        <v>5</v>
      </c>
      <c r="N20" s="184">
        <f>Plantilla!AC20</f>
        <v>5</v>
      </c>
      <c r="O20" s="184">
        <f>Plantilla!AD20</f>
        <v>1</v>
      </c>
      <c r="P20" s="146">
        <f t="shared" si="21"/>
        <v>25</v>
      </c>
      <c r="Q20" s="147">
        <f t="shared" ca="1" si="22"/>
        <v>114</v>
      </c>
      <c r="R20" s="92">
        <f t="shared" si="5"/>
        <v>4.5</v>
      </c>
      <c r="S20" s="200">
        <f t="shared" si="23"/>
        <v>0</v>
      </c>
      <c r="T20" s="200">
        <f>J20+T$2/3</f>
        <v>3</v>
      </c>
      <c r="U20" s="200">
        <f>K20+U$2/5</f>
        <v>17.153846153846153</v>
      </c>
      <c r="V20" s="200">
        <f t="shared" si="24"/>
        <v>9</v>
      </c>
      <c r="W20" s="200">
        <f t="shared" si="25"/>
        <v>5</v>
      </c>
      <c r="X20" s="200">
        <f t="shared" si="28"/>
        <v>8.4</v>
      </c>
      <c r="Y20" s="200">
        <f t="shared" si="27"/>
        <v>1</v>
      </c>
      <c r="Z20" s="156">
        <f t="shared" si="7"/>
        <v>0</v>
      </c>
      <c r="AA20" s="156">
        <f t="shared" si="8"/>
        <v>0</v>
      </c>
      <c r="AB20" s="156">
        <f t="shared" si="9"/>
        <v>8</v>
      </c>
      <c r="AC20" s="156">
        <f t="shared" si="10"/>
        <v>0</v>
      </c>
      <c r="AD20" s="156">
        <f t="shared" si="11"/>
        <v>0</v>
      </c>
      <c r="AE20" s="156">
        <f t="shared" si="12"/>
        <v>3.4000000000000004</v>
      </c>
      <c r="AF20" s="156">
        <f t="shared" si="13"/>
        <v>0</v>
      </c>
      <c r="AH20" s="159" t="s">
        <v>276</v>
      </c>
      <c r="AI20" s="79"/>
      <c r="AJ20" s="162">
        <v>0</v>
      </c>
      <c r="AK20" s="162">
        <v>0</v>
      </c>
      <c r="AL20" s="162">
        <v>0</v>
      </c>
      <c r="AM20" s="164">
        <v>0</v>
      </c>
      <c r="AN20" s="164">
        <f>(AD22*0.142)+(AC22*0.221)+(AE22*0.26)</f>
        <v>0.7366666666666668</v>
      </c>
      <c r="AO20" s="162">
        <f>AN20</f>
        <v>0.7366666666666668</v>
      </c>
      <c r="AP20" s="164">
        <f>(AD22*0.369)+(AE22*1)</f>
        <v>2.8333333333333339</v>
      </c>
      <c r="AQ20" s="167">
        <f>(0.5*AE22+0.3*AF22)/10</f>
        <v>0.14166666666666669</v>
      </c>
      <c r="AR20" s="167">
        <f>(0.4*AA22+0.3*AF22)/10</f>
        <v>0</v>
      </c>
      <c r="AS20" s="166">
        <f>((T22+1)+(W22+1)*2)/8</f>
        <v>2.75</v>
      </c>
      <c r="AT20" s="166">
        <f>((AA22)+(AD22)*2)/8</f>
        <v>0</v>
      </c>
    </row>
    <row r="21" spans="1:46" s="78" customFormat="1" x14ac:dyDescent="0.25">
      <c r="A21" s="131" t="str">
        <f>Plantilla!A21</f>
        <v>#20</v>
      </c>
      <c r="B21" s="131" t="str">
        <f>Plantilla!B21</f>
        <v>EXT</v>
      </c>
      <c r="C21" s="90" t="str">
        <f>Plantilla!D21</f>
        <v>P. Tuderek</v>
      </c>
      <c r="D21" s="133">
        <f>Plantilla!E21</f>
        <v>18</v>
      </c>
      <c r="E21" s="138">
        <f ca="1">Plantilla!F21</f>
        <v>88</v>
      </c>
      <c r="F21" s="134" t="str">
        <f>Plantilla!G21</f>
        <v>CAB</v>
      </c>
      <c r="G21" s="328">
        <f>Plantilla!H21</f>
        <v>4</v>
      </c>
      <c r="H21" s="102">
        <f>Plantilla!I21</f>
        <v>0.6</v>
      </c>
      <c r="I21" s="184">
        <f>Plantilla!X21</f>
        <v>0</v>
      </c>
      <c r="J21" s="184">
        <f>Plantilla!Y21</f>
        <v>6</v>
      </c>
      <c r="K21" s="184">
        <f>Plantilla!Z21</f>
        <v>6.4083333333333332</v>
      </c>
      <c r="L21" s="184">
        <f>Plantilla!AA21</f>
        <v>2</v>
      </c>
      <c r="M21" s="184">
        <f>Plantilla!AB21</f>
        <v>3</v>
      </c>
      <c r="N21" s="184">
        <f>Plantilla!AC21</f>
        <v>6</v>
      </c>
      <c r="O21" s="184">
        <f>Plantilla!AD21</f>
        <v>8</v>
      </c>
      <c r="P21" s="146">
        <f t="shared" si="21"/>
        <v>18</v>
      </c>
      <c r="Q21" s="147">
        <f t="shared" ca="1" si="22"/>
        <v>95</v>
      </c>
      <c r="R21" s="92">
        <f t="shared" si="5"/>
        <v>0.6</v>
      </c>
      <c r="S21" s="200">
        <f t="shared" si="23"/>
        <v>0</v>
      </c>
      <c r="T21" s="200">
        <f>J21+T$2/5</f>
        <v>6</v>
      </c>
      <c r="U21" s="200">
        <f>K21+U$2/4</f>
        <v>16.408333333333331</v>
      </c>
      <c r="V21" s="200">
        <f t="shared" si="24"/>
        <v>2</v>
      </c>
      <c r="W21" s="200">
        <f t="shared" si="25"/>
        <v>3</v>
      </c>
      <c r="X21" s="200">
        <f>N21+X$2/4</f>
        <v>10.25</v>
      </c>
      <c r="Y21" s="200">
        <f t="shared" si="27"/>
        <v>8</v>
      </c>
      <c r="Z21" s="156">
        <f t="shared" si="7"/>
        <v>0</v>
      </c>
      <c r="AA21" s="156">
        <f t="shared" si="8"/>
        <v>0</v>
      </c>
      <c r="AB21" s="156">
        <f t="shared" si="9"/>
        <v>9.9999999999999982</v>
      </c>
      <c r="AC21" s="156">
        <f t="shared" si="10"/>
        <v>0</v>
      </c>
      <c r="AD21" s="156">
        <f t="shared" si="11"/>
        <v>0</v>
      </c>
      <c r="AE21" s="156">
        <f t="shared" si="12"/>
        <v>4.25</v>
      </c>
      <c r="AF21" s="156">
        <f t="shared" si="13"/>
        <v>0</v>
      </c>
      <c r="AH21" s="159" t="s">
        <v>276</v>
      </c>
      <c r="AI21" s="79"/>
      <c r="AJ21" s="162">
        <v>0</v>
      </c>
      <c r="AK21" s="162">
        <v>0</v>
      </c>
      <c r="AL21" s="162">
        <v>0</v>
      </c>
      <c r="AM21" s="164">
        <v>0</v>
      </c>
      <c r="AN21" s="164">
        <v>0</v>
      </c>
      <c r="AO21" s="164">
        <f>AC8*0.588</f>
        <v>0</v>
      </c>
      <c r="AP21" s="164">
        <v>0</v>
      </c>
      <c r="AQ21" s="167">
        <f>AQ5</f>
        <v>0.14166666666666669</v>
      </c>
      <c r="AR21" s="167">
        <f>AR5</f>
        <v>0</v>
      </c>
      <c r="AS21" s="167">
        <f>AS5</f>
        <v>2.25</v>
      </c>
      <c r="AT21" s="167">
        <f>AT5</f>
        <v>0</v>
      </c>
    </row>
    <row r="22" spans="1:46" s="75" customFormat="1" x14ac:dyDescent="0.25">
      <c r="A22" s="131" t="str">
        <f>Plantilla!A22</f>
        <v>#18</v>
      </c>
      <c r="B22" s="131" t="str">
        <f>Plantilla!B22</f>
        <v>EXT</v>
      </c>
      <c r="C22" s="90" t="str">
        <f>Plantilla!D22</f>
        <v>G. Stoychev</v>
      </c>
      <c r="D22" s="133">
        <f>Plantilla!E22</f>
        <v>23</v>
      </c>
      <c r="E22" s="138">
        <f ca="1">Plantilla!F22</f>
        <v>103</v>
      </c>
      <c r="F22" s="134" t="str">
        <f>Plantilla!G22</f>
        <v>IMP</v>
      </c>
      <c r="G22" s="328">
        <f>Plantilla!H22</f>
        <v>3</v>
      </c>
      <c r="H22" s="102">
        <f>Plantilla!I22</f>
        <v>3.7</v>
      </c>
      <c r="I22" s="184">
        <f>Plantilla!X22</f>
        <v>0</v>
      </c>
      <c r="J22" s="184">
        <f>Plantilla!Y22</f>
        <v>9</v>
      </c>
      <c r="K22" s="184">
        <f>Plantilla!Z22</f>
        <v>8</v>
      </c>
      <c r="L22" s="184">
        <f>Plantilla!AA22</f>
        <v>9</v>
      </c>
      <c r="M22" s="184">
        <f>Plantilla!AB22</f>
        <v>5</v>
      </c>
      <c r="N22" s="184">
        <f>Plantilla!AC22</f>
        <v>5</v>
      </c>
      <c r="O22" s="184">
        <f>Plantilla!AD22</f>
        <v>3</v>
      </c>
      <c r="P22" s="146">
        <f t="shared" si="21"/>
        <v>23</v>
      </c>
      <c r="Q22" s="147">
        <f t="shared" ca="1" si="22"/>
        <v>110</v>
      </c>
      <c r="R22" s="92">
        <f t="shared" si="5"/>
        <v>3.7</v>
      </c>
      <c r="S22" s="200">
        <f t="shared" si="23"/>
        <v>0</v>
      </c>
      <c r="T22" s="200">
        <f>J22+T$2/4</f>
        <v>9</v>
      </c>
      <c r="U22" s="200">
        <f>K22+U$2/4</f>
        <v>18</v>
      </c>
      <c r="V22" s="200">
        <f t="shared" si="24"/>
        <v>9</v>
      </c>
      <c r="W22" s="200">
        <f t="shared" si="25"/>
        <v>5</v>
      </c>
      <c r="X22" s="200">
        <f>N22+X$2/6</f>
        <v>7.8333333333333339</v>
      </c>
      <c r="Y22" s="200">
        <f t="shared" si="27"/>
        <v>3</v>
      </c>
      <c r="Z22" s="156">
        <f t="shared" si="7"/>
        <v>0</v>
      </c>
      <c r="AA22" s="156">
        <f t="shared" si="8"/>
        <v>0</v>
      </c>
      <c r="AB22" s="156">
        <f t="shared" si="9"/>
        <v>10</v>
      </c>
      <c r="AC22" s="156">
        <f t="shared" si="10"/>
        <v>0</v>
      </c>
      <c r="AD22" s="156">
        <f t="shared" si="11"/>
        <v>0</v>
      </c>
      <c r="AE22" s="156">
        <f t="shared" si="12"/>
        <v>2.8333333333333339</v>
      </c>
      <c r="AF22" s="156">
        <f t="shared" si="13"/>
        <v>0</v>
      </c>
      <c r="AH22" s="159" t="s">
        <v>276</v>
      </c>
      <c r="AI22" s="99"/>
      <c r="AJ22" s="162">
        <v>0</v>
      </c>
      <c r="AK22" s="162">
        <v>0</v>
      </c>
      <c r="AL22" s="162">
        <v>0</v>
      </c>
      <c r="AM22" s="162">
        <v>0</v>
      </c>
      <c r="AN22" s="162" t="e">
        <f>AN8</f>
        <v>#REF!</v>
      </c>
      <c r="AO22" s="162">
        <f t="shared" ref="AO22:AP22" si="31">AO8</f>
        <v>0</v>
      </c>
      <c r="AP22" s="162" t="e">
        <f t="shared" si="31"/>
        <v>#REF!</v>
      </c>
      <c r="AQ22" s="165" t="e">
        <f>AQ8</f>
        <v>#REF!</v>
      </c>
      <c r="AR22" s="165" t="e">
        <f t="shared" ref="AR22:AT22" si="32">AR8</f>
        <v>#REF!</v>
      </c>
      <c r="AS22" s="165">
        <f t="shared" si="32"/>
        <v>0</v>
      </c>
      <c r="AT22" s="165">
        <f t="shared" si="32"/>
        <v>0</v>
      </c>
    </row>
    <row r="23" spans="1:46" s="82" customFormat="1" x14ac:dyDescent="0.25">
      <c r="A23" s="131" t="str">
        <f>Plantilla!A23</f>
        <v>#11</v>
      </c>
      <c r="B23" s="131" t="str">
        <f>Plantilla!B23</f>
        <v>DAV</v>
      </c>
      <c r="C23" s="90" t="str">
        <f>Plantilla!D23</f>
        <v>K. Helms</v>
      </c>
      <c r="D23" s="133">
        <f>Plantilla!E23</f>
        <v>35</v>
      </c>
      <c r="E23" s="138">
        <f ca="1">Plantilla!F23</f>
        <v>51</v>
      </c>
      <c r="F23" s="134" t="str">
        <f>Plantilla!G23</f>
        <v>TEC</v>
      </c>
      <c r="G23" s="328">
        <f>Plantilla!H23</f>
        <v>2</v>
      </c>
      <c r="H23" s="102">
        <f>Plantilla!I23</f>
        <v>13.5</v>
      </c>
      <c r="I23" s="184">
        <f>Plantilla!X23</f>
        <v>0</v>
      </c>
      <c r="J23" s="184">
        <f>Plantilla!Y23</f>
        <v>7.2503030303030309</v>
      </c>
      <c r="K23" s="184">
        <f>Plantilla!Z23</f>
        <v>10.600000000000005</v>
      </c>
      <c r="L23" s="184">
        <f>Plantilla!AA23</f>
        <v>12.95</v>
      </c>
      <c r="M23" s="184">
        <f>Plantilla!AB23</f>
        <v>9.9499999999999993</v>
      </c>
      <c r="N23" s="184">
        <f>Plantilla!AC23</f>
        <v>3.95</v>
      </c>
      <c r="O23" s="184">
        <f>Plantilla!AD23</f>
        <v>18</v>
      </c>
      <c r="P23" s="146">
        <f t="shared" si="21"/>
        <v>35</v>
      </c>
      <c r="Q23" s="147">
        <f t="shared" ca="1" si="22"/>
        <v>58</v>
      </c>
      <c r="R23" s="92">
        <f t="shared" si="5"/>
        <v>13.5</v>
      </c>
      <c r="S23" s="200">
        <f t="shared" si="23"/>
        <v>0</v>
      </c>
      <c r="T23" s="200">
        <f t="shared" ref="T23" si="33">J23</f>
        <v>7.2503030303030309</v>
      </c>
      <c r="U23" s="200">
        <f t="shared" ref="U23" si="34">K23</f>
        <v>10.600000000000005</v>
      </c>
      <c r="V23" s="200">
        <f t="shared" si="24"/>
        <v>12.95</v>
      </c>
      <c r="W23" s="200">
        <f t="shared" si="25"/>
        <v>9.9499999999999993</v>
      </c>
      <c r="X23" s="200">
        <f t="shared" ref="X23" si="35">N23</f>
        <v>3.95</v>
      </c>
      <c r="Y23" s="200">
        <f t="shared" ref="Y23" si="36">O23</f>
        <v>18</v>
      </c>
      <c r="Z23" s="156">
        <f t="shared" si="7"/>
        <v>0</v>
      </c>
      <c r="AA23" s="156">
        <f t="shared" si="8"/>
        <v>0</v>
      </c>
      <c r="AB23" s="156">
        <f t="shared" si="9"/>
        <v>0</v>
      </c>
      <c r="AC23" s="156">
        <f t="shared" si="10"/>
        <v>0</v>
      </c>
      <c r="AD23" s="156">
        <f t="shared" si="11"/>
        <v>0</v>
      </c>
      <c r="AE23" s="156">
        <f t="shared" si="12"/>
        <v>0</v>
      </c>
      <c r="AF23" s="156">
        <f t="shared" si="13"/>
        <v>0</v>
      </c>
      <c r="AH23" s="158" t="s">
        <v>260</v>
      </c>
      <c r="AI23" s="79"/>
      <c r="AJ23" s="162">
        <v>0</v>
      </c>
      <c r="AK23" s="162">
        <v>0</v>
      </c>
      <c r="AL23" s="162">
        <v>0</v>
      </c>
      <c r="AM23" s="164">
        <v>0</v>
      </c>
      <c r="AN23" s="164">
        <f t="shared" ref="AN23:AT23" si="37">AN9</f>
        <v>0</v>
      </c>
      <c r="AO23" s="164">
        <f t="shared" si="37"/>
        <v>0</v>
      </c>
      <c r="AP23" s="164">
        <f t="shared" si="37"/>
        <v>0</v>
      </c>
      <c r="AQ23" s="167">
        <f t="shared" si="37"/>
        <v>0.17</v>
      </c>
      <c r="AR23" s="167">
        <f t="shared" si="37"/>
        <v>0</v>
      </c>
      <c r="AS23" s="167">
        <f t="shared" si="37"/>
        <v>0</v>
      </c>
      <c r="AT23" s="167">
        <f t="shared" si="37"/>
        <v>0</v>
      </c>
    </row>
    <row r="24" spans="1:46" s="71" customFormat="1" x14ac:dyDescent="0.25">
      <c r="A24" s="131" t="str">
        <f>Plantilla!A24</f>
        <v>#10</v>
      </c>
      <c r="B24" s="131" t="str">
        <f>Plantilla!B24</f>
        <v>DAV</v>
      </c>
      <c r="C24" s="90" t="str">
        <f>Plantilla!D24</f>
        <v>S. Zobbe</v>
      </c>
      <c r="D24" s="133">
        <f>Plantilla!E24</f>
        <v>32</v>
      </c>
      <c r="E24" s="138">
        <f ca="1">Plantilla!F24</f>
        <v>66</v>
      </c>
      <c r="F24" s="134" t="str">
        <f>Plantilla!G24</f>
        <v>CAB</v>
      </c>
      <c r="G24" s="328">
        <f>Plantilla!H24</f>
        <v>2</v>
      </c>
      <c r="H24" s="102">
        <f>Plantilla!I24</f>
        <v>13</v>
      </c>
      <c r="I24" s="184">
        <f>Plantilla!X24</f>
        <v>0</v>
      </c>
      <c r="J24" s="184">
        <f>Plantilla!Y24</f>
        <v>8.3599999999999977</v>
      </c>
      <c r="K24" s="184">
        <f>Plantilla!Z24</f>
        <v>12.253412698412699</v>
      </c>
      <c r="L24" s="184">
        <f>Plantilla!AA24</f>
        <v>12.95</v>
      </c>
      <c r="M24" s="184">
        <f>Plantilla!AB24</f>
        <v>10.24</v>
      </c>
      <c r="N24" s="184">
        <f>Plantilla!AC24</f>
        <v>6.95</v>
      </c>
      <c r="O24" s="184">
        <f>Plantilla!AD24</f>
        <v>16</v>
      </c>
      <c r="P24" s="146">
        <f t="shared" si="21"/>
        <v>32</v>
      </c>
      <c r="Q24" s="147">
        <f t="shared" ca="1" si="22"/>
        <v>73</v>
      </c>
      <c r="R24" s="92">
        <f t="shared" si="5"/>
        <v>13</v>
      </c>
      <c r="S24" s="200">
        <f t="shared" ref="S24:S27" si="38">I24</f>
        <v>0</v>
      </c>
      <c r="T24" s="200">
        <f t="shared" ref="T24:T27" si="39">J24</f>
        <v>8.3599999999999977</v>
      </c>
      <c r="U24" s="200">
        <f t="shared" ref="U24:U27" si="40">K24</f>
        <v>12.253412698412699</v>
      </c>
      <c r="V24" s="200">
        <f t="shared" ref="V24:V27" si="41">L24</f>
        <v>12.95</v>
      </c>
      <c r="W24" s="200">
        <f t="shared" ref="W24:W27" si="42">M24</f>
        <v>10.24</v>
      </c>
      <c r="X24" s="200">
        <f t="shared" ref="X24:X27" si="43">N24</f>
        <v>6.95</v>
      </c>
      <c r="Y24" s="200">
        <f t="shared" ref="Y24:Y27" si="44">O24</f>
        <v>16</v>
      </c>
      <c r="Z24" s="156">
        <f t="shared" si="7"/>
        <v>0</v>
      </c>
      <c r="AA24" s="156">
        <f t="shared" si="8"/>
        <v>0</v>
      </c>
      <c r="AB24" s="156">
        <f t="shared" si="9"/>
        <v>0</v>
      </c>
      <c r="AC24" s="156">
        <f t="shared" si="10"/>
        <v>0</v>
      </c>
      <c r="AD24" s="156">
        <f t="shared" si="11"/>
        <v>0</v>
      </c>
      <c r="AE24" s="156">
        <f t="shared" si="12"/>
        <v>0</v>
      </c>
      <c r="AF24" s="156">
        <f t="shared" si="13"/>
        <v>0</v>
      </c>
      <c r="AH24" s="159" t="s">
        <v>353</v>
      </c>
      <c r="AI24" s="79" t="str">
        <f>AI9</f>
        <v>G. Piscaer</v>
      </c>
      <c r="AJ24" s="164">
        <f>AJ9</f>
        <v>0</v>
      </c>
      <c r="AK24" s="164">
        <f t="shared" ref="AK24:AL24" si="45">AK9</f>
        <v>0</v>
      </c>
      <c r="AL24" s="164">
        <f t="shared" si="45"/>
        <v>0</v>
      </c>
      <c r="AM24" s="164">
        <f>AM9</f>
        <v>8.0000000000000018</v>
      </c>
      <c r="AN24" s="164">
        <f t="shared" ref="AN24:AP24" si="46">AN10</f>
        <v>0</v>
      </c>
      <c r="AO24" s="164">
        <f t="shared" si="46"/>
        <v>0</v>
      </c>
      <c r="AP24" s="164">
        <f t="shared" si="46"/>
        <v>1.054</v>
      </c>
      <c r="AQ24" s="167">
        <f>AQ10</f>
        <v>0.17</v>
      </c>
      <c r="AR24" s="167">
        <f t="shared" ref="AR24:AT24" si="47">AR10</f>
        <v>0</v>
      </c>
      <c r="AS24" s="167">
        <f t="shared" si="47"/>
        <v>0</v>
      </c>
      <c r="AT24" s="167">
        <f t="shared" si="47"/>
        <v>0</v>
      </c>
    </row>
    <row r="25" spans="1:46" s="69" customFormat="1" x14ac:dyDescent="0.25">
      <c r="A25" s="131" t="str">
        <f>Plantilla!A25</f>
        <v>#5</v>
      </c>
      <c r="B25" s="131" t="str">
        <f>Plantilla!B25</f>
        <v>DAV</v>
      </c>
      <c r="C25" s="90" t="str">
        <f>Plantilla!D25</f>
        <v>L. Bauman</v>
      </c>
      <c r="D25" s="133">
        <f>Plantilla!E25</f>
        <v>35</v>
      </c>
      <c r="E25" s="138">
        <f ca="1">Plantilla!F25</f>
        <v>66</v>
      </c>
      <c r="F25" s="134"/>
      <c r="G25" s="328">
        <f>Plantilla!H25</f>
        <v>0</v>
      </c>
      <c r="H25" s="102">
        <f>Plantilla!I25</f>
        <v>12</v>
      </c>
      <c r="I25" s="184">
        <f>Plantilla!X25</f>
        <v>0</v>
      </c>
      <c r="J25" s="184">
        <f>Plantilla!Y25</f>
        <v>5.95</v>
      </c>
      <c r="K25" s="184">
        <f>Plantilla!Z25</f>
        <v>14.1</v>
      </c>
      <c r="L25" s="184">
        <f>Plantilla!AA25</f>
        <v>2.95</v>
      </c>
      <c r="M25" s="184">
        <f>Plantilla!AB25</f>
        <v>8.9499999999999993</v>
      </c>
      <c r="N25" s="184">
        <f>Plantilla!AC25</f>
        <v>5.95</v>
      </c>
      <c r="O25" s="184">
        <f>Plantilla!AD25</f>
        <v>16.95</v>
      </c>
      <c r="P25" s="146">
        <f t="shared" si="21"/>
        <v>35</v>
      </c>
      <c r="Q25" s="147">
        <f t="shared" ca="1" si="22"/>
        <v>73</v>
      </c>
      <c r="R25" s="92">
        <f t="shared" si="5"/>
        <v>12</v>
      </c>
      <c r="S25" s="200">
        <f t="shared" si="38"/>
        <v>0</v>
      </c>
      <c r="T25" s="200">
        <f t="shared" si="39"/>
        <v>5.95</v>
      </c>
      <c r="U25" s="200">
        <f t="shared" si="40"/>
        <v>14.1</v>
      </c>
      <c r="V25" s="200">
        <f t="shared" si="41"/>
        <v>2.95</v>
      </c>
      <c r="W25" s="200">
        <f t="shared" si="42"/>
        <v>8.9499999999999993</v>
      </c>
      <c r="X25" s="200">
        <f t="shared" si="43"/>
        <v>5.95</v>
      </c>
      <c r="Y25" s="200">
        <f t="shared" si="44"/>
        <v>16.95</v>
      </c>
      <c r="Z25" s="156">
        <f t="shared" si="7"/>
        <v>0</v>
      </c>
      <c r="AA25" s="156">
        <f t="shared" si="8"/>
        <v>0</v>
      </c>
      <c r="AB25" s="156">
        <f t="shared" si="9"/>
        <v>0</v>
      </c>
      <c r="AC25" s="156">
        <f t="shared" si="10"/>
        <v>0</v>
      </c>
      <c r="AD25" s="156">
        <f t="shared" si="11"/>
        <v>0</v>
      </c>
      <c r="AE25" s="156">
        <f t="shared" si="12"/>
        <v>0</v>
      </c>
      <c r="AF25" s="156">
        <f t="shared" si="13"/>
        <v>0</v>
      </c>
      <c r="AH25" s="159" t="s">
        <v>679</v>
      </c>
      <c r="AI25" s="79" t="str">
        <f t="shared" ref="AI25:AM28" si="48">AI10</f>
        <v>R. Forsyth</v>
      </c>
      <c r="AJ25" s="164">
        <f t="shared" si="48"/>
        <v>0</v>
      </c>
      <c r="AK25" s="164">
        <f t="shared" si="48"/>
        <v>0</v>
      </c>
      <c r="AL25" s="164">
        <f t="shared" si="48"/>
        <v>0</v>
      </c>
      <c r="AM25" s="164">
        <f t="shared" si="48"/>
        <v>7.5519999999999996</v>
      </c>
      <c r="AN25" s="164">
        <f t="shared" ref="AN25:AT25" si="49">AN11</f>
        <v>0</v>
      </c>
      <c r="AO25" s="164">
        <f t="shared" si="49"/>
        <v>0</v>
      </c>
      <c r="AP25" s="164">
        <f t="shared" si="49"/>
        <v>0</v>
      </c>
      <c r="AQ25" s="167">
        <f t="shared" si="49"/>
        <v>0.14166666666666669</v>
      </c>
      <c r="AR25" s="167">
        <f t="shared" si="49"/>
        <v>0</v>
      </c>
      <c r="AS25" s="167">
        <f t="shared" si="49"/>
        <v>0</v>
      </c>
      <c r="AT25" s="167">
        <f t="shared" si="49"/>
        <v>0</v>
      </c>
    </row>
    <row r="26" spans="1:46" s="82" customFormat="1" ht="14.25" customHeight="1" x14ac:dyDescent="0.25">
      <c r="A26" s="131" t="str">
        <f>Plantilla!A26</f>
        <v>#9</v>
      </c>
      <c r="B26" s="131" t="str">
        <f>Plantilla!B26</f>
        <v>DAV</v>
      </c>
      <c r="C26" s="90" t="str">
        <f>Plantilla!D26</f>
        <v>J. Limon</v>
      </c>
      <c r="D26" s="133">
        <f>Plantilla!E26</f>
        <v>34</v>
      </c>
      <c r="E26" s="138">
        <f ca="1">Plantilla!F26</f>
        <v>103</v>
      </c>
      <c r="F26" s="134" t="str">
        <f>Plantilla!G26</f>
        <v>RAP</v>
      </c>
      <c r="G26" s="328">
        <f>Plantilla!H26</f>
        <v>3</v>
      </c>
      <c r="H26" s="102">
        <f>Plantilla!I26</f>
        <v>14.3</v>
      </c>
      <c r="I26" s="184">
        <f>Plantilla!X26</f>
        <v>0</v>
      </c>
      <c r="J26" s="184">
        <f>Plantilla!Y26</f>
        <v>6.8376190476190493</v>
      </c>
      <c r="K26" s="184">
        <f>Plantilla!Z26</f>
        <v>8.9499999999999993</v>
      </c>
      <c r="L26" s="184">
        <f>Plantilla!AA26</f>
        <v>8.7399999999999967</v>
      </c>
      <c r="M26" s="184">
        <f>Plantilla!AB26</f>
        <v>9.9499999999999993</v>
      </c>
      <c r="N26" s="184">
        <f>Plantilla!AC26</f>
        <v>6.95</v>
      </c>
      <c r="O26" s="184">
        <f>Plantilla!AD26</f>
        <v>18.999999999999993</v>
      </c>
      <c r="P26" s="146">
        <f t="shared" si="21"/>
        <v>34</v>
      </c>
      <c r="Q26" s="147">
        <f t="shared" ca="1" si="22"/>
        <v>110</v>
      </c>
      <c r="R26" s="92">
        <f t="shared" si="5"/>
        <v>14.3</v>
      </c>
      <c r="S26" s="200">
        <f t="shared" si="38"/>
        <v>0</v>
      </c>
      <c r="T26" s="200">
        <f t="shared" si="39"/>
        <v>6.8376190476190493</v>
      </c>
      <c r="U26" s="200">
        <f t="shared" si="40"/>
        <v>8.9499999999999993</v>
      </c>
      <c r="V26" s="200">
        <f t="shared" si="41"/>
        <v>8.7399999999999967</v>
      </c>
      <c r="W26" s="200">
        <f t="shared" si="42"/>
        <v>9.9499999999999993</v>
      </c>
      <c r="X26" s="200">
        <f t="shared" si="43"/>
        <v>6.95</v>
      </c>
      <c r="Y26" s="200">
        <f t="shared" si="44"/>
        <v>18.999999999999993</v>
      </c>
      <c r="Z26" s="156">
        <f t="shared" si="7"/>
        <v>0</v>
      </c>
      <c r="AA26" s="156">
        <f t="shared" si="8"/>
        <v>0</v>
      </c>
      <c r="AB26" s="156">
        <f t="shared" si="9"/>
        <v>0</v>
      </c>
      <c r="AC26" s="156">
        <f t="shared" si="10"/>
        <v>0</v>
      </c>
      <c r="AD26" s="156">
        <f t="shared" si="11"/>
        <v>0</v>
      </c>
      <c r="AE26" s="156">
        <f t="shared" si="12"/>
        <v>0</v>
      </c>
      <c r="AF26" s="156">
        <f t="shared" si="13"/>
        <v>0</v>
      </c>
      <c r="AH26" s="159" t="s">
        <v>353</v>
      </c>
      <c r="AI26" s="79" t="str">
        <f t="shared" si="48"/>
        <v>I. Vanags</v>
      </c>
      <c r="AJ26" s="164">
        <f t="shared" si="48"/>
        <v>0</v>
      </c>
      <c r="AK26" s="164">
        <f t="shared" si="48"/>
        <v>0</v>
      </c>
      <c r="AL26" s="164">
        <f t="shared" si="48"/>
        <v>0</v>
      </c>
      <c r="AM26" s="164">
        <f t="shared" si="48"/>
        <v>8</v>
      </c>
      <c r="AN26" s="164">
        <f t="shared" ref="AN26:AP26" si="50">AN12</f>
        <v>0</v>
      </c>
      <c r="AO26" s="164">
        <f t="shared" si="50"/>
        <v>0</v>
      </c>
      <c r="AP26" s="164">
        <f t="shared" si="50"/>
        <v>0</v>
      </c>
      <c r="AQ26" s="167">
        <f>AQ12</f>
        <v>0</v>
      </c>
      <c r="AR26" s="167">
        <f t="shared" ref="AR26:AT26" si="51">AR12</f>
        <v>0</v>
      </c>
      <c r="AS26" s="167">
        <f t="shared" si="51"/>
        <v>0</v>
      </c>
      <c r="AT26" s="167">
        <f t="shared" si="51"/>
        <v>0</v>
      </c>
    </row>
    <row r="27" spans="1:46" x14ac:dyDescent="0.25">
      <c r="A27" s="131" t="str">
        <f>Plantilla!A27</f>
        <v>#15</v>
      </c>
      <c r="B27" s="131" t="str">
        <f>Plantilla!B27</f>
        <v>DAV</v>
      </c>
      <c r="C27" s="90" t="str">
        <f>Plantilla!D27</f>
        <v>P .Trivadi</v>
      </c>
      <c r="D27" s="133">
        <f>Plantilla!E27</f>
        <v>32</v>
      </c>
      <c r="E27" s="138">
        <f ca="1">Plantilla!F27</f>
        <v>22</v>
      </c>
      <c r="F27" s="134"/>
      <c r="G27" s="328">
        <f>Plantilla!H27</f>
        <v>5</v>
      </c>
      <c r="H27" s="102">
        <f>Plantilla!I27</f>
        <v>6.2</v>
      </c>
      <c r="I27" s="184">
        <f>Plantilla!X27</f>
        <v>0</v>
      </c>
      <c r="J27" s="184">
        <f>Plantilla!Y27</f>
        <v>4.0199999999999996</v>
      </c>
      <c r="K27" s="184">
        <f>Plantilla!Z27</f>
        <v>6</v>
      </c>
      <c r="L27" s="184">
        <f>Plantilla!AA27</f>
        <v>5.5099999999999989</v>
      </c>
      <c r="M27" s="184">
        <f>Plantilla!AB27</f>
        <v>10.95</v>
      </c>
      <c r="N27" s="184">
        <f>Plantilla!AC27</f>
        <v>7.95</v>
      </c>
      <c r="O27" s="184">
        <f>Plantilla!AD27</f>
        <v>14</v>
      </c>
      <c r="P27" s="146">
        <f t="shared" si="21"/>
        <v>32</v>
      </c>
      <c r="Q27" s="147">
        <f t="shared" ca="1" si="22"/>
        <v>29</v>
      </c>
      <c r="R27" s="92">
        <f t="shared" si="5"/>
        <v>6.2</v>
      </c>
      <c r="S27" s="200">
        <f t="shared" si="38"/>
        <v>0</v>
      </c>
      <c r="T27" s="200">
        <f t="shared" si="39"/>
        <v>4.0199999999999996</v>
      </c>
      <c r="U27" s="200">
        <f t="shared" si="40"/>
        <v>6</v>
      </c>
      <c r="V27" s="200">
        <f t="shared" si="41"/>
        <v>5.5099999999999989</v>
      </c>
      <c r="W27" s="200">
        <f t="shared" si="42"/>
        <v>10.95</v>
      </c>
      <c r="X27" s="200">
        <f t="shared" si="43"/>
        <v>7.95</v>
      </c>
      <c r="Y27" s="200">
        <f t="shared" si="44"/>
        <v>14</v>
      </c>
      <c r="Z27" s="156">
        <f t="shared" si="7"/>
        <v>0</v>
      </c>
      <c r="AA27" s="156">
        <f t="shared" si="8"/>
        <v>0</v>
      </c>
      <c r="AB27" s="156">
        <f t="shared" si="9"/>
        <v>0</v>
      </c>
      <c r="AC27" s="156">
        <f t="shared" si="10"/>
        <v>0</v>
      </c>
      <c r="AD27" s="156">
        <f t="shared" si="11"/>
        <v>0</v>
      </c>
      <c r="AE27" s="156">
        <f t="shared" si="12"/>
        <v>0</v>
      </c>
      <c r="AF27" s="156">
        <f t="shared" si="13"/>
        <v>0</v>
      </c>
      <c r="AH27" s="641" t="s">
        <v>680</v>
      </c>
      <c r="AI27" s="79" t="str">
        <f t="shared" si="48"/>
        <v>I. Stone</v>
      </c>
      <c r="AJ27" s="164">
        <f t="shared" si="48"/>
        <v>0</v>
      </c>
      <c r="AK27" s="164">
        <f t="shared" si="48"/>
        <v>0</v>
      </c>
      <c r="AL27" s="164">
        <f t="shared" si="48"/>
        <v>0</v>
      </c>
      <c r="AM27" s="164">
        <f t="shared" si="48"/>
        <v>6.3100000000000005</v>
      </c>
      <c r="AN27" s="162">
        <f t="shared" ref="AN27:AT27" si="52">AN13</f>
        <v>0.88400000000000012</v>
      </c>
      <c r="AO27" s="162">
        <f t="shared" si="52"/>
        <v>0.88400000000000012</v>
      </c>
      <c r="AP27" s="162">
        <f t="shared" si="52"/>
        <v>3.4000000000000004</v>
      </c>
      <c r="AQ27" s="225">
        <f t="shared" si="52"/>
        <v>0.17</v>
      </c>
      <c r="AR27" s="225">
        <f t="shared" si="52"/>
        <v>0</v>
      </c>
      <c r="AS27" s="165">
        <f t="shared" si="52"/>
        <v>0</v>
      </c>
      <c r="AT27" s="165">
        <f t="shared" si="52"/>
        <v>0</v>
      </c>
    </row>
    <row r="28" spans="1:46" x14ac:dyDescent="0.25">
      <c r="A28" s="131"/>
      <c r="B28" s="131"/>
      <c r="C28" s="90"/>
      <c r="D28" s="133"/>
      <c r="E28" s="138"/>
      <c r="F28" s="134"/>
      <c r="G28" s="328"/>
      <c r="H28" s="102"/>
      <c r="I28" s="184"/>
      <c r="J28" s="184"/>
      <c r="K28" s="184"/>
      <c r="L28" s="184"/>
      <c r="M28" s="184"/>
      <c r="N28" s="184"/>
      <c r="O28" s="184"/>
      <c r="P28" s="146"/>
      <c r="Q28" s="147"/>
      <c r="R28" s="92"/>
      <c r="S28" s="200"/>
      <c r="T28" s="200"/>
      <c r="U28" s="200"/>
      <c r="V28" s="200"/>
      <c r="W28" s="200"/>
      <c r="X28" s="200"/>
      <c r="Y28" s="200"/>
      <c r="Z28" s="156"/>
      <c r="AA28" s="156"/>
      <c r="AB28" s="156"/>
      <c r="AC28" s="156"/>
      <c r="AD28" s="156"/>
      <c r="AE28" s="156"/>
      <c r="AF28" s="156"/>
      <c r="AH28" s="641" t="s">
        <v>680</v>
      </c>
      <c r="AI28" s="79" t="str">
        <f t="shared" si="48"/>
        <v>M. Bondarewski</v>
      </c>
      <c r="AJ28" s="164">
        <f t="shared" si="48"/>
        <v>0</v>
      </c>
      <c r="AK28" s="164">
        <f t="shared" si="48"/>
        <v>0</v>
      </c>
      <c r="AL28" s="164">
        <f t="shared" si="48"/>
        <v>0</v>
      </c>
      <c r="AM28" s="164">
        <f t="shared" si="48"/>
        <v>5.048</v>
      </c>
      <c r="AN28" s="164">
        <f t="shared" ref="AN28:AP28" si="53">AN14</f>
        <v>0</v>
      </c>
      <c r="AO28" s="164">
        <f t="shared" si="53"/>
        <v>0</v>
      </c>
      <c r="AP28" s="164">
        <f t="shared" si="53"/>
        <v>0</v>
      </c>
      <c r="AQ28" s="165">
        <f>AQ14</f>
        <v>0</v>
      </c>
      <c r="AR28" s="165">
        <f t="shared" ref="AR28:AT28" si="54">AR14</f>
        <v>0</v>
      </c>
      <c r="AS28" s="165">
        <f t="shared" si="54"/>
        <v>0</v>
      </c>
      <c r="AT28" s="165">
        <f t="shared" si="54"/>
        <v>0</v>
      </c>
    </row>
    <row r="29" spans="1:46" x14ac:dyDescent="0.25">
      <c r="A29" s="131"/>
      <c r="B29" s="131"/>
      <c r="C29" s="90"/>
      <c r="D29" s="133"/>
      <c r="E29" s="138"/>
      <c r="F29" s="134"/>
      <c r="G29" s="328"/>
      <c r="H29" s="102"/>
      <c r="I29" s="184"/>
      <c r="J29" s="184"/>
      <c r="K29" s="184"/>
      <c r="L29" s="184"/>
      <c r="M29" s="184"/>
      <c r="N29" s="184"/>
      <c r="O29" s="184"/>
      <c r="P29" s="146"/>
      <c r="Q29" s="147"/>
      <c r="R29" s="92"/>
      <c r="S29" s="200"/>
      <c r="T29" s="200"/>
      <c r="U29" s="200"/>
      <c r="V29" s="200"/>
      <c r="W29" s="200"/>
      <c r="X29" s="200"/>
      <c r="Y29" s="200"/>
      <c r="Z29" s="156"/>
      <c r="AA29" s="156"/>
      <c r="AB29" s="156"/>
      <c r="AC29" s="156"/>
      <c r="AD29" s="156"/>
      <c r="AE29" s="156"/>
      <c r="AF29" s="156"/>
      <c r="AH29" s="160"/>
      <c r="AI29" s="161"/>
      <c r="AJ29" s="161"/>
      <c r="AK29" s="161"/>
      <c r="AL29" s="161"/>
      <c r="AM29" s="161"/>
      <c r="AN29" s="161"/>
      <c r="AO29" s="161"/>
      <c r="AP29" s="161"/>
      <c r="AQ29" s="161"/>
      <c r="AR29" s="161"/>
      <c r="AS29" s="161"/>
      <c r="AT29" s="161"/>
    </row>
    <row r="30" spans="1:46" x14ac:dyDescent="0.25">
      <c r="F30" s="320"/>
      <c r="S30" s="49"/>
      <c r="T30" s="49"/>
      <c r="U30" s="49"/>
      <c r="V30" s="49"/>
      <c r="W30" s="49"/>
      <c r="X30" s="49"/>
      <c r="Y30" s="49"/>
    </row>
    <row r="31" spans="1:46" x14ac:dyDescent="0.25">
      <c r="S31" s="49"/>
      <c r="T31" s="49"/>
      <c r="U31" s="49"/>
      <c r="V31" s="49"/>
      <c r="W31" s="49"/>
      <c r="X31" s="49"/>
      <c r="Y31" s="49"/>
    </row>
    <row r="32" spans="1:46" x14ac:dyDescent="0.25">
      <c r="S32" s="49"/>
      <c r="T32" s="49"/>
      <c r="U32" s="49"/>
      <c r="V32" s="49"/>
      <c r="W32" s="49"/>
      <c r="X32" s="49"/>
      <c r="Y32" s="49"/>
    </row>
    <row r="33" spans="19:25" x14ac:dyDescent="0.25">
      <c r="S33" s="49"/>
      <c r="T33" s="49"/>
      <c r="U33" s="49"/>
      <c r="V33" s="49"/>
      <c r="W33" s="49"/>
      <c r="X33" s="49"/>
      <c r="Y33" s="49"/>
    </row>
  </sheetData>
  <mergeCells count="4">
    <mergeCell ref="D2:F2"/>
    <mergeCell ref="AH1:AT1"/>
    <mergeCell ref="AH3:AI3"/>
    <mergeCell ref="AH17:AI17"/>
  </mergeCells>
  <conditionalFormatting sqref="Z4:AF29">
    <cfRule type="cellIs" dxfId="16" priority="94" operator="greaterThan">
      <formula>0</formula>
    </cfRule>
  </conditionalFormatting>
  <conditionalFormatting sqref="AJ14:AL14 AJ4:AP13">
    <cfRule type="cellIs" dxfId="15" priority="93" operator="greaterThan">
      <formula>0</formula>
    </cfRule>
  </conditionalFormatting>
  <conditionalFormatting sqref="AM19:AP19 AM21:AP22 AM20:AN20 AP20 AJ24:AP24 AJ25:AM28">
    <cfRule type="cellIs" dxfId="14" priority="50" operator="greaterThan">
      <formula>0</formula>
    </cfRule>
  </conditionalFormatting>
  <conditionalFormatting sqref="AM18:AP18">
    <cfRule type="cellIs" dxfId="13" priority="44" operator="greaterThan">
      <formula>0</formula>
    </cfRule>
  </conditionalFormatting>
  <conditionalFormatting sqref="AM23:AP23">
    <cfRule type="cellIs" dxfId="12" priority="37" operator="greaterThan">
      <formula>0</formula>
    </cfRule>
  </conditionalFormatting>
  <conditionalFormatting sqref="AN25:AP25">
    <cfRule type="cellIs" dxfId="11" priority="32" operator="greaterThan">
      <formula>0</formula>
    </cfRule>
  </conditionalFormatting>
  <conditionalFormatting sqref="AN26:AP26">
    <cfRule type="cellIs" dxfId="10" priority="29" operator="greaterThan">
      <formula>0</formula>
    </cfRule>
  </conditionalFormatting>
  <conditionalFormatting sqref="AN27:AP27">
    <cfRule type="cellIs" dxfId="9" priority="27" operator="greaterThan">
      <formula>0</formula>
    </cfRule>
  </conditionalFormatting>
  <conditionalFormatting sqref="AM14:AP14">
    <cfRule type="cellIs" dxfId="8" priority="25" operator="greaterThan">
      <formula>0</formula>
    </cfRule>
  </conditionalFormatting>
  <conditionalFormatting sqref="AN28:AP28">
    <cfRule type="cellIs" dxfId="7" priority="24" operator="greaterThan">
      <formula>0</formula>
    </cfRule>
  </conditionalFormatting>
  <conditionalFormatting sqref="AO20">
    <cfRule type="cellIs" dxfId="6" priority="10" operator="greaterThan">
      <formula>0</formula>
    </cfRule>
  </conditionalFormatting>
  <conditionalFormatting sqref="AJ2:AP2">
    <cfRule type="cellIs" dxfId="5" priority="7" operator="greaterThan">
      <formula>0</formula>
    </cfRule>
  </conditionalFormatting>
  <conditionalFormatting sqref="AJ16:AP16">
    <cfRule type="cellIs" dxfId="4" priority="6" operator="greaterThan">
      <formula>0</formula>
    </cfRule>
  </conditionalFormatting>
  <conditionalFormatting sqref="I4:O29">
    <cfRule type="cellIs" dxfId="3" priority="3587" operator="greaterThan">
      <formula>8</formula>
    </cfRule>
    <cfRule type="colorScale" priority="3588">
      <colorScale>
        <cfvo type="min"/>
        <cfvo type="max"/>
        <color rgb="FFFFEF9C"/>
        <color rgb="FFFF7128"/>
      </colorScale>
    </cfRule>
  </conditionalFormatting>
  <conditionalFormatting sqref="S13:Y22 S28:Y29">
    <cfRule type="colorScale" priority="3591">
      <colorScale>
        <cfvo type="min"/>
        <cfvo type="max"/>
        <color rgb="FFFFEF9C"/>
        <color rgb="FF63BE7B"/>
      </colorScale>
    </cfRule>
  </conditionalFormatting>
  <conditionalFormatting sqref="H4:H29">
    <cfRule type="colorScale" priority="3593">
      <colorScale>
        <cfvo type="min"/>
        <cfvo type="percentile" val="50"/>
        <cfvo type="max"/>
        <color rgb="FFF8696B"/>
        <color rgb="FFFFEB84"/>
        <color rgb="FF63BE7B"/>
      </colorScale>
    </cfRule>
  </conditionalFormatting>
  <conditionalFormatting sqref="S4:Y12 S23:Y27">
    <cfRule type="colorScale" priority="2">
      <colorScale>
        <cfvo type="min"/>
        <cfvo type="max"/>
        <color rgb="FFFCFCFF"/>
        <color rgb="FFF8696B"/>
      </colorScale>
    </cfRule>
  </conditionalFormatting>
  <conditionalFormatting sqref="AJ18:AL23">
    <cfRule type="cellIs" dxfId="2" priority="1" operator="greaterThan">
      <formula>0</formula>
    </cfRule>
  </conditionalFormatting>
  <pageMargins left="0.70866141732283472" right="0.70866141732283472" top="0.74803149606299213" bottom="0.74803149606299213" header="0.31496062992125984" footer="0.31496062992125984"/>
  <pageSetup paperSize="9" scale="55" orientation="landscape"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39997558519241921"/>
  </sheetPr>
  <dimension ref="A1:AG34"/>
  <sheetViews>
    <sheetView zoomScale="90" zoomScaleNormal="90" workbookViewId="0">
      <selection activeCell="G25" sqref="G25"/>
    </sheetView>
  </sheetViews>
  <sheetFormatPr baseColWidth="10" defaultColWidth="11.42578125" defaultRowHeight="15" x14ac:dyDescent="0.25"/>
  <cols>
    <col min="1" max="1" width="13.28515625" style="201" customWidth="1"/>
    <col min="2" max="2" width="14.28515625" style="201" bestFit="1" customWidth="1"/>
    <col min="3" max="9" width="8.28515625" style="201" bestFit="1" customWidth="1"/>
    <col min="10" max="10" width="8.28515625" style="222" bestFit="1" customWidth="1"/>
    <col min="11" max="11" width="9.28515625" style="222" bestFit="1" customWidth="1"/>
    <col min="12" max="12" width="8.28515625" style="201" bestFit="1" customWidth="1"/>
    <col min="14" max="14" width="13.42578125" customWidth="1"/>
    <col min="15" max="15" width="15" customWidth="1"/>
    <col min="16" max="22" width="8.42578125" bestFit="1" customWidth="1"/>
    <col min="23" max="23" width="7.85546875" bestFit="1" customWidth="1"/>
    <col min="24" max="24" width="7.140625" bestFit="1" customWidth="1"/>
    <col min="25" max="25" width="7.7109375" style="183" bestFit="1" customWidth="1"/>
    <col min="26" max="26" width="7.140625" bestFit="1" customWidth="1"/>
    <col min="27" max="27" width="7.7109375" bestFit="1" customWidth="1"/>
    <col min="28" max="28" width="7.140625" bestFit="1" customWidth="1"/>
    <col min="29" max="29" width="7.7109375" bestFit="1" customWidth="1"/>
    <col min="30" max="30" width="8.42578125" bestFit="1" customWidth="1"/>
    <col min="31" max="31" width="8.42578125" customWidth="1"/>
    <col min="32" max="32" width="7.140625" bestFit="1" customWidth="1"/>
    <col min="33" max="33" width="7.140625" customWidth="1"/>
  </cols>
  <sheetData>
    <row r="1" spans="1:33" x14ac:dyDescent="0.25">
      <c r="B1" s="1" t="s">
        <v>341</v>
      </c>
      <c r="C1" s="232">
        <f t="shared" ref="C1:L1" si="0">MAX(C3:C27)</f>
        <v>7.6541020779221203E-2</v>
      </c>
      <c r="D1" s="232">
        <f t="shared" si="0"/>
        <v>9.516709370629349E-2</v>
      </c>
      <c r="E1" s="232">
        <f t="shared" si="0"/>
        <v>0.10114897692307692</v>
      </c>
      <c r="F1" s="232">
        <f t="shared" si="0"/>
        <v>5.254696863959811E-2</v>
      </c>
      <c r="G1" s="232">
        <f t="shared" si="0"/>
        <v>5.2239892473118138E-2</v>
      </c>
      <c r="H1" s="232">
        <f t="shared" si="0"/>
        <v>8.0176190476190248E-2</v>
      </c>
      <c r="I1" s="232">
        <f t="shared" si="0"/>
        <v>5.7961761904761842E-2</v>
      </c>
      <c r="J1" s="232">
        <f t="shared" si="0"/>
        <v>0</v>
      </c>
      <c r="K1" s="232">
        <f t="shared" si="0"/>
        <v>3.6222627372627408E-2</v>
      </c>
      <c r="L1" s="232">
        <f t="shared" si="0"/>
        <v>0.16964285714285698</v>
      </c>
      <c r="N1" s="201"/>
      <c r="O1" s="201"/>
      <c r="P1" s="202"/>
      <c r="Q1" s="202"/>
      <c r="R1" s="202"/>
      <c r="S1" s="202"/>
      <c r="T1" s="202"/>
      <c r="U1" s="202"/>
      <c r="V1" s="202"/>
      <c r="W1" s="202"/>
      <c r="X1" s="202"/>
      <c r="Y1" s="280"/>
      <c r="Z1" s="202"/>
      <c r="AA1" s="202"/>
      <c r="AB1" s="202"/>
      <c r="AC1" s="202"/>
      <c r="AD1" s="202"/>
      <c r="AE1" s="202"/>
      <c r="AF1" s="202"/>
      <c r="AG1" s="202"/>
    </row>
    <row r="2" spans="1:33" x14ac:dyDescent="0.25">
      <c r="A2" s="275" t="s">
        <v>333</v>
      </c>
      <c r="B2" s="276" t="s">
        <v>332</v>
      </c>
      <c r="C2" s="112" t="s">
        <v>204</v>
      </c>
      <c r="D2" s="205" t="s">
        <v>205</v>
      </c>
      <c r="E2" s="205" t="s">
        <v>215</v>
      </c>
      <c r="F2" s="205" t="s">
        <v>206</v>
      </c>
      <c r="G2" s="205" t="s">
        <v>207</v>
      </c>
      <c r="H2" s="205" t="s">
        <v>208</v>
      </c>
      <c r="I2" s="205" t="s">
        <v>209</v>
      </c>
      <c r="J2" s="205" t="s">
        <v>342</v>
      </c>
      <c r="K2" s="205" t="s">
        <v>343</v>
      </c>
      <c r="L2" s="205" t="s">
        <v>263</v>
      </c>
      <c r="N2" s="275" t="s">
        <v>333</v>
      </c>
      <c r="O2" s="276" t="s">
        <v>332</v>
      </c>
      <c r="P2" s="112" t="s">
        <v>204</v>
      </c>
      <c r="Q2" s="205" t="s">
        <v>383</v>
      </c>
      <c r="R2" s="205" t="s">
        <v>205</v>
      </c>
      <c r="S2" s="205" t="s">
        <v>383</v>
      </c>
      <c r="T2" s="205" t="s">
        <v>215</v>
      </c>
      <c r="U2" s="205" t="s">
        <v>383</v>
      </c>
      <c r="V2" s="205" t="s">
        <v>206</v>
      </c>
      <c r="W2" s="205" t="s">
        <v>383</v>
      </c>
      <c r="X2" s="205" t="s">
        <v>207</v>
      </c>
      <c r="Y2" s="205" t="s">
        <v>383</v>
      </c>
      <c r="Z2" s="205" t="s">
        <v>208</v>
      </c>
      <c r="AA2" s="205" t="s">
        <v>383</v>
      </c>
      <c r="AB2" s="205" t="s">
        <v>209</v>
      </c>
      <c r="AC2" s="205" t="s">
        <v>383</v>
      </c>
      <c r="AD2" s="229" t="s">
        <v>342</v>
      </c>
      <c r="AE2" s="229" t="s">
        <v>383</v>
      </c>
      <c r="AF2" s="229" t="s">
        <v>343</v>
      </c>
      <c r="AG2" s="229" t="s">
        <v>383</v>
      </c>
    </row>
    <row r="3" spans="1:33" x14ac:dyDescent="0.25">
      <c r="A3" s="204" t="s">
        <v>334</v>
      </c>
      <c r="B3" s="203" t="s">
        <v>70</v>
      </c>
      <c r="C3" s="213"/>
      <c r="D3" s="214"/>
      <c r="E3" s="214"/>
      <c r="F3" s="214"/>
      <c r="G3" s="214"/>
      <c r="H3" s="214"/>
      <c r="I3" s="214"/>
      <c r="J3" s="214"/>
      <c r="K3" s="214"/>
      <c r="L3" s="214"/>
      <c r="M3" s="7"/>
      <c r="N3" s="233" t="s">
        <v>334</v>
      </c>
      <c r="O3" s="234" t="s">
        <v>70</v>
      </c>
      <c r="P3" s="216">
        <f>C3/$C$4</f>
        <v>0</v>
      </c>
      <c r="Q3" s="288" t="e">
        <f>1/C3</f>
        <v>#DIV/0!</v>
      </c>
      <c r="R3" s="216">
        <f>D3/D1</f>
        <v>0</v>
      </c>
      <c r="S3" s="288" t="e">
        <f>1/D3</f>
        <v>#DIV/0!</v>
      </c>
      <c r="T3" s="216">
        <f>E3/E1</f>
        <v>0</v>
      </c>
      <c r="U3" s="288" t="e">
        <f>1/E3</f>
        <v>#DIV/0!</v>
      </c>
      <c r="V3" s="217"/>
      <c r="W3" s="217"/>
      <c r="X3" s="217"/>
      <c r="Y3" s="281"/>
      <c r="Z3" s="217"/>
      <c r="AA3" s="217"/>
      <c r="AB3" s="217"/>
      <c r="AC3" s="217"/>
      <c r="AD3" s="217"/>
      <c r="AE3" s="217"/>
      <c r="AF3" s="217">
        <f>K3/K1</f>
        <v>0</v>
      </c>
      <c r="AG3" s="281"/>
    </row>
    <row r="4" spans="1:33" x14ac:dyDescent="0.25">
      <c r="A4" s="695" t="s">
        <v>335</v>
      </c>
      <c r="B4" s="211" t="s">
        <v>304</v>
      </c>
      <c r="C4" s="235">
        <v>5.9340247552447711E-2</v>
      </c>
      <c r="D4" s="228">
        <v>6.8999559240759498E-2</v>
      </c>
      <c r="E4" s="228">
        <v>7.5579372027972075E-2</v>
      </c>
      <c r="F4" s="228"/>
      <c r="G4" s="228"/>
      <c r="H4" s="228"/>
      <c r="I4" s="228"/>
      <c r="J4" s="228">
        <v>0</v>
      </c>
      <c r="K4" s="228">
        <v>3.6222627372627408E-2</v>
      </c>
      <c r="L4" s="228"/>
      <c r="M4" s="7"/>
      <c r="N4" s="697" t="s">
        <v>335</v>
      </c>
      <c r="O4" s="236" t="s">
        <v>304</v>
      </c>
      <c r="P4" s="218">
        <f>C4/$C$1</f>
        <v>0.77527379369046734</v>
      </c>
      <c r="Q4" s="282">
        <f>1/C4</f>
        <v>16.851968794301925</v>
      </c>
      <c r="R4" s="219">
        <f>D4/$D$1</f>
        <v>0.72503589795131562</v>
      </c>
      <c r="S4" s="282">
        <f>1/D4</f>
        <v>14.492846200809916</v>
      </c>
      <c r="T4" s="219">
        <f>E4/$E$1</f>
        <v>0.74720846742176794</v>
      </c>
      <c r="U4" s="282">
        <f>1/E4</f>
        <v>13.231123429153367</v>
      </c>
      <c r="V4" s="219"/>
      <c r="W4" s="219"/>
      <c r="X4" s="218"/>
      <c r="Y4" s="282"/>
      <c r="Z4" s="219"/>
      <c r="AA4" s="219"/>
      <c r="AB4" s="219"/>
      <c r="AC4" s="219"/>
      <c r="AD4" s="218"/>
      <c r="AE4" s="218"/>
      <c r="AF4" s="218">
        <f>K4/K1</f>
        <v>1</v>
      </c>
      <c r="AG4" s="286"/>
    </row>
    <row r="5" spans="1:33" x14ac:dyDescent="0.25">
      <c r="A5" s="695"/>
      <c r="B5" s="211" t="s">
        <v>303</v>
      </c>
      <c r="C5" s="230"/>
      <c r="D5" s="215"/>
      <c r="E5" s="215"/>
      <c r="F5" s="215">
        <v>5.254696863959811E-2</v>
      </c>
      <c r="G5" s="215"/>
      <c r="H5" s="215"/>
      <c r="I5" s="215"/>
      <c r="J5" s="215"/>
      <c r="K5" s="215"/>
      <c r="L5" s="215"/>
      <c r="M5" s="7"/>
      <c r="N5" s="697"/>
      <c r="O5" s="236" t="s">
        <v>303</v>
      </c>
      <c r="P5" s="220"/>
      <c r="Q5" s="283"/>
      <c r="R5" s="207"/>
      <c r="S5" s="283"/>
      <c r="T5" s="207"/>
      <c r="U5" s="283"/>
      <c r="V5" s="207">
        <f>F5/F1</f>
        <v>1</v>
      </c>
      <c r="W5" s="283">
        <f>1/F5</f>
        <v>19.03059350309362</v>
      </c>
      <c r="X5" s="220"/>
      <c r="Y5" s="283"/>
      <c r="Z5" s="207"/>
      <c r="AA5" s="207"/>
      <c r="AB5" s="207"/>
      <c r="AC5" s="207"/>
      <c r="AD5" s="220"/>
      <c r="AE5" s="220"/>
      <c r="AF5" s="220"/>
      <c r="AG5" s="285"/>
    </row>
    <row r="6" spans="1:33" x14ac:dyDescent="0.25">
      <c r="A6" s="695"/>
      <c r="B6" s="211" t="s">
        <v>339</v>
      </c>
      <c r="C6" s="230"/>
      <c r="D6" s="215"/>
      <c r="E6" s="215"/>
      <c r="F6" s="215"/>
      <c r="G6" s="215">
        <v>3.9584999999999822E-2</v>
      </c>
      <c r="H6" s="215">
        <v>6.3542692307692147E-2</v>
      </c>
      <c r="I6" s="215">
        <v>0</v>
      </c>
      <c r="J6" s="215"/>
      <c r="K6" s="215"/>
      <c r="L6" s="215"/>
      <c r="M6" s="7"/>
      <c r="N6" s="697"/>
      <c r="O6" s="236" t="s">
        <v>339</v>
      </c>
      <c r="P6" s="220"/>
      <c r="Q6" s="283"/>
      <c r="R6" s="207"/>
      <c r="S6" s="283"/>
      <c r="T6" s="207"/>
      <c r="U6" s="283"/>
      <c r="V6" s="207"/>
      <c r="W6" s="283"/>
      <c r="X6" s="220">
        <f>G6/$G$1</f>
        <v>0.75775423964300204</v>
      </c>
      <c r="Y6" s="283">
        <f>1/G6</f>
        <v>25.262094227611584</v>
      </c>
      <c r="Z6" s="207">
        <f>H6/$H$1</f>
        <v>0.79253818284821453</v>
      </c>
      <c r="AA6" s="283">
        <f>1/H6</f>
        <v>15.737450896126811</v>
      </c>
      <c r="AB6" s="207">
        <f>I6/$I$1</f>
        <v>0</v>
      </c>
      <c r="AC6" s="207"/>
      <c r="AD6" s="220"/>
      <c r="AE6" s="220"/>
      <c r="AF6" s="220"/>
      <c r="AG6" s="285"/>
    </row>
    <row r="7" spans="1:33" x14ac:dyDescent="0.25">
      <c r="A7" s="695"/>
      <c r="B7" s="211" t="s">
        <v>340</v>
      </c>
      <c r="C7" s="230"/>
      <c r="D7" s="215"/>
      <c r="E7" s="215"/>
      <c r="F7" s="215"/>
      <c r="G7" s="215">
        <v>3.3714285714285648E-2</v>
      </c>
      <c r="H7" s="215">
        <v>3.433928571428569E-2</v>
      </c>
      <c r="I7" s="215">
        <v>4.9198011904761828E-2</v>
      </c>
      <c r="J7" s="215"/>
      <c r="K7" s="215"/>
      <c r="L7" s="215"/>
      <c r="M7" s="7"/>
      <c r="N7" s="697"/>
      <c r="O7" s="236" t="s">
        <v>340</v>
      </c>
      <c r="P7" s="220"/>
      <c r="Q7" s="283"/>
      <c r="R7" s="207"/>
      <c r="S7" s="283"/>
      <c r="T7" s="207"/>
      <c r="U7" s="283"/>
      <c r="V7" s="207"/>
      <c r="W7" s="283"/>
      <c r="X7" s="220">
        <f t="shared" ref="X7" si="1">G7/$G$1</f>
        <v>0.64537433210902018</v>
      </c>
      <c r="Y7" s="283">
        <f t="shared" ref="Y7" si="2">1/G7</f>
        <v>29.6610169491526</v>
      </c>
      <c r="Z7" s="207">
        <f t="shared" ref="Z7" si="3">H7/$H$1</f>
        <v>0.42829779651957089</v>
      </c>
      <c r="AA7" s="283">
        <f t="shared" ref="AA7" si="4">1/H7</f>
        <v>29.121164846593885</v>
      </c>
      <c r="AB7" s="207">
        <f t="shared" ref="AB7" si="5">I7/$I$1</f>
        <v>0.84880118008835015</v>
      </c>
      <c r="AC7" s="283">
        <f t="shared" ref="AC7" si="6">1/I7</f>
        <v>20.326024594973745</v>
      </c>
      <c r="AD7" s="220"/>
      <c r="AE7" s="220"/>
      <c r="AF7" s="220"/>
      <c r="AG7" s="285"/>
    </row>
    <row r="8" spans="1:33" x14ac:dyDescent="0.25">
      <c r="A8" s="695"/>
      <c r="B8" s="211" t="s">
        <v>322</v>
      </c>
      <c r="C8" s="230"/>
      <c r="D8" s="215"/>
      <c r="E8" s="215"/>
      <c r="F8" s="215"/>
      <c r="G8" s="215"/>
      <c r="H8" s="215"/>
      <c r="I8" s="215"/>
      <c r="J8" s="215"/>
      <c r="K8" s="215"/>
      <c r="L8" s="215"/>
      <c r="M8" s="7"/>
      <c r="N8" s="697"/>
      <c r="O8" s="236" t="s">
        <v>322</v>
      </c>
      <c r="P8" s="220"/>
      <c r="Q8" s="283"/>
      <c r="R8" s="207"/>
      <c r="S8" s="283"/>
      <c r="T8" s="207"/>
      <c r="U8" s="283"/>
      <c r="V8" s="207"/>
      <c r="W8" s="283"/>
      <c r="X8" s="220"/>
      <c r="Y8" s="283"/>
      <c r="Z8" s="207"/>
      <c r="AA8" s="283"/>
      <c r="AB8" s="207"/>
      <c r="AC8" s="283"/>
      <c r="AD8" s="220"/>
      <c r="AE8" s="285"/>
      <c r="AF8" s="220"/>
      <c r="AG8" s="285"/>
    </row>
    <row r="9" spans="1:33" x14ac:dyDescent="0.25">
      <c r="A9" s="695"/>
      <c r="B9" s="223" t="s">
        <v>0</v>
      </c>
      <c r="C9" s="231"/>
      <c r="D9" s="206"/>
      <c r="E9" s="206"/>
      <c r="F9" s="206"/>
      <c r="G9" s="206"/>
      <c r="H9" s="206"/>
      <c r="I9" s="206"/>
      <c r="J9" s="206"/>
      <c r="K9" s="206"/>
      <c r="L9" s="206"/>
      <c r="M9" s="7"/>
      <c r="N9" s="697"/>
      <c r="O9" s="236" t="s">
        <v>0</v>
      </c>
      <c r="P9" s="221"/>
      <c r="Q9" s="284"/>
      <c r="R9" s="208"/>
      <c r="S9" s="284"/>
      <c r="T9" s="208"/>
      <c r="U9" s="284"/>
      <c r="V9" s="208"/>
      <c r="W9" s="284"/>
      <c r="X9" s="221"/>
      <c r="Y9" s="284"/>
      <c r="Z9" s="208"/>
      <c r="AA9" s="208"/>
      <c r="AB9" s="208"/>
      <c r="AC9" s="208"/>
      <c r="AD9" s="221" t="e">
        <f>J9/$J$1</f>
        <v>#DIV/0!</v>
      </c>
      <c r="AE9" s="287" t="e">
        <f>1/J9</f>
        <v>#DIV/0!</v>
      </c>
      <c r="AF9" s="221">
        <f>K9/$K$1</f>
        <v>0</v>
      </c>
      <c r="AG9" s="287" t="e">
        <f>1/K9</f>
        <v>#DIV/0!</v>
      </c>
    </row>
    <row r="10" spans="1:33" x14ac:dyDescent="0.25">
      <c r="A10" s="696" t="s">
        <v>336</v>
      </c>
      <c r="B10" s="212" t="s">
        <v>304</v>
      </c>
      <c r="C10" s="235">
        <v>4.0980247552447779E-2</v>
      </c>
      <c r="D10" s="228">
        <v>7.0304873926074096E-2</v>
      </c>
      <c r="E10" s="228">
        <v>4.0579372027972196E-2</v>
      </c>
      <c r="F10" s="228"/>
      <c r="G10" s="228"/>
      <c r="H10" s="228"/>
      <c r="I10" s="228"/>
      <c r="J10" s="228">
        <v>0</v>
      </c>
      <c r="K10" s="228">
        <v>3.0871978021978067E-2</v>
      </c>
      <c r="L10" s="228"/>
      <c r="M10" s="7"/>
      <c r="N10" s="698" t="s">
        <v>336</v>
      </c>
      <c r="O10" s="237" t="s">
        <v>304</v>
      </c>
      <c r="P10" s="220">
        <f>C10/$C$1</f>
        <v>0.53540241736066307</v>
      </c>
      <c r="Q10" s="282">
        <f>1/C10</f>
        <v>24.40199998109258</v>
      </c>
      <c r="R10" s="219">
        <f>D10/$D$1</f>
        <v>0.73875192766788012</v>
      </c>
      <c r="S10" s="282">
        <f>1/D10</f>
        <v>14.223764927755999</v>
      </c>
      <c r="T10" s="219">
        <f>E10/$E$1</f>
        <v>0.40118420632996138</v>
      </c>
      <c r="U10" s="282">
        <f>1/E10</f>
        <v>24.643062472989463</v>
      </c>
      <c r="V10" s="207"/>
      <c r="W10" s="283"/>
      <c r="X10" s="220"/>
      <c r="Y10" s="283"/>
      <c r="Z10" s="207"/>
      <c r="AA10" s="207"/>
      <c r="AB10" s="207"/>
      <c r="AC10" s="207"/>
      <c r="AD10" s="220"/>
      <c r="AE10" s="207"/>
      <c r="AF10" s="207">
        <f>K10/K1</f>
        <v>0.85228433885796195</v>
      </c>
      <c r="AG10" s="283"/>
    </row>
    <row r="11" spans="1:33" x14ac:dyDescent="0.25">
      <c r="A11" s="695"/>
      <c r="B11" s="211" t="s">
        <v>303</v>
      </c>
      <c r="C11" s="230"/>
      <c r="D11" s="215"/>
      <c r="E11" s="215"/>
      <c r="F11" s="215">
        <v>5.1022557865187314E-2</v>
      </c>
      <c r="G11" s="215"/>
      <c r="H11" s="215"/>
      <c r="I11" s="215"/>
      <c r="J11" s="215"/>
      <c r="K11" s="215"/>
      <c r="L11" s="215"/>
      <c r="M11" s="7"/>
      <c r="N11" s="697"/>
      <c r="O11" s="236" t="s">
        <v>303</v>
      </c>
      <c r="P11" s="220"/>
      <c r="Q11" s="283"/>
      <c r="R11" s="207"/>
      <c r="S11" s="283"/>
      <c r="T11" s="207"/>
      <c r="U11" s="283"/>
      <c r="V11" s="207">
        <f>F11/F1</f>
        <v>0.97098955822045196</v>
      </c>
      <c r="W11" s="283">
        <f>1/F11</f>
        <v>19.599174205303804</v>
      </c>
      <c r="X11" s="220"/>
      <c r="Y11" s="283"/>
      <c r="Z11" s="207"/>
      <c r="AA11" s="207"/>
      <c r="AB11" s="207"/>
      <c r="AC11" s="207"/>
      <c r="AD11" s="220"/>
      <c r="AE11" s="207"/>
      <c r="AF11" s="207"/>
      <c r="AG11" s="283"/>
    </row>
    <row r="12" spans="1:33" x14ac:dyDescent="0.25">
      <c r="A12" s="695"/>
      <c r="B12" s="211" t="s">
        <v>339</v>
      </c>
      <c r="C12" s="230"/>
      <c r="D12" s="215"/>
      <c r="E12" s="215"/>
      <c r="F12" s="215"/>
      <c r="G12" s="215">
        <v>4.2215952380952187E-2</v>
      </c>
      <c r="H12" s="215">
        <v>6.617364468864452E-2</v>
      </c>
      <c r="I12" s="215">
        <v>0</v>
      </c>
      <c r="J12" s="215"/>
      <c r="K12" s="215"/>
      <c r="L12" s="215"/>
      <c r="M12" s="7"/>
      <c r="N12" s="697"/>
      <c r="O12" s="236" t="s">
        <v>339</v>
      </c>
      <c r="P12" s="220"/>
      <c r="Q12" s="283"/>
      <c r="R12" s="207"/>
      <c r="S12" s="283"/>
      <c r="T12" s="207"/>
      <c r="U12" s="283"/>
      <c r="V12" s="207"/>
      <c r="W12" s="283"/>
      <c r="X12" s="220">
        <f t="shared" ref="X12:X13" si="7">G12/$G$1</f>
        <v>0.80811713773484284</v>
      </c>
      <c r="Y12" s="283">
        <f t="shared" ref="Y12:Y13" si="8">1/G12</f>
        <v>23.687728064881924</v>
      </c>
      <c r="Z12" s="207">
        <f t="shared" ref="Z12:Z13" si="9">H12/$H$1</f>
        <v>0.82535281728427801</v>
      </c>
      <c r="AA12" s="283">
        <f t="shared" ref="AA12:AA13" si="10">1/H12</f>
        <v>15.111756420628305</v>
      </c>
      <c r="AB12" s="207">
        <f t="shared" ref="AB12:AB13" si="11">I12/$I$1</f>
        <v>0</v>
      </c>
      <c r="AC12" s="283"/>
      <c r="AD12" s="220"/>
      <c r="AE12" s="207"/>
      <c r="AF12" s="207"/>
      <c r="AG12" s="283"/>
    </row>
    <row r="13" spans="1:33" x14ac:dyDescent="0.25">
      <c r="A13" s="695"/>
      <c r="B13" s="211" t="s">
        <v>340</v>
      </c>
      <c r="C13" s="230"/>
      <c r="D13" s="215"/>
      <c r="E13" s="215"/>
      <c r="F13" s="215"/>
      <c r="G13" s="215">
        <v>3.8151785714285652E-2</v>
      </c>
      <c r="H13" s="215">
        <v>3.8776785714285687E-2</v>
      </c>
      <c r="I13" s="215">
        <v>5.7961761904761842E-2</v>
      </c>
      <c r="J13" s="215"/>
      <c r="K13" s="215"/>
      <c r="L13" s="215"/>
      <c r="M13" s="7"/>
      <c r="N13" s="697"/>
      <c r="O13" s="236" t="s">
        <v>340</v>
      </c>
      <c r="P13" s="220"/>
      <c r="Q13" s="283"/>
      <c r="R13" s="207"/>
      <c r="S13" s="283"/>
      <c r="T13" s="207"/>
      <c r="U13" s="283"/>
      <c r="V13" s="207"/>
      <c r="W13" s="283"/>
      <c r="X13" s="220">
        <f t="shared" si="7"/>
        <v>0.73031899393586974</v>
      </c>
      <c r="Y13" s="283">
        <f t="shared" si="8"/>
        <v>26.211092908963302</v>
      </c>
      <c r="Z13" s="207">
        <f t="shared" si="9"/>
        <v>0.48364465166003551</v>
      </c>
      <c r="AA13" s="283">
        <f t="shared" si="10"/>
        <v>25.788625374165342</v>
      </c>
      <c r="AB13" s="207">
        <f t="shared" si="11"/>
        <v>1</v>
      </c>
      <c r="AC13" s="283">
        <f t="shared" ref="AC13" si="12">1/I13</f>
        <v>17.252753662718543</v>
      </c>
      <c r="AD13" s="220"/>
      <c r="AE13" s="207"/>
      <c r="AF13" s="207"/>
      <c r="AG13" s="283"/>
    </row>
    <row r="14" spans="1:33" x14ac:dyDescent="0.25">
      <c r="A14" s="695"/>
      <c r="B14" s="211" t="s">
        <v>322</v>
      </c>
      <c r="C14" s="230"/>
      <c r="D14" s="215"/>
      <c r="E14" s="215"/>
      <c r="F14" s="215"/>
      <c r="G14" s="215"/>
      <c r="H14" s="215"/>
      <c r="I14" s="215"/>
      <c r="J14" s="215"/>
      <c r="K14" s="215"/>
      <c r="L14" s="215"/>
      <c r="M14" s="7"/>
      <c r="N14" s="697"/>
      <c r="O14" s="236" t="s">
        <v>322</v>
      </c>
      <c r="P14" s="220"/>
      <c r="Q14" s="283"/>
      <c r="R14" s="207"/>
      <c r="S14" s="283"/>
      <c r="T14" s="207"/>
      <c r="U14" s="283"/>
      <c r="V14" s="207"/>
      <c r="W14" s="283"/>
      <c r="X14" s="220"/>
      <c r="Y14" s="283"/>
      <c r="Z14" s="207"/>
      <c r="AA14" s="283"/>
      <c r="AB14" s="207"/>
      <c r="AC14" s="283"/>
      <c r="AD14" s="220"/>
      <c r="AE14" s="285"/>
      <c r="AF14" s="220"/>
      <c r="AG14" s="285"/>
    </row>
    <row r="15" spans="1:33" x14ac:dyDescent="0.25">
      <c r="A15" s="695"/>
      <c r="B15" s="223" t="s">
        <v>0</v>
      </c>
      <c r="C15" s="231"/>
      <c r="D15" s="206"/>
      <c r="E15" s="206"/>
      <c r="F15" s="206"/>
      <c r="G15" s="206"/>
      <c r="H15" s="206"/>
      <c r="I15" s="206"/>
      <c r="J15" s="206"/>
      <c r="K15" s="206"/>
      <c r="L15" s="206"/>
      <c r="M15" s="7"/>
      <c r="N15" s="697"/>
      <c r="O15" s="236" t="s">
        <v>0</v>
      </c>
      <c r="P15" s="221"/>
      <c r="Q15" s="284"/>
      <c r="R15" s="208"/>
      <c r="S15" s="284"/>
      <c r="T15" s="208"/>
      <c r="U15" s="284"/>
      <c r="V15" s="208"/>
      <c r="W15" s="284"/>
      <c r="X15" s="221"/>
      <c r="Y15" s="284"/>
      <c r="Z15" s="208"/>
      <c r="AA15" s="208"/>
      <c r="AB15" s="208"/>
      <c r="AC15" s="208"/>
      <c r="AD15" s="221" t="e">
        <f>J15/$J$1</f>
        <v>#DIV/0!</v>
      </c>
      <c r="AE15" s="287" t="e">
        <f>1/J15</f>
        <v>#DIV/0!</v>
      </c>
      <c r="AF15" s="221">
        <f>K15/$K$1</f>
        <v>0</v>
      </c>
      <c r="AG15" s="287" t="e">
        <f>1/K15</f>
        <v>#DIV/0!</v>
      </c>
    </row>
    <row r="16" spans="1:33" x14ac:dyDescent="0.25">
      <c r="A16" s="696" t="s">
        <v>337</v>
      </c>
      <c r="B16" s="212" t="s">
        <v>304</v>
      </c>
      <c r="C16" s="230">
        <v>5.8181020779221264E-2</v>
      </c>
      <c r="D16" s="215">
        <v>7.6807093706293558E-2</v>
      </c>
      <c r="E16" s="215">
        <v>6.6148976923077044E-2</v>
      </c>
      <c r="F16" s="215"/>
      <c r="G16" s="215"/>
      <c r="H16" s="215"/>
      <c r="I16" s="215"/>
      <c r="J16" s="215">
        <v>0</v>
      </c>
      <c r="K16" s="215">
        <v>2.9990859140859215E-2</v>
      </c>
      <c r="L16" s="215">
        <v>4.1477272727272974E-2</v>
      </c>
      <c r="M16" s="7"/>
      <c r="N16" s="698" t="s">
        <v>337</v>
      </c>
      <c r="O16" s="237" t="s">
        <v>304</v>
      </c>
      <c r="P16" s="220">
        <f>C16/$C$1</f>
        <v>0.76012862367019574</v>
      </c>
      <c r="Q16" s="282">
        <f>1/C16</f>
        <v>17.18773556405424</v>
      </c>
      <c r="R16" s="219">
        <f>D16/$D$1</f>
        <v>0.80707617218339234</v>
      </c>
      <c r="S16" s="282">
        <f>1/D16</f>
        <v>13.019630762543228</v>
      </c>
      <c r="T16" s="219">
        <f>E16/$E$1</f>
        <v>0.65397573890819349</v>
      </c>
      <c r="U16" s="282">
        <f>1/E16</f>
        <v>15.117391780115881</v>
      </c>
      <c r="V16" s="207"/>
      <c r="W16" s="283"/>
      <c r="X16" s="207"/>
      <c r="Y16" s="283"/>
      <c r="Z16" s="207"/>
      <c r="AA16" s="207"/>
      <c r="AB16" s="207"/>
      <c r="AC16" s="207"/>
      <c r="AD16" s="207"/>
      <c r="AE16" s="207"/>
      <c r="AF16" s="207">
        <f>K16/K1</f>
        <v>0.827959243053766</v>
      </c>
      <c r="AG16" s="283"/>
    </row>
    <row r="17" spans="1:33" x14ac:dyDescent="0.25">
      <c r="A17" s="695"/>
      <c r="B17" s="211" t="s">
        <v>303</v>
      </c>
      <c r="C17" s="230"/>
      <c r="D17" s="215"/>
      <c r="E17" s="215"/>
      <c r="F17" s="215">
        <v>4.2273232055429683E-2</v>
      </c>
      <c r="G17" s="215"/>
      <c r="H17" s="215"/>
      <c r="I17" s="215"/>
      <c r="J17" s="215"/>
      <c r="K17" s="215"/>
      <c r="L17" s="215"/>
      <c r="M17" s="7"/>
      <c r="N17" s="697"/>
      <c r="O17" s="236" t="s">
        <v>303</v>
      </c>
      <c r="P17" s="220"/>
      <c r="Q17" s="283"/>
      <c r="R17" s="207"/>
      <c r="S17" s="283"/>
      <c r="T17" s="207"/>
      <c r="U17" s="283"/>
      <c r="V17" s="207">
        <f>F17/F1</f>
        <v>0.80448469530882905</v>
      </c>
      <c r="W17" s="283">
        <f>1/F17</f>
        <v>23.655631504323487</v>
      </c>
      <c r="X17" s="207"/>
      <c r="Y17" s="283"/>
      <c r="Z17" s="207"/>
      <c r="AA17" s="207"/>
      <c r="AB17" s="207"/>
      <c r="AC17" s="207"/>
      <c r="AD17" s="207"/>
      <c r="AE17" s="207"/>
      <c r="AF17" s="207"/>
      <c r="AG17" s="283"/>
    </row>
    <row r="18" spans="1:33" x14ac:dyDescent="0.25">
      <c r="A18" s="695"/>
      <c r="B18" s="211" t="s">
        <v>339</v>
      </c>
      <c r="C18" s="230"/>
      <c r="D18" s="215"/>
      <c r="E18" s="215"/>
      <c r="F18" s="215"/>
      <c r="G18" s="215">
        <v>5.2239892473118138E-2</v>
      </c>
      <c r="H18" s="215">
        <v>8.0176190476190248E-2</v>
      </c>
      <c r="I18" s="215">
        <v>0</v>
      </c>
      <c r="J18" s="215"/>
      <c r="K18" s="215"/>
      <c r="L18" s="215"/>
      <c r="M18" s="7"/>
      <c r="N18" s="697"/>
      <c r="O18" s="236" t="s">
        <v>339</v>
      </c>
      <c r="P18" s="220"/>
      <c r="Q18" s="283"/>
      <c r="R18" s="207"/>
      <c r="S18" s="283"/>
      <c r="T18" s="207"/>
      <c r="U18" s="283"/>
      <c r="V18" s="207"/>
      <c r="W18" s="283"/>
      <c r="X18" s="207">
        <f t="shared" ref="X18:X19" si="13">G18/$G$1</f>
        <v>1</v>
      </c>
      <c r="Y18" s="283">
        <f t="shared" ref="Y18:Y19" si="14">1/G18</f>
        <v>19.142459003233686</v>
      </c>
      <c r="Z18" s="207">
        <f t="shared" ref="Z18:Z19" si="15">H18/$H$1</f>
        <v>1</v>
      </c>
      <c r="AA18" s="283">
        <f t="shared" ref="AA18:AA19" si="16">1/H18</f>
        <v>12.472530735879349</v>
      </c>
      <c r="AB18" s="207">
        <f t="shared" ref="AB18:AB19" si="17">I18/$I$1</f>
        <v>0</v>
      </c>
      <c r="AC18" s="283"/>
      <c r="AD18" s="207"/>
      <c r="AE18" s="207"/>
      <c r="AF18" s="207"/>
      <c r="AG18" s="283"/>
    </row>
    <row r="19" spans="1:33" x14ac:dyDescent="0.25">
      <c r="A19" s="695"/>
      <c r="B19" s="211" t="s">
        <v>340</v>
      </c>
      <c r="C19" s="230"/>
      <c r="D19" s="215"/>
      <c r="E19" s="215"/>
      <c r="F19" s="215"/>
      <c r="G19" s="215">
        <v>2.5968749999999961E-2</v>
      </c>
      <c r="H19" s="215">
        <v>2.5281249999999998E-2</v>
      </c>
      <c r="I19" s="215">
        <v>3.0639083333333313E-2</v>
      </c>
      <c r="J19" s="215"/>
      <c r="K19" s="215"/>
      <c r="L19" s="215">
        <v>0.1339285714285714</v>
      </c>
      <c r="M19" s="293">
        <f>1/L19</f>
        <v>7.4666666666666686</v>
      </c>
      <c r="N19" s="697"/>
      <c r="O19" s="236" t="s">
        <v>340</v>
      </c>
      <c r="P19" s="220"/>
      <c r="Q19" s="283"/>
      <c r="R19" s="207"/>
      <c r="S19" s="283"/>
      <c r="T19" s="207"/>
      <c r="U19" s="283"/>
      <c r="V19" s="207"/>
      <c r="W19" s="283"/>
      <c r="X19" s="207">
        <f t="shared" si="13"/>
        <v>0.49710573224022403</v>
      </c>
      <c r="Y19" s="283">
        <f t="shared" si="14"/>
        <v>38.507821901323766</v>
      </c>
      <c r="Z19" s="207">
        <f t="shared" si="15"/>
        <v>0.31532116766644974</v>
      </c>
      <c r="AA19" s="283">
        <f t="shared" si="16"/>
        <v>39.555006180469718</v>
      </c>
      <c r="AB19" s="207">
        <f t="shared" si="17"/>
        <v>0.52860855720150501</v>
      </c>
      <c r="AC19" s="283">
        <f t="shared" ref="AC19" si="18">1/I19</f>
        <v>32.63805216104705</v>
      </c>
      <c r="AD19" s="207"/>
      <c r="AE19" s="207"/>
      <c r="AF19" s="207"/>
      <c r="AG19" s="283"/>
    </row>
    <row r="20" spans="1:33" x14ac:dyDescent="0.25">
      <c r="A20" s="695"/>
      <c r="B20" s="211" t="s">
        <v>322</v>
      </c>
      <c r="C20" s="230"/>
      <c r="D20" s="215"/>
      <c r="E20" s="215"/>
      <c r="F20" s="215"/>
      <c r="G20" s="215"/>
      <c r="H20" s="215"/>
      <c r="I20" s="215"/>
      <c r="J20" s="215"/>
      <c r="K20" s="215"/>
      <c r="L20" s="215"/>
      <c r="M20" s="7"/>
      <c r="N20" s="697"/>
      <c r="O20" s="236" t="s">
        <v>322</v>
      </c>
      <c r="P20" s="220"/>
      <c r="Q20" s="283"/>
      <c r="R20" s="207"/>
      <c r="S20" s="283"/>
      <c r="T20" s="207"/>
      <c r="U20" s="283"/>
      <c r="V20" s="207"/>
      <c r="W20" s="283"/>
      <c r="X20" s="207"/>
      <c r="Y20" s="283"/>
      <c r="Z20" s="207"/>
      <c r="AA20" s="283"/>
      <c r="AB20" s="207"/>
      <c r="AC20" s="283"/>
      <c r="AD20" s="207"/>
      <c r="AE20" s="285"/>
      <c r="AF20" s="220"/>
      <c r="AG20" s="285"/>
    </row>
    <row r="21" spans="1:33" x14ac:dyDescent="0.25">
      <c r="A21" s="695"/>
      <c r="B21" s="223" t="s">
        <v>0</v>
      </c>
      <c r="C21" s="230"/>
      <c r="D21" s="215"/>
      <c r="E21" s="215"/>
      <c r="F21" s="215"/>
      <c r="G21" s="215"/>
      <c r="H21" s="215"/>
      <c r="I21" s="215"/>
      <c r="J21" s="215"/>
      <c r="K21" s="215"/>
      <c r="L21" s="215"/>
      <c r="M21" s="7"/>
      <c r="N21" s="697"/>
      <c r="O21" s="236" t="s">
        <v>0</v>
      </c>
      <c r="P21" s="221"/>
      <c r="Q21" s="284"/>
      <c r="R21" s="208"/>
      <c r="S21" s="284"/>
      <c r="T21" s="208"/>
      <c r="U21" s="284"/>
      <c r="V21" s="208"/>
      <c r="W21" s="284"/>
      <c r="X21" s="208"/>
      <c r="Y21" s="284"/>
      <c r="Z21" s="208"/>
      <c r="AA21" s="208"/>
      <c r="AB21" s="208"/>
      <c r="AC21" s="207"/>
      <c r="AD21" s="207" t="e">
        <f>J21/$J$1</f>
        <v>#DIV/0!</v>
      </c>
      <c r="AE21" s="287" t="e">
        <f>1/J21</f>
        <v>#DIV/0!</v>
      </c>
      <c r="AF21" s="221">
        <f>K21/$K$1</f>
        <v>0</v>
      </c>
      <c r="AG21" s="287" t="e">
        <f>1/K21</f>
        <v>#DIV/0!</v>
      </c>
    </row>
    <row r="22" spans="1:33" x14ac:dyDescent="0.25">
      <c r="A22" s="696" t="s">
        <v>338</v>
      </c>
      <c r="B22" s="226" t="s">
        <v>304</v>
      </c>
      <c r="C22" s="235">
        <v>7.6541020779221203E-2</v>
      </c>
      <c r="D22" s="228">
        <v>9.516709370629349E-2</v>
      </c>
      <c r="E22" s="228">
        <v>0.10114897692307692</v>
      </c>
      <c r="F22" s="228"/>
      <c r="G22" s="228"/>
      <c r="H22" s="228"/>
      <c r="I22" s="228"/>
      <c r="J22" s="228">
        <v>0</v>
      </c>
      <c r="K22" s="228">
        <v>3.3705144855144913E-2</v>
      </c>
      <c r="L22" s="228">
        <v>5.9334415584415767E-2</v>
      </c>
      <c r="M22" s="7"/>
      <c r="N22" s="698" t="s">
        <v>338</v>
      </c>
      <c r="O22" s="237" t="s">
        <v>304</v>
      </c>
      <c r="P22" s="220">
        <f>C22/$C$1</f>
        <v>1</v>
      </c>
      <c r="Q22" s="282">
        <f>1/C22</f>
        <v>13.064889778311823</v>
      </c>
      <c r="R22" s="219">
        <f>D22/$D$1</f>
        <v>1</v>
      </c>
      <c r="S22" s="282">
        <f>1/D22</f>
        <v>10.507833759074531</v>
      </c>
      <c r="T22" s="219">
        <f>E22/$E$1</f>
        <v>1</v>
      </c>
      <c r="U22" s="289">
        <f>1/E22</f>
        <v>9.8864074597659339</v>
      </c>
      <c r="V22" s="277"/>
      <c r="W22" s="286"/>
      <c r="X22" s="220"/>
      <c r="Y22" s="283"/>
      <c r="Z22" s="207"/>
      <c r="AA22" s="207"/>
      <c r="AB22" s="220"/>
      <c r="AC22" s="218"/>
      <c r="AD22" s="218"/>
      <c r="AE22" s="207"/>
      <c r="AF22" s="207">
        <f>K22/K1</f>
        <v>0.93049972627372424</v>
      </c>
      <c r="AG22" s="283"/>
    </row>
    <row r="23" spans="1:33" x14ac:dyDescent="0.25">
      <c r="A23" s="695"/>
      <c r="B23" s="227" t="s">
        <v>303</v>
      </c>
      <c r="C23" s="230"/>
      <c r="D23" s="215"/>
      <c r="E23" s="215"/>
      <c r="F23" s="215">
        <v>4.3797642829840472E-2</v>
      </c>
      <c r="G23" s="215"/>
      <c r="H23" s="215"/>
      <c r="I23" s="215"/>
      <c r="J23" s="215"/>
      <c r="K23" s="215"/>
      <c r="L23" s="215"/>
      <c r="M23" s="7"/>
      <c r="N23" s="697"/>
      <c r="O23" s="236" t="s">
        <v>303</v>
      </c>
      <c r="P23" s="220"/>
      <c r="Q23" s="283"/>
      <c r="R23" s="207"/>
      <c r="S23" s="283"/>
      <c r="T23" s="207"/>
      <c r="U23" s="290"/>
      <c r="V23" s="278">
        <f>F23/F1</f>
        <v>0.83349513708837697</v>
      </c>
      <c r="W23" s="285">
        <f>1/F23</f>
        <v>22.832278985541066</v>
      </c>
      <c r="X23" s="220"/>
      <c r="Y23" s="283"/>
      <c r="Z23" s="207"/>
      <c r="AA23" s="207"/>
      <c r="AB23" s="220"/>
      <c r="AC23" s="220"/>
      <c r="AD23" s="220"/>
      <c r="AE23" s="207"/>
      <c r="AF23" s="207"/>
      <c r="AG23" s="283"/>
    </row>
    <row r="24" spans="1:33" x14ac:dyDescent="0.25">
      <c r="A24" s="695"/>
      <c r="B24" s="227" t="s">
        <v>339</v>
      </c>
      <c r="C24" s="230"/>
      <c r="D24" s="215"/>
      <c r="E24" s="215"/>
      <c r="F24" s="215"/>
      <c r="G24" s="215">
        <v>4.8379892473118219E-2</v>
      </c>
      <c r="H24" s="215">
        <v>7.5159999999999741E-2</v>
      </c>
      <c r="I24" s="215">
        <v>0</v>
      </c>
      <c r="J24" s="215"/>
      <c r="K24" s="215"/>
      <c r="L24" s="215"/>
      <c r="M24" s="7"/>
      <c r="N24" s="697"/>
      <c r="O24" s="236" t="s">
        <v>339</v>
      </c>
      <c r="P24" s="220"/>
      <c r="Q24" s="283"/>
      <c r="R24" s="207"/>
      <c r="S24" s="283"/>
      <c r="T24" s="207"/>
      <c r="U24" s="290"/>
      <c r="V24" s="278"/>
      <c r="W24" s="285"/>
      <c r="X24" s="220">
        <f t="shared" ref="X24:X25" si="19">G24/$G$1</f>
        <v>0.92611010824751949</v>
      </c>
      <c r="Y24" s="283">
        <f t="shared" ref="Y24:Y25" si="20">1/G24</f>
        <v>20.669744161908575</v>
      </c>
      <c r="Z24" s="207">
        <f t="shared" ref="Z24:Z25" si="21">H24/$H$1</f>
        <v>0.93743541010868858</v>
      </c>
      <c r="AA24" s="283">
        <f t="shared" ref="AA24:AA25" si="22">1/H24</f>
        <v>13.30494944119217</v>
      </c>
      <c r="AB24" s="207">
        <f t="shared" ref="AB24:AB25" si="23">I24/$I$1</f>
        <v>0</v>
      </c>
      <c r="AC24" s="285"/>
      <c r="AD24" s="220"/>
      <c r="AE24" s="207"/>
      <c r="AF24" s="207"/>
      <c r="AG24" s="283"/>
    </row>
    <row r="25" spans="1:33" x14ac:dyDescent="0.25">
      <c r="A25" s="695"/>
      <c r="B25" s="227" t="s">
        <v>340</v>
      </c>
      <c r="C25" s="230"/>
      <c r="D25" s="215"/>
      <c r="E25" s="215"/>
      <c r="F25" s="215"/>
      <c r="G25" s="215">
        <v>2.3874999999999962E-2</v>
      </c>
      <c r="H25" s="215">
        <v>2.31875E-2</v>
      </c>
      <c r="I25" s="215">
        <v>2.7005333333333312E-2</v>
      </c>
      <c r="J25" s="215"/>
      <c r="K25" s="215"/>
      <c r="L25" s="215">
        <v>0.16964285714285698</v>
      </c>
      <c r="M25" s="293">
        <f>1/L25</f>
        <v>5.894736842105269</v>
      </c>
      <c r="N25" s="697"/>
      <c r="O25" s="236" t="s">
        <v>340</v>
      </c>
      <c r="P25" s="220"/>
      <c r="Q25" s="283"/>
      <c r="R25" s="207"/>
      <c r="S25" s="283"/>
      <c r="T25" s="207"/>
      <c r="U25" s="290"/>
      <c r="V25" s="278"/>
      <c r="W25" s="285"/>
      <c r="X25" s="220">
        <f t="shared" si="19"/>
        <v>0.45702620870220356</v>
      </c>
      <c r="Y25" s="283">
        <f t="shared" si="20"/>
        <v>41.884816753926771</v>
      </c>
      <c r="Z25" s="207">
        <f t="shared" si="21"/>
        <v>0.2892068064382024</v>
      </c>
      <c r="AA25" s="283">
        <f t="shared" si="22"/>
        <v>43.126684636118597</v>
      </c>
      <c r="AB25" s="207">
        <f t="shared" si="23"/>
        <v>0.46591636357960148</v>
      </c>
      <c r="AC25" s="285">
        <f t="shared" ref="AC25" si="24">1/I25</f>
        <v>37.029722523945914</v>
      </c>
      <c r="AD25" s="220"/>
      <c r="AE25" s="207"/>
      <c r="AF25" s="207"/>
      <c r="AG25" s="283"/>
    </row>
    <row r="26" spans="1:33" x14ac:dyDescent="0.25">
      <c r="A26" s="695"/>
      <c r="B26" s="227" t="s">
        <v>322</v>
      </c>
      <c r="C26" s="230"/>
      <c r="D26" s="215"/>
      <c r="E26" s="215"/>
      <c r="F26" s="215"/>
      <c r="G26" s="215"/>
      <c r="H26" s="215"/>
      <c r="I26" s="215"/>
      <c r="J26" s="215"/>
      <c r="K26" s="215"/>
      <c r="L26" s="215"/>
      <c r="M26" s="7"/>
      <c r="N26" s="697"/>
      <c r="O26" s="236" t="s">
        <v>322</v>
      </c>
      <c r="P26" s="220"/>
      <c r="Q26" s="283"/>
      <c r="R26" s="207"/>
      <c r="S26" s="283"/>
      <c r="T26" s="207"/>
      <c r="U26" s="290"/>
      <c r="V26" s="278"/>
      <c r="W26" s="220"/>
      <c r="X26" s="220"/>
      <c r="Y26" s="283"/>
      <c r="Z26" s="207"/>
      <c r="AA26" s="283"/>
      <c r="AB26" s="207"/>
      <c r="AC26" s="285"/>
      <c r="AD26" s="220"/>
      <c r="AE26" s="285"/>
      <c r="AF26" s="220"/>
      <c r="AG26" s="285"/>
    </row>
    <row r="27" spans="1:33" x14ac:dyDescent="0.25">
      <c r="A27" s="695"/>
      <c r="B27" s="223" t="s">
        <v>0</v>
      </c>
      <c r="C27" s="231"/>
      <c r="D27" s="206"/>
      <c r="E27" s="206"/>
      <c r="F27" s="206"/>
      <c r="G27" s="206"/>
      <c r="H27" s="206"/>
      <c r="I27" s="206"/>
      <c r="J27" s="206"/>
      <c r="K27" s="206"/>
      <c r="L27" s="206"/>
      <c r="M27" s="7"/>
      <c r="N27" s="697"/>
      <c r="O27" s="236" t="s">
        <v>0</v>
      </c>
      <c r="P27" s="221"/>
      <c r="Q27" s="284"/>
      <c r="R27" s="208"/>
      <c r="S27" s="284"/>
      <c r="T27" s="208"/>
      <c r="U27" s="291"/>
      <c r="V27" s="279"/>
      <c r="W27" s="221"/>
      <c r="X27" s="221"/>
      <c r="Y27" s="284"/>
      <c r="Z27" s="208"/>
      <c r="AA27" s="208"/>
      <c r="AB27" s="221"/>
      <c r="AC27" s="221"/>
      <c r="AD27" s="221" t="e">
        <f>J27/$J$1</f>
        <v>#DIV/0!</v>
      </c>
      <c r="AE27" s="287" t="e">
        <f>1/J27</f>
        <v>#DIV/0!</v>
      </c>
      <c r="AF27" s="221">
        <f>K27/$K$1</f>
        <v>0</v>
      </c>
      <c r="AG27" s="287" t="e">
        <f>1/K27</f>
        <v>#DIV/0!</v>
      </c>
    </row>
    <row r="28" spans="1:33" x14ac:dyDescent="0.25">
      <c r="Q28" s="183"/>
      <c r="S28" s="183"/>
      <c r="U28" s="183"/>
      <c r="AD28" s="7"/>
      <c r="AE28" s="7"/>
      <c r="AF28" s="7"/>
      <c r="AG28" s="7"/>
    </row>
    <row r="29" spans="1:33" x14ac:dyDescent="0.25">
      <c r="Q29" s="183"/>
      <c r="S29" s="183"/>
      <c r="U29" s="183"/>
    </row>
    <row r="30" spans="1:33" x14ac:dyDescent="0.25">
      <c r="B30" s="209" t="s">
        <v>331</v>
      </c>
      <c r="H30" s="272"/>
      <c r="I30" s="272"/>
      <c r="Q30" s="183"/>
      <c r="S30" s="183"/>
      <c r="U30" s="183"/>
    </row>
    <row r="31" spans="1:33" x14ac:dyDescent="0.25">
      <c r="B31" s="210">
        <v>42724</v>
      </c>
      <c r="G31" s="272"/>
      <c r="H31" s="272"/>
      <c r="I31" s="272"/>
      <c r="Q31" s="183"/>
      <c r="S31" s="183"/>
    </row>
    <row r="32" spans="1:33" x14ac:dyDescent="0.25">
      <c r="G32" s="272"/>
      <c r="H32" s="272"/>
      <c r="I32" s="272"/>
      <c r="Q32" s="183"/>
    </row>
    <row r="33" spans="17:17" x14ac:dyDescent="0.25">
      <c r="Q33" s="183"/>
    </row>
    <row r="34" spans="17:17" x14ac:dyDescent="0.25">
      <c r="Q34" s="183"/>
    </row>
  </sheetData>
  <mergeCells count="8">
    <mergeCell ref="A4:A9"/>
    <mergeCell ref="A10:A15"/>
    <mergeCell ref="A16:A21"/>
    <mergeCell ref="A22:A27"/>
    <mergeCell ref="N4:N9"/>
    <mergeCell ref="N10:N15"/>
    <mergeCell ref="N16:N21"/>
    <mergeCell ref="N22:N27"/>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9" tint="-0.249977111117893"/>
  </sheetPr>
  <dimension ref="B2:Y17"/>
  <sheetViews>
    <sheetView workbookViewId="0">
      <selection activeCell="B12" sqref="B12"/>
    </sheetView>
  </sheetViews>
  <sheetFormatPr baseColWidth="10" defaultColWidth="11.42578125" defaultRowHeight="15" x14ac:dyDescent="0.25"/>
  <cols>
    <col min="1" max="1" width="5.5703125" customWidth="1"/>
    <col min="2" max="2" width="6" bestFit="1" customWidth="1"/>
    <col min="3" max="3" width="13.7109375" bestFit="1" customWidth="1"/>
    <col min="4" max="4" width="6" bestFit="1" customWidth="1"/>
    <col min="5" max="5" width="4.7109375" bestFit="1" customWidth="1"/>
    <col min="6" max="9" width="4.5703125" bestFit="1" customWidth="1"/>
    <col min="10" max="10" width="5.140625" bestFit="1" customWidth="1"/>
    <col min="11" max="11" width="4.5703125" bestFit="1" customWidth="1"/>
    <col min="12" max="12" width="5.5703125" customWidth="1"/>
    <col min="13" max="13" width="6" bestFit="1" customWidth="1"/>
    <col min="14" max="14" width="11.7109375" bestFit="1" customWidth="1"/>
    <col min="15" max="15" width="7.42578125" bestFit="1" customWidth="1"/>
    <col min="16" max="16" width="7.7109375" bestFit="1" customWidth="1"/>
    <col min="17" max="17" width="7.42578125" bestFit="1" customWidth="1"/>
    <col min="18" max="18" width="5.5703125" bestFit="1" customWidth="1"/>
    <col min="19" max="19" width="6.42578125" bestFit="1" customWidth="1"/>
    <col min="20" max="20" width="6.85546875" bestFit="1" customWidth="1"/>
    <col min="21" max="21" width="6.42578125" bestFit="1" customWidth="1"/>
    <col min="22" max="22" width="5.5703125" bestFit="1" customWidth="1"/>
    <col min="23" max="24" width="4.5703125" bestFit="1" customWidth="1"/>
  </cols>
  <sheetData>
    <row r="2" spans="2:25" x14ac:dyDescent="0.25">
      <c r="B2" s="191" t="s">
        <v>100</v>
      </c>
      <c r="C2" s="191" t="s">
        <v>71</v>
      </c>
      <c r="D2" s="191" t="s">
        <v>314</v>
      </c>
      <c r="E2" s="191" t="s">
        <v>1</v>
      </c>
      <c r="F2" s="191" t="s">
        <v>2</v>
      </c>
      <c r="G2" s="191" t="s">
        <v>321</v>
      </c>
      <c r="H2" s="191" t="s">
        <v>63</v>
      </c>
      <c r="I2" s="191" t="s">
        <v>262</v>
      </c>
      <c r="J2" s="191" t="s">
        <v>322</v>
      </c>
      <c r="K2" s="191" t="s">
        <v>0</v>
      </c>
      <c r="M2" s="242">
        <v>352</v>
      </c>
      <c r="N2" s="176" t="s">
        <v>355</v>
      </c>
      <c r="O2" s="46" t="s">
        <v>325</v>
      </c>
      <c r="P2" s="46" t="s">
        <v>356</v>
      </c>
      <c r="Q2" s="46" t="s">
        <v>325</v>
      </c>
      <c r="R2" s="46" t="s">
        <v>62</v>
      </c>
      <c r="S2" s="46" t="s">
        <v>327</v>
      </c>
      <c r="T2" s="46" t="s">
        <v>328</v>
      </c>
      <c r="U2" s="46" t="s">
        <v>327</v>
      </c>
      <c r="V2" s="46" t="s">
        <v>257</v>
      </c>
      <c r="W2" s="46" t="s">
        <v>357</v>
      </c>
      <c r="X2" s="46" t="s">
        <v>358</v>
      </c>
    </row>
    <row r="3" spans="2:25" x14ac:dyDescent="0.25">
      <c r="B3" t="s">
        <v>1</v>
      </c>
      <c r="C3" t="str">
        <f>Evaluacion!A3</f>
        <v>D. Gehmacher</v>
      </c>
      <c r="D3" s="274"/>
      <c r="E3" s="83">
        <f>Evaluacion!K3</f>
        <v>16.666666666666668</v>
      </c>
      <c r="F3" s="83">
        <f>Evaluacion!L3</f>
        <v>11.95</v>
      </c>
      <c r="G3" s="83">
        <f>Evaluacion!M3</f>
        <v>2.0699999999999985</v>
      </c>
      <c r="H3" s="83">
        <f>Evaluacion!N3</f>
        <v>2.149999999999999</v>
      </c>
      <c r="I3" s="83">
        <f>Evaluacion!O3</f>
        <v>0.95</v>
      </c>
      <c r="J3" s="83">
        <f>Evaluacion!P3</f>
        <v>0</v>
      </c>
      <c r="K3" s="83">
        <f>Evaluacion!Q3</f>
        <v>18.2</v>
      </c>
      <c r="M3" t="s">
        <v>1</v>
      </c>
      <c r="N3" s="243">
        <v>1</v>
      </c>
      <c r="O3" s="244">
        <f ca="1">Evaluacion!X3</f>
        <v>15.721407074755762</v>
      </c>
      <c r="P3" s="244">
        <f ca="1">Evaluacion!Y3</f>
        <v>23.169483486265392</v>
      </c>
      <c r="Q3" s="244">
        <f ca="1">Evaluacion!Z3</f>
        <v>15.721407074755762</v>
      </c>
      <c r="R3" s="244">
        <v>0</v>
      </c>
      <c r="S3" s="244">
        <v>0</v>
      </c>
      <c r="T3" s="244">
        <v>0</v>
      </c>
      <c r="U3" s="244">
        <v>0</v>
      </c>
      <c r="V3" s="244">
        <v>0</v>
      </c>
      <c r="W3" s="244">
        <f>Evaluacion!T3</f>
        <v>0.54600000000000004</v>
      </c>
      <c r="X3" s="244">
        <f>Evaluacion!U3</f>
        <v>1.024</v>
      </c>
      <c r="Y3" s="248"/>
    </row>
    <row r="4" spans="2:25" x14ac:dyDescent="0.25">
      <c r="B4" t="s">
        <v>351</v>
      </c>
      <c r="C4" t="str">
        <f>Evaluacion!A6</f>
        <v>B. Bartolache</v>
      </c>
      <c r="D4" s="274"/>
      <c r="E4" s="83">
        <f>Evaluacion!K6</f>
        <v>0</v>
      </c>
      <c r="F4" s="83">
        <f>Evaluacion!L6</f>
        <v>11.95</v>
      </c>
      <c r="G4" s="83">
        <f>Evaluacion!M6</f>
        <v>5.95</v>
      </c>
      <c r="H4" s="83">
        <f>Evaluacion!N6</f>
        <v>6.95</v>
      </c>
      <c r="I4" s="83">
        <f>Evaluacion!O6</f>
        <v>7.95</v>
      </c>
      <c r="J4" s="83">
        <f>Evaluacion!P6</f>
        <v>1.95</v>
      </c>
      <c r="K4" s="83">
        <f>Evaluacion!Q6</f>
        <v>16</v>
      </c>
      <c r="M4" t="s">
        <v>351</v>
      </c>
      <c r="N4" s="243">
        <v>1</v>
      </c>
      <c r="O4" s="244">
        <f>Evaluacion!AI6</f>
        <v>13.68884192896218</v>
      </c>
      <c r="P4" s="244">
        <f>Evaluacion!AJ6</f>
        <v>6.1599788680329803</v>
      </c>
      <c r="Q4" s="244">
        <v>0</v>
      </c>
      <c r="R4" s="244">
        <f>Evaluacion!AK6</f>
        <v>1.4828223936268308</v>
      </c>
      <c r="S4" s="244">
        <f>Evaluacion!AL6</f>
        <v>5.8089554937280017</v>
      </c>
      <c r="T4" s="244">
        <v>0</v>
      </c>
      <c r="U4" s="244">
        <v>0</v>
      </c>
      <c r="V4" s="244">
        <f>Evaluacion!R6</f>
        <v>3.8562499999999997</v>
      </c>
      <c r="W4" s="244">
        <f>Evaluacion!T6</f>
        <v>0.5774999999999999</v>
      </c>
      <c r="X4" s="244">
        <f>Evaluacion!U6</f>
        <v>0.95799999999999996</v>
      </c>
    </row>
    <row r="5" spans="2:25" x14ac:dyDescent="0.25">
      <c r="B5" t="s">
        <v>352</v>
      </c>
      <c r="C5" t="str">
        <f>Evaluacion!A14</f>
        <v>G. Piscaer</v>
      </c>
      <c r="D5" s="274"/>
      <c r="E5" s="83">
        <f>Evaluacion!K14</f>
        <v>0</v>
      </c>
      <c r="F5" s="83">
        <f>Evaluacion!L14</f>
        <v>4</v>
      </c>
      <c r="G5" s="83">
        <f>Evaluacion!M14</f>
        <v>8.6</v>
      </c>
      <c r="H5" s="83">
        <f>Evaluacion!N14</f>
        <v>3</v>
      </c>
      <c r="I5" s="83">
        <f>Evaluacion!O14</f>
        <v>2</v>
      </c>
      <c r="J5" s="83">
        <f>Evaluacion!P14</f>
        <v>8</v>
      </c>
      <c r="K5" s="83">
        <f>Evaluacion!Q14</f>
        <v>0</v>
      </c>
      <c r="M5" t="s">
        <v>352</v>
      </c>
      <c r="N5" s="243">
        <v>1</v>
      </c>
      <c r="O5" s="244">
        <f ca="1">(Evaluacion!AA14+Evaluacion!AC14)/2</f>
        <v>1.7567979381077605</v>
      </c>
      <c r="P5" s="244">
        <f ca="1">Evaluacion!AB14</f>
        <v>4.5395295558340063</v>
      </c>
      <c r="Q5" s="244">
        <f ca="1">O5</f>
        <v>1.7567979381077605</v>
      </c>
      <c r="R5" s="244">
        <f ca="1">Evaluacion!AD14</f>
        <v>2.1752080342884934</v>
      </c>
      <c r="S5" s="244">
        <v>0</v>
      </c>
      <c r="T5" s="244">
        <v>0</v>
      </c>
      <c r="U5" s="244">
        <v>0</v>
      </c>
      <c r="V5" s="244">
        <f>Evaluacion!R14</f>
        <v>1.375</v>
      </c>
      <c r="W5" s="244">
        <f>Evaluacion!T14</f>
        <v>0.4</v>
      </c>
      <c r="X5" s="244">
        <f>Evaluacion!U14</f>
        <v>0.16</v>
      </c>
    </row>
    <row r="6" spans="2:25" x14ac:dyDescent="0.25">
      <c r="B6" t="s">
        <v>351</v>
      </c>
      <c r="C6" t="str">
        <f>Evaluacion!A9</f>
        <v>S. Buschelman</v>
      </c>
      <c r="D6" s="274" t="str">
        <f>Evaluacion!D9</f>
        <v>TEC</v>
      </c>
      <c r="E6" s="83">
        <f>Evaluacion!K9</f>
        <v>0</v>
      </c>
      <c r="F6" s="83">
        <f>Evaluacion!L9</f>
        <v>9.3036666666666648</v>
      </c>
      <c r="G6" s="83">
        <f>Evaluacion!M9</f>
        <v>14</v>
      </c>
      <c r="H6" s="83">
        <f>Evaluacion!N9</f>
        <v>12.945</v>
      </c>
      <c r="I6" s="83">
        <f>Evaluacion!O9</f>
        <v>9.9499999999999993</v>
      </c>
      <c r="J6" s="83">
        <f>Evaluacion!P9</f>
        <v>3.95</v>
      </c>
      <c r="K6" s="83">
        <f>Evaluacion!Q9</f>
        <v>16</v>
      </c>
      <c r="M6" t="s">
        <v>351</v>
      </c>
      <c r="N6" s="243">
        <v>1</v>
      </c>
      <c r="O6" s="244">
        <v>0</v>
      </c>
      <c r="P6" s="244">
        <f>Evaluacion!AJ9</f>
        <v>5.1187024668980152</v>
      </c>
      <c r="Q6" s="244">
        <f>Evaluacion!AI9</f>
        <v>11.37489437088448</v>
      </c>
      <c r="R6" s="244">
        <f>Evaluacion!AK9</f>
        <v>2.8490782752946107</v>
      </c>
      <c r="S6" s="244">
        <v>0</v>
      </c>
      <c r="T6" s="244">
        <f>0</f>
        <v>0</v>
      </c>
      <c r="U6" s="244">
        <f>Evaluacion!AL9</f>
        <v>9.4111451848696461</v>
      </c>
      <c r="V6" s="244">
        <f>Evaluacion!R9</f>
        <v>4.0254583333333329</v>
      </c>
      <c r="W6" s="244">
        <f>Evaluacion!T9</f>
        <v>0.67749999999999999</v>
      </c>
      <c r="X6" s="244">
        <f>Evaluacion!U9</f>
        <v>0.8521466666666665</v>
      </c>
    </row>
    <row r="7" spans="2:25" x14ac:dyDescent="0.25">
      <c r="B7" t="s">
        <v>221</v>
      </c>
      <c r="C7" t="str">
        <f>Evaluacion!A12</f>
        <v>I. Vanags</v>
      </c>
      <c r="D7" s="274" t="str">
        <f>Evaluacion!D12</f>
        <v>CAB</v>
      </c>
      <c r="E7" s="83">
        <f>Evaluacion!K12</f>
        <v>0</v>
      </c>
      <c r="F7" s="83">
        <f>Evaluacion!L12</f>
        <v>4</v>
      </c>
      <c r="G7" s="83">
        <f>Evaluacion!M12</f>
        <v>7.8</v>
      </c>
      <c r="H7" s="83">
        <f>Evaluacion!N12</f>
        <v>3</v>
      </c>
      <c r="I7" s="83">
        <f>Evaluacion!O12</f>
        <v>4</v>
      </c>
      <c r="J7" s="83">
        <f>Evaluacion!P12</f>
        <v>7</v>
      </c>
      <c r="K7" s="83">
        <f>Evaluacion!Q12</f>
        <v>6</v>
      </c>
      <c r="M7" t="s">
        <v>221</v>
      </c>
      <c r="N7" s="243">
        <v>0.82499999999999996</v>
      </c>
      <c r="O7" s="244">
        <f ca="1">Evaluacion!BE12*N7</f>
        <v>0.88515436533954317</v>
      </c>
      <c r="P7" s="244">
        <f ca="1">Evaluacion!BF12*N7</f>
        <v>1.0585351173132682</v>
      </c>
      <c r="Q7" s="244">
        <v>0</v>
      </c>
      <c r="R7" s="244">
        <f ca="1">Evaluacion!BG12*N7</f>
        <v>5.4417322366465211</v>
      </c>
      <c r="S7" s="244">
        <f ca="1">Evaluacion!BH12*N7</f>
        <v>2.2305813772744121</v>
      </c>
      <c r="T7" s="244">
        <f ca="1">Evaluacion!BI12*N7</f>
        <v>0.73306598641522303</v>
      </c>
      <c r="U7" s="244">
        <v>0</v>
      </c>
      <c r="V7" s="244">
        <v>0</v>
      </c>
      <c r="W7" s="244">
        <f>Evaluacion!T12*N7</f>
        <v>0.43724999999999997</v>
      </c>
      <c r="X7" s="244">
        <f>Evaluacion!U12*N7</f>
        <v>0.28049999999999997</v>
      </c>
    </row>
    <row r="8" spans="2:25" x14ac:dyDescent="0.25">
      <c r="B8" t="s">
        <v>353</v>
      </c>
      <c r="C8" t="str">
        <f>Evaluacion!A15</f>
        <v>M. Bondarewski</v>
      </c>
      <c r="D8" s="274"/>
      <c r="E8" s="83">
        <f>Evaluacion!K15</f>
        <v>0</v>
      </c>
      <c r="F8" s="83">
        <f>Evaluacion!L15</f>
        <v>2</v>
      </c>
      <c r="G8" s="83">
        <f>Evaluacion!M15</f>
        <v>8.8000000000000007</v>
      </c>
      <c r="H8" s="83">
        <f>Evaluacion!N15</f>
        <v>5</v>
      </c>
      <c r="I8" s="83">
        <f>Evaluacion!O15</f>
        <v>4</v>
      </c>
      <c r="J8" s="83">
        <f>Evaluacion!P15</f>
        <v>8</v>
      </c>
      <c r="K8" s="83">
        <f>Evaluacion!Q15</f>
        <v>6</v>
      </c>
      <c r="M8" t="s">
        <v>353</v>
      </c>
      <c r="N8" s="243">
        <v>0.82499999999999996</v>
      </c>
      <c r="O8" s="244">
        <f ca="1">((Evaluacion!AX15+Evaluacion!AZ15)/2)*N8</f>
        <v>0.29063086006965333</v>
      </c>
      <c r="P8" s="244">
        <f ca="1">Evaluacion!AY15*N8</f>
        <v>0.82012235645757559</v>
      </c>
      <c r="Q8" s="244">
        <f ca="1">O8</f>
        <v>0.29063086006965333</v>
      </c>
      <c r="R8" s="244">
        <f ca="1">Evaluacion!BA15*N8</f>
        <v>7.6603058911439401</v>
      </c>
      <c r="S8" s="244">
        <f ca="1">((Evaluacion!BB15+Evaluacion!BD15)/2)*N8</f>
        <v>0.70213304284456235</v>
      </c>
      <c r="T8" s="244">
        <f ca="1">Evaluacion!BC15*N8</f>
        <v>2.7318685460203107</v>
      </c>
      <c r="U8" s="244">
        <f ca="1">S8</f>
        <v>0.70213304284456235</v>
      </c>
      <c r="V8" s="244">
        <v>0</v>
      </c>
      <c r="W8" s="244">
        <f>Evaluacion!T15*N8</f>
        <v>0.47849999999999993</v>
      </c>
      <c r="X8" s="244">
        <f>Evaluacion!U15*N8</f>
        <v>0.21449999999999994</v>
      </c>
    </row>
    <row r="9" spans="2:25" x14ac:dyDescent="0.25">
      <c r="B9" t="s">
        <v>221</v>
      </c>
      <c r="C9" t="str">
        <f>Evaluacion!A13</f>
        <v>I. Stone</v>
      </c>
      <c r="D9" s="274" t="str">
        <f>Evaluacion!D13</f>
        <v>RAP</v>
      </c>
      <c r="E9" s="83">
        <f>Evaluacion!K13</f>
        <v>0</v>
      </c>
      <c r="F9" s="83">
        <f>Evaluacion!L13</f>
        <v>3</v>
      </c>
      <c r="G9" s="83">
        <f>Evaluacion!M13</f>
        <v>6.25</v>
      </c>
      <c r="H9" s="83">
        <f>Evaluacion!N13</f>
        <v>2</v>
      </c>
      <c r="I9" s="83">
        <f>Evaluacion!O13</f>
        <v>6</v>
      </c>
      <c r="J9" s="83">
        <f>Evaluacion!P13</f>
        <v>9</v>
      </c>
      <c r="K9" s="83">
        <f>Evaluacion!Q13</f>
        <v>2</v>
      </c>
      <c r="M9" t="s">
        <v>221</v>
      </c>
      <c r="N9" s="243">
        <v>0.82499999999999996</v>
      </c>
      <c r="O9" s="244">
        <v>0</v>
      </c>
      <c r="P9" s="244">
        <f ca="1">Evaluacion!BF13*N9</f>
        <v>0.94463931385160405</v>
      </c>
      <c r="Q9" s="244">
        <f ca="1">Evaluacion!BE13*N9</f>
        <v>0.78991390899659986</v>
      </c>
      <c r="R9" s="244">
        <f ca="1">Evaluacion!BG13*N9</f>
        <v>4.7536388232852387</v>
      </c>
      <c r="S9" s="244">
        <v>0</v>
      </c>
      <c r="T9" s="244">
        <f ca="1">Evaluacion!BI13*N9</f>
        <v>1.250664869650105</v>
      </c>
      <c r="U9" s="244">
        <f ca="1">Evaluacion!BH13*N9</f>
        <v>2.7192484195806781</v>
      </c>
      <c r="V9" s="244">
        <v>0</v>
      </c>
      <c r="W9" s="244">
        <f>Evaluacion!T13*N9</f>
        <v>0.42074999999999996</v>
      </c>
      <c r="X9" s="244">
        <f>Evaluacion!U13*N9</f>
        <v>0.14850000000000002</v>
      </c>
    </row>
    <row r="10" spans="2:25" x14ac:dyDescent="0.25">
      <c r="B10" t="s">
        <v>354</v>
      </c>
      <c r="C10" t="e">
        <f>Evaluacion!#REF!</f>
        <v>#REF!</v>
      </c>
      <c r="D10" s="274" t="e">
        <f>Evaluacion!#REF!</f>
        <v>#REF!</v>
      </c>
      <c r="E10" s="83" t="e">
        <f>Evaluacion!#REF!</f>
        <v>#REF!</v>
      </c>
      <c r="F10" s="83" t="e">
        <f>Evaluacion!#REF!</f>
        <v>#REF!</v>
      </c>
      <c r="G10" s="83" t="e">
        <f>Evaluacion!#REF!</f>
        <v>#REF!</v>
      </c>
      <c r="H10" s="83" t="e">
        <f>Evaluacion!#REF!</f>
        <v>#REF!</v>
      </c>
      <c r="I10" s="83" t="e">
        <f>Evaluacion!#REF!</f>
        <v>#REF!</v>
      </c>
      <c r="J10" s="83" t="e">
        <f>Evaluacion!#REF!</f>
        <v>#REF!</v>
      </c>
      <c r="K10" s="83" t="e">
        <f>Evaluacion!#REF!</f>
        <v>#REF!</v>
      </c>
      <c r="M10" t="s">
        <v>354</v>
      </c>
      <c r="N10" s="243">
        <v>1</v>
      </c>
      <c r="O10" s="244" t="e">
        <f>Evaluacion!#REF!</f>
        <v>#REF!</v>
      </c>
      <c r="P10" s="244" t="e">
        <f>Evaluacion!#REF!</f>
        <v>#REF!</v>
      </c>
      <c r="Q10" s="244">
        <v>0</v>
      </c>
      <c r="R10" s="244" t="e">
        <f>Evaluacion!#REF!</f>
        <v>#REF!</v>
      </c>
      <c r="S10" s="244" t="e">
        <f>Evaluacion!#REF!</f>
        <v>#REF!</v>
      </c>
      <c r="T10" s="244" t="e">
        <f>Evaluacion!#REF!</f>
        <v>#REF!</v>
      </c>
      <c r="U10" s="244">
        <v>0</v>
      </c>
      <c r="V10" s="244">
        <v>0</v>
      </c>
      <c r="W10" s="244" t="e">
        <f>Evaluacion!#REF!*N10</f>
        <v>#REF!</v>
      </c>
      <c r="X10" s="244" t="e">
        <f>Evaluacion!#REF!*N10</f>
        <v>#REF!</v>
      </c>
    </row>
    <row r="11" spans="2:25" x14ac:dyDescent="0.25">
      <c r="B11" t="s">
        <v>354</v>
      </c>
      <c r="C11" t="str">
        <f>Evaluacion!A10</f>
        <v>E. Gross</v>
      </c>
      <c r="D11" s="274">
        <f>Evaluacion!D10</f>
        <v>0</v>
      </c>
      <c r="E11" s="83">
        <f>Evaluacion!K10</f>
        <v>0</v>
      </c>
      <c r="F11" s="83">
        <f>Evaluacion!L10</f>
        <v>10.549999999999995</v>
      </c>
      <c r="G11" s="83">
        <f>Evaluacion!M10</f>
        <v>12.95</v>
      </c>
      <c r="H11" s="83">
        <f>Evaluacion!N10</f>
        <v>3.95</v>
      </c>
      <c r="I11" s="83">
        <f>Evaluacion!O10</f>
        <v>8.9499999999999993</v>
      </c>
      <c r="J11" s="83">
        <f>Evaluacion!P10</f>
        <v>0.95</v>
      </c>
      <c r="K11" s="83">
        <f>Evaluacion!Q10</f>
        <v>17.3</v>
      </c>
      <c r="M11" t="s">
        <v>354</v>
      </c>
      <c r="N11" s="243">
        <v>1</v>
      </c>
      <c r="O11" s="244">
        <v>0</v>
      </c>
      <c r="P11" s="244">
        <f>Evaluacion!BU10</f>
        <v>3.3036855948533406</v>
      </c>
      <c r="Q11" s="244">
        <f>Evaluacion!BT10</f>
        <v>3.8452733972883144</v>
      </c>
      <c r="R11" s="244">
        <f>Evaluacion!BV10</f>
        <v>7.2525612526978298</v>
      </c>
      <c r="S11" s="244">
        <v>0</v>
      </c>
      <c r="T11" s="244">
        <f>Evaluacion!BX10</f>
        <v>1.4447031023657964</v>
      </c>
      <c r="U11" s="244">
        <f>Evaluacion!BW10</f>
        <v>8.9091821274487817</v>
      </c>
      <c r="V11" s="244">
        <v>0</v>
      </c>
      <c r="W11" s="244">
        <f>Evaluacion!T10*N11</f>
        <v>0.5665</v>
      </c>
      <c r="X11" s="244">
        <f>Evaluacion!U10*N11</f>
        <v>0.94099999999999984</v>
      </c>
    </row>
    <row r="12" spans="2:25" x14ac:dyDescent="0.25">
      <c r="B12" t="s">
        <v>64</v>
      </c>
      <c r="C12" t="str">
        <f>Evaluacion!A18</f>
        <v>M. Grupinski</v>
      </c>
      <c r="D12" s="274" t="str">
        <f>Evaluacion!D18</f>
        <v>CAB</v>
      </c>
      <c r="E12" s="83">
        <f>Evaluacion!K18</f>
        <v>0</v>
      </c>
      <c r="F12" s="83">
        <f>Evaluacion!L18</f>
        <v>3</v>
      </c>
      <c r="G12" s="83">
        <f>Evaluacion!M18</f>
        <v>8</v>
      </c>
      <c r="H12" s="83">
        <f>Evaluacion!N18</f>
        <v>9</v>
      </c>
      <c r="I12" s="83">
        <f>Evaluacion!O18</f>
        <v>6</v>
      </c>
      <c r="J12" s="83">
        <f>Evaluacion!P18</f>
        <v>3</v>
      </c>
      <c r="K12" s="83">
        <f>Evaluacion!Q18</f>
        <v>3</v>
      </c>
      <c r="M12" t="s">
        <v>64</v>
      </c>
      <c r="N12" s="243">
        <v>0.94499999999999995</v>
      </c>
      <c r="O12" s="244">
        <v>0</v>
      </c>
      <c r="P12" s="244">
        <v>0</v>
      </c>
      <c r="Q12" s="244">
        <v>0</v>
      </c>
      <c r="R12" s="244">
        <f ca="1">N12*Evaluacion!CK18</f>
        <v>1.9741302928151307</v>
      </c>
      <c r="S12" s="244">
        <f ca="1">N12*Evaluacion!CH18</f>
        <v>3.8565718914856504</v>
      </c>
      <c r="T12" s="244">
        <f ca="1">N12*Evaluacion!CI18</f>
        <v>5.3879274834556581</v>
      </c>
      <c r="U12" s="244">
        <f ca="1">S12</f>
        <v>3.8565718914856504</v>
      </c>
      <c r="V12" s="244">
        <v>0</v>
      </c>
      <c r="W12" s="244">
        <f>Evaluacion!T18*N12</f>
        <v>0.22679999999999997</v>
      </c>
      <c r="X12" s="244">
        <f>Evaluacion!U18*N12</f>
        <v>0.19845000000000002</v>
      </c>
    </row>
    <row r="13" spans="2:25" x14ac:dyDescent="0.25">
      <c r="B13" t="s">
        <v>277</v>
      </c>
      <c r="C13" t="str">
        <f>Evaluacion!A19</f>
        <v>V. Godoi</v>
      </c>
      <c r="D13" s="274">
        <f>Evaluacion!D19</f>
        <v>0</v>
      </c>
      <c r="E13" s="83">
        <f>Evaluacion!K19</f>
        <v>0</v>
      </c>
      <c r="F13" s="83">
        <f>Evaluacion!L19</f>
        <v>3</v>
      </c>
      <c r="G13" s="83">
        <f>Evaluacion!M19</f>
        <v>9.1538461538461533</v>
      </c>
      <c r="H13" s="83">
        <f>Evaluacion!N19</f>
        <v>9</v>
      </c>
      <c r="I13" s="83">
        <f>Evaluacion!O19</f>
        <v>5</v>
      </c>
      <c r="J13" s="83">
        <f>Evaluacion!P19</f>
        <v>5</v>
      </c>
      <c r="K13" s="83">
        <f>Evaluacion!Q19</f>
        <v>1</v>
      </c>
      <c r="M13" t="s">
        <v>277</v>
      </c>
      <c r="N13" s="243">
        <f>1-0.055</f>
        <v>0.94499999999999995</v>
      </c>
      <c r="O13" s="244">
        <v>0</v>
      </c>
      <c r="P13" s="244">
        <v>0</v>
      </c>
      <c r="Q13" s="244">
        <v>0</v>
      </c>
      <c r="R13" s="244">
        <f ca="1">N13*Evaluacion!CD19</f>
        <v>3.9051623662713273</v>
      </c>
      <c r="S13" s="244">
        <f ca="1">N13*Evaluacion!CE19</f>
        <v>3.5104990312155548</v>
      </c>
      <c r="T13" s="244">
        <f ca="1">N13*Evaluacion!CF19</f>
        <v>6.410590382243214</v>
      </c>
      <c r="U13" s="244">
        <f ca="1">S13</f>
        <v>3.5104990312155548</v>
      </c>
      <c r="V13" s="244">
        <v>0</v>
      </c>
      <c r="W13" s="244">
        <f>Evaluacion!T19*N13</f>
        <v>0.26459999999999995</v>
      </c>
      <c r="X13" s="244">
        <f>Evaluacion!U19*N13</f>
        <v>0.14175000000000001</v>
      </c>
    </row>
    <row r="14" spans="2:25" x14ac:dyDescent="0.25">
      <c r="M14" s="81"/>
      <c r="N14" s="176"/>
      <c r="O14" s="245" t="e">
        <f ca="1">SUM(O3:O13)</f>
        <v>#REF!</v>
      </c>
      <c r="P14" s="245" t="e">
        <f t="shared" ref="P14:X14" ca="1" si="0">SUM(P3:P13)</f>
        <v>#REF!</v>
      </c>
      <c r="Q14" s="245">
        <f t="shared" ca="1" si="0"/>
        <v>33.77891755010257</v>
      </c>
      <c r="R14" s="245" t="e">
        <f t="shared" ca="1" si="0"/>
        <v>#REF!</v>
      </c>
      <c r="S14" s="245" t="e">
        <f t="shared" ca="1" si="0"/>
        <v>#REF!</v>
      </c>
      <c r="T14" s="245" t="e">
        <f t="shared" ca="1" si="0"/>
        <v>#REF!</v>
      </c>
      <c r="U14" s="245">
        <f t="shared" ca="1" si="0"/>
        <v>29.108779697444874</v>
      </c>
      <c r="V14" s="292">
        <f t="shared" si="0"/>
        <v>9.2567083333333322</v>
      </c>
      <c r="W14" s="292" t="e">
        <f t="shared" si="0"/>
        <v>#REF!</v>
      </c>
      <c r="X14" s="292" t="e">
        <f t="shared" si="0"/>
        <v>#REF!</v>
      </c>
    </row>
    <row r="15" spans="2:25" ht="15.75" x14ac:dyDescent="0.25">
      <c r="M15" s="81"/>
      <c r="N15" s="81" t="s">
        <v>359</v>
      </c>
      <c r="O15" s="247" t="e">
        <f ca="1">O14*0.34</f>
        <v>#REF!</v>
      </c>
      <c r="P15" s="247" t="e">
        <f ca="1">P14*0.245</f>
        <v>#REF!</v>
      </c>
      <c r="Q15" s="247">
        <f ca="1">Q14*0.34</f>
        <v>11.484831967034875</v>
      </c>
      <c r="R15" s="247" t="e">
        <f ca="1">R14*0.125</f>
        <v>#REF!</v>
      </c>
      <c r="S15" s="247" t="e">
        <f ca="1">S14*0.25</f>
        <v>#REF!</v>
      </c>
      <c r="T15" s="247" t="e">
        <f ca="1">T14*0.19</f>
        <v>#REF!</v>
      </c>
      <c r="U15" s="247">
        <f ca="1">U14*0.25</f>
        <v>7.2771949243612184</v>
      </c>
    </row>
    <row r="16" spans="2:25" ht="15.75" x14ac:dyDescent="0.25">
      <c r="M16" s="81"/>
      <c r="N16" s="81" t="s">
        <v>360</v>
      </c>
      <c r="O16" s="255" t="e">
        <f ca="1">O15*1.2/1.05</f>
        <v>#REF!</v>
      </c>
      <c r="P16" s="255" t="e">
        <f t="shared" ref="P16:Q16" ca="1" si="1">P15*1.2/1.05</f>
        <v>#REF!</v>
      </c>
      <c r="Q16" s="255">
        <f t="shared" ca="1" si="1"/>
        <v>13.125522248039855</v>
      </c>
      <c r="R16" s="255" t="e">
        <f ca="1">R15</f>
        <v>#REF!</v>
      </c>
      <c r="S16" s="255" t="e">
        <f ca="1">S15*0.925/1.05</f>
        <v>#REF!</v>
      </c>
      <c r="T16" s="255" t="e">
        <f t="shared" ref="T16:U16" ca="1" si="2">T15*0.925/1.05</f>
        <v>#REF!</v>
      </c>
      <c r="U16" s="255">
        <f t="shared" ca="1" si="2"/>
        <v>6.4108621952705969</v>
      </c>
    </row>
    <row r="17" spans="13:21" ht="15.75" x14ac:dyDescent="0.25">
      <c r="M17" s="81"/>
      <c r="N17" s="81" t="s">
        <v>361</v>
      </c>
      <c r="O17" s="255" t="e">
        <f ca="1">O15*0.925/1.05</f>
        <v>#REF!</v>
      </c>
      <c r="P17" s="255" t="e">
        <f t="shared" ref="P17:Q17" ca="1" si="3">P15*0.925/1.05</f>
        <v>#REF!</v>
      </c>
      <c r="Q17" s="255">
        <f t="shared" ca="1" si="3"/>
        <v>10.117590066197389</v>
      </c>
      <c r="R17" s="255" t="e">
        <f ca="1">R16</f>
        <v>#REF!</v>
      </c>
      <c r="S17" s="255" t="e">
        <f ca="1">S15*1.135/1.05</f>
        <v>#REF!</v>
      </c>
      <c r="T17" s="255" t="e">
        <f t="shared" ref="T17:U17" ca="1" si="4">T15*1.135/1.05</f>
        <v>#REF!</v>
      </c>
      <c r="U17" s="255">
        <f t="shared" ca="1" si="4"/>
        <v>7.8663011801428402</v>
      </c>
    </row>
  </sheetData>
  <conditionalFormatting sqref="E3:K13">
    <cfRule type="colorScale" priority="4">
      <colorScale>
        <cfvo type="min"/>
        <cfvo type="max"/>
        <color rgb="FFFCFCFF"/>
        <color rgb="FFF8696B"/>
      </colorScale>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9" tint="-0.249977111117893"/>
  </sheetPr>
  <dimension ref="A1:AA16"/>
  <sheetViews>
    <sheetView workbookViewId="0">
      <selection activeCell="Q12" sqref="Q12"/>
    </sheetView>
  </sheetViews>
  <sheetFormatPr baseColWidth="10" defaultColWidth="11.42578125" defaultRowHeight="15" x14ac:dyDescent="0.25"/>
  <cols>
    <col min="1" max="1" width="6" bestFit="1" customWidth="1"/>
    <col min="2" max="2" width="13.7109375" bestFit="1" customWidth="1"/>
    <col min="3" max="3" width="4.5703125" bestFit="1" customWidth="1"/>
    <col min="4" max="7" width="5.5703125" bestFit="1" customWidth="1"/>
    <col min="8" max="8" width="4.5703125" bestFit="1" customWidth="1"/>
    <col min="9" max="9" width="5.140625" bestFit="1" customWidth="1"/>
    <col min="10" max="10" width="5.5703125" bestFit="1" customWidth="1"/>
    <col min="11" max="11" width="5.5703125" customWidth="1"/>
    <col min="12" max="12" width="6" bestFit="1" customWidth="1"/>
    <col min="13" max="13" width="13.7109375" bestFit="1" customWidth="1"/>
    <col min="14" max="14" width="7.42578125" bestFit="1" customWidth="1"/>
    <col min="15" max="15" width="7.7109375" bestFit="1" customWidth="1"/>
    <col min="16" max="16" width="7.42578125" bestFit="1" customWidth="1"/>
    <col min="17" max="20" width="7" bestFit="1" customWidth="1"/>
    <col min="21" max="23" width="6.5703125" bestFit="1" customWidth="1"/>
  </cols>
  <sheetData>
    <row r="1" spans="1:27" x14ac:dyDescent="0.25">
      <c r="A1" s="191" t="s">
        <v>100</v>
      </c>
      <c r="B1" s="191" t="s">
        <v>71</v>
      </c>
      <c r="C1" s="191" t="s">
        <v>314</v>
      </c>
      <c r="D1" s="191" t="s">
        <v>1</v>
      </c>
      <c r="E1" s="191" t="s">
        <v>2</v>
      </c>
      <c r="F1" s="191" t="s">
        <v>321</v>
      </c>
      <c r="G1" s="191" t="s">
        <v>63</v>
      </c>
      <c r="H1" s="191" t="s">
        <v>262</v>
      </c>
      <c r="I1" s="191" t="s">
        <v>322</v>
      </c>
      <c r="J1" s="191" t="s">
        <v>0</v>
      </c>
      <c r="L1" s="242">
        <v>541</v>
      </c>
      <c r="M1" s="176" t="s">
        <v>355</v>
      </c>
      <c r="N1" s="46" t="s">
        <v>325</v>
      </c>
      <c r="O1" s="46" t="s">
        <v>356</v>
      </c>
      <c r="P1" s="46" t="s">
        <v>325</v>
      </c>
      <c r="Q1" s="46" t="s">
        <v>62</v>
      </c>
      <c r="R1" s="46" t="s">
        <v>327</v>
      </c>
      <c r="S1" s="46" t="s">
        <v>328</v>
      </c>
      <c r="T1" s="46" t="s">
        <v>327</v>
      </c>
      <c r="U1" s="46" t="s">
        <v>257</v>
      </c>
      <c r="V1" s="46" t="s">
        <v>357</v>
      </c>
      <c r="W1" s="46" t="s">
        <v>358</v>
      </c>
    </row>
    <row r="2" spans="1:27" x14ac:dyDescent="0.25">
      <c r="A2" t="s">
        <v>1</v>
      </c>
      <c r="B2" t="str">
        <f>Evaluacion!A3</f>
        <v>D. Gehmacher</v>
      </c>
      <c r="C2">
        <f>Evaluacion!D3</f>
        <v>0</v>
      </c>
      <c r="D2" s="83">
        <f>Evaluacion!K3</f>
        <v>16.666666666666668</v>
      </c>
      <c r="E2" s="83">
        <f>Evaluacion!L3</f>
        <v>11.95</v>
      </c>
      <c r="F2" s="83">
        <f>Evaluacion!M3</f>
        <v>2.0699999999999985</v>
      </c>
      <c r="G2" s="83">
        <f>Evaluacion!N3</f>
        <v>2.149999999999999</v>
      </c>
      <c r="H2" s="83">
        <f>Evaluacion!O3</f>
        <v>0.95</v>
      </c>
      <c r="I2" s="83">
        <f>Evaluacion!P3</f>
        <v>0</v>
      </c>
      <c r="J2" s="83">
        <f>Evaluacion!Q3</f>
        <v>18.2</v>
      </c>
      <c r="L2" t="str">
        <f>A2</f>
        <v>POR</v>
      </c>
      <c r="M2" s="243">
        <v>1</v>
      </c>
      <c r="N2" s="244">
        <f ca="1">Evaluacion!X3</f>
        <v>15.721407074755762</v>
      </c>
      <c r="O2" s="244">
        <f ca="1">Evaluacion!Y3</f>
        <v>23.169483486265392</v>
      </c>
      <c r="P2" s="244">
        <f ca="1">Evaluacion!Z3</f>
        <v>15.721407074755762</v>
      </c>
      <c r="Q2" s="244">
        <v>0</v>
      </c>
      <c r="R2" s="244">
        <v>0</v>
      </c>
      <c r="S2" s="244">
        <v>0</v>
      </c>
      <c r="T2" s="244">
        <v>0</v>
      </c>
      <c r="U2" s="244">
        <v>0</v>
      </c>
      <c r="V2" s="244">
        <f>Evaluacion!T3</f>
        <v>0.54600000000000004</v>
      </c>
      <c r="W2" s="244">
        <f>Evaluacion!U3</f>
        <v>1.024</v>
      </c>
      <c r="AA2" s="249"/>
    </row>
    <row r="3" spans="1:27" x14ac:dyDescent="0.25">
      <c r="A3" t="s">
        <v>351</v>
      </c>
      <c r="B3" t="str">
        <f>Evaluacion!A9</f>
        <v>S. Buschelman</v>
      </c>
      <c r="C3" t="str">
        <f>Evaluacion!D9</f>
        <v>TEC</v>
      </c>
      <c r="D3" s="83">
        <f>Evaluacion!K9</f>
        <v>0</v>
      </c>
      <c r="E3" s="83">
        <f>Evaluacion!L9</f>
        <v>9.3036666666666648</v>
      </c>
      <c r="F3" s="83">
        <f>Evaluacion!M9</f>
        <v>14</v>
      </c>
      <c r="G3" s="83">
        <f>Evaluacion!N9</f>
        <v>12.945</v>
      </c>
      <c r="H3" s="83">
        <f>Evaluacion!O9</f>
        <v>9.9499999999999993</v>
      </c>
      <c r="I3" s="83">
        <f>Evaluacion!P9</f>
        <v>3.95</v>
      </c>
      <c r="J3" s="83">
        <f>Evaluacion!Q9</f>
        <v>16</v>
      </c>
      <c r="L3" t="str">
        <f t="shared" ref="L3:L12" si="0">A3</f>
        <v>LATN</v>
      </c>
      <c r="M3" s="243">
        <v>1</v>
      </c>
      <c r="N3" s="244">
        <f>Evaluacion!AI9</f>
        <v>11.37489437088448</v>
      </c>
      <c r="O3" s="244">
        <f>Evaluacion!AJ9</f>
        <v>5.1187024668980152</v>
      </c>
      <c r="P3" s="244">
        <v>0</v>
      </c>
      <c r="Q3" s="244">
        <f>Evaluacion!AK9</f>
        <v>2.8490782752946107</v>
      </c>
      <c r="R3" s="244">
        <f>Evaluacion!AL9</f>
        <v>9.4111451848696461</v>
      </c>
      <c r="S3" s="244">
        <v>0</v>
      </c>
      <c r="T3" s="244">
        <v>0</v>
      </c>
      <c r="U3" s="244">
        <f>Evaluacion!R9</f>
        <v>4.0254583333333329</v>
      </c>
      <c r="V3" s="244">
        <f>Evaluacion!T9</f>
        <v>0.67749999999999999</v>
      </c>
      <c r="W3" s="244">
        <f>Evaluacion!U9</f>
        <v>0.8521466666666665</v>
      </c>
      <c r="AA3" s="250"/>
    </row>
    <row r="4" spans="1:27" x14ac:dyDescent="0.25">
      <c r="A4" t="s">
        <v>363</v>
      </c>
      <c r="B4" t="str">
        <f>Evaluacion!A7</f>
        <v>F. Lasprilla</v>
      </c>
      <c r="C4">
        <f>Evaluacion!D7</f>
        <v>0</v>
      </c>
      <c r="D4" s="83">
        <f>Evaluacion!K7</f>
        <v>0</v>
      </c>
      <c r="E4" s="83">
        <f>Evaluacion!L7</f>
        <v>9.6046666666666667</v>
      </c>
      <c r="F4" s="83">
        <f>Evaluacion!M7</f>
        <v>8</v>
      </c>
      <c r="G4" s="83">
        <f>Evaluacion!N7</f>
        <v>6.1599999999999984</v>
      </c>
      <c r="H4" s="83">
        <f>Evaluacion!O7</f>
        <v>8.8633333333333315</v>
      </c>
      <c r="I4" s="83">
        <f>Evaluacion!P7</f>
        <v>2.95</v>
      </c>
      <c r="J4" s="83">
        <f>Evaluacion!Q7</f>
        <v>13.33611111111111</v>
      </c>
      <c r="L4" t="str">
        <f t="shared" si="0"/>
        <v>DCHL</v>
      </c>
      <c r="M4" s="243">
        <v>0.9</v>
      </c>
      <c r="N4" s="244">
        <f>M4*Evaluacion!AM7</f>
        <v>8.2588701291456008</v>
      </c>
      <c r="O4" s="244">
        <f>M4*Evaluacion!AN7</f>
        <v>7.755013330815764</v>
      </c>
      <c r="P4" s="244">
        <v>0</v>
      </c>
      <c r="Q4" s="244">
        <f>M4*Evaluacion!AO7</f>
        <v>2.3900553461104979</v>
      </c>
      <c r="R4" s="244">
        <f>M4*Evaluacion!AP7</f>
        <v>1.6477872938911577</v>
      </c>
      <c r="S4" s="244">
        <v>0</v>
      </c>
      <c r="T4" s="244">
        <v>0</v>
      </c>
      <c r="U4" s="244">
        <f>Evaluacion!R7</f>
        <v>3.7914166666666662</v>
      </c>
      <c r="V4" s="244">
        <f>Evaluacion!T7*M4</f>
        <v>0.4928249999999999</v>
      </c>
      <c r="W4" s="244">
        <f>Evaluacion!U7*M4</f>
        <v>0.70584299999999989</v>
      </c>
      <c r="AA4" s="250"/>
    </row>
    <row r="5" spans="1:27" x14ac:dyDescent="0.25">
      <c r="A5" t="s">
        <v>362</v>
      </c>
      <c r="B5" t="str">
        <f>Evaluacion!A6</f>
        <v>B. Bartolache</v>
      </c>
      <c r="C5">
        <f>Evaluacion!D6</f>
        <v>0</v>
      </c>
      <c r="D5" s="83">
        <f>Evaluacion!K6</f>
        <v>0</v>
      </c>
      <c r="E5" s="83">
        <f>Evaluacion!L6</f>
        <v>11.95</v>
      </c>
      <c r="F5" s="83">
        <f>Evaluacion!M6</f>
        <v>5.95</v>
      </c>
      <c r="G5" s="83">
        <f>Evaluacion!N6</f>
        <v>6.95</v>
      </c>
      <c r="H5" s="83">
        <f>Evaluacion!O6</f>
        <v>7.95</v>
      </c>
      <c r="I5" s="83">
        <f>Evaluacion!P6</f>
        <v>1.95</v>
      </c>
      <c r="J5" s="83">
        <f>Evaluacion!Q6</f>
        <v>16</v>
      </c>
      <c r="L5" t="str">
        <f t="shared" si="0"/>
        <v>DCN</v>
      </c>
      <c r="M5" s="243">
        <v>0.9</v>
      </c>
      <c r="N5" s="244">
        <f>M5*(Evaluacion!AA6+Evaluacion!AC6)/2</f>
        <v>5.1824170041929651</v>
      </c>
      <c r="O5" s="244">
        <f>M5*Evaluacion!AB6</f>
        <v>13.391258408767349</v>
      </c>
      <c r="P5" s="244">
        <f>N5</f>
        <v>5.1824170041929651</v>
      </c>
      <c r="Q5" s="244">
        <f>M5*Evaluacion!AD6</f>
        <v>1.9019195012866297</v>
      </c>
      <c r="R5" s="244">
        <v>0</v>
      </c>
      <c r="S5" s="244">
        <f>0</f>
        <v>0</v>
      </c>
      <c r="T5" s="244">
        <v>0</v>
      </c>
      <c r="U5" s="244">
        <f>Evaluacion!R6</f>
        <v>3.8562499999999997</v>
      </c>
      <c r="V5" s="244">
        <f>Evaluacion!T6*M5</f>
        <v>0.51974999999999993</v>
      </c>
      <c r="W5" s="244">
        <f>Evaluacion!U6*M5</f>
        <v>0.86219999999999997</v>
      </c>
      <c r="AA5" s="250"/>
    </row>
    <row r="6" spans="1:27" x14ac:dyDescent="0.25">
      <c r="A6" t="s">
        <v>363</v>
      </c>
      <c r="B6" t="str">
        <f>Evaluacion!A5</f>
        <v>E. Toney</v>
      </c>
      <c r="C6">
        <f>Evaluacion!D5</f>
        <v>0</v>
      </c>
      <c r="D6" s="83">
        <f>Evaluacion!K5</f>
        <v>0</v>
      </c>
      <c r="E6" s="83">
        <f>Evaluacion!L5</f>
        <v>11.95</v>
      </c>
      <c r="F6" s="83">
        <f>Evaluacion!M5</f>
        <v>12.95</v>
      </c>
      <c r="G6" s="83">
        <f>Evaluacion!N5</f>
        <v>8.9499999999999993</v>
      </c>
      <c r="H6" s="83">
        <f>Evaluacion!O5</f>
        <v>8.9499999999999993</v>
      </c>
      <c r="I6" s="83">
        <f>Evaluacion!P5</f>
        <v>0.95</v>
      </c>
      <c r="J6" s="83">
        <f>Evaluacion!Q5</f>
        <v>17.177777777777774</v>
      </c>
      <c r="L6" t="str">
        <f t="shared" si="0"/>
        <v>DCHL</v>
      </c>
      <c r="M6" s="243">
        <v>0.9</v>
      </c>
      <c r="N6" s="244">
        <v>0</v>
      </c>
      <c r="O6" s="244">
        <f>M6*Evaluacion!AN5</f>
        <v>9.6368195203357683</v>
      </c>
      <c r="P6" s="244">
        <f>M6*Evaluacion!AM5</f>
        <v>10.262940562617469</v>
      </c>
      <c r="Q6" s="244">
        <f>M6*Evaluacion!AO5</f>
        <v>3.0588266100227024</v>
      </c>
      <c r="R6" s="244">
        <v>0</v>
      </c>
      <c r="S6" s="244">
        <v>0</v>
      </c>
      <c r="T6" s="244">
        <f>M6*Evaluacion!AP5</f>
        <v>1.8869621777637025</v>
      </c>
      <c r="U6" s="244">
        <f>Evaluacion!R5</f>
        <v>4.1062499999999993</v>
      </c>
      <c r="V6" s="244">
        <f>Evaluacion!T5*M6</f>
        <v>0.50654999999999983</v>
      </c>
      <c r="W6" s="244">
        <f>Evaluacion!U5*M6</f>
        <v>0.89399999999999991</v>
      </c>
      <c r="AA6" s="250"/>
    </row>
    <row r="7" spans="1:27" x14ac:dyDescent="0.25">
      <c r="A7" t="s">
        <v>351</v>
      </c>
      <c r="B7" t="e">
        <f>Evaluacion!#REF!</f>
        <v>#REF!</v>
      </c>
      <c r="C7" t="e">
        <f>Evaluacion!#REF!</f>
        <v>#REF!</v>
      </c>
      <c r="D7" s="83" t="e">
        <f>Evaluacion!#REF!</f>
        <v>#REF!</v>
      </c>
      <c r="E7" s="83" t="e">
        <f>Evaluacion!#REF!</f>
        <v>#REF!</v>
      </c>
      <c r="F7" s="83" t="e">
        <f>Evaluacion!#REF!</f>
        <v>#REF!</v>
      </c>
      <c r="G7" s="83" t="e">
        <f>Evaluacion!#REF!</f>
        <v>#REF!</v>
      </c>
      <c r="H7" s="83" t="e">
        <f>Evaluacion!#REF!</f>
        <v>#REF!</v>
      </c>
      <c r="I7" s="83" t="e">
        <f>Evaluacion!#REF!</f>
        <v>#REF!</v>
      </c>
      <c r="J7" s="83" t="e">
        <f>Evaluacion!#REF!</f>
        <v>#REF!</v>
      </c>
      <c r="L7" t="str">
        <f t="shared" si="0"/>
        <v>LATN</v>
      </c>
      <c r="M7" s="243">
        <v>1</v>
      </c>
      <c r="N7" s="244">
        <v>0</v>
      </c>
      <c r="O7" s="244" t="e">
        <f>Evaluacion!#REF!</f>
        <v>#REF!</v>
      </c>
      <c r="P7" s="244" t="e">
        <f>Evaluacion!#REF!</f>
        <v>#REF!</v>
      </c>
      <c r="Q7" s="244" t="e">
        <f>Evaluacion!#REF!</f>
        <v>#REF!</v>
      </c>
      <c r="R7" s="244">
        <v>0</v>
      </c>
      <c r="S7" s="244">
        <v>0</v>
      </c>
      <c r="T7" s="244" t="e">
        <f>Evaluacion!#REF!</f>
        <v>#REF!</v>
      </c>
      <c r="U7" s="244" t="e">
        <f>Evaluacion!#REF!</f>
        <v>#REF!</v>
      </c>
      <c r="V7" s="244" t="e">
        <f>Evaluacion!#REF!</f>
        <v>#REF!</v>
      </c>
      <c r="W7" s="244" t="e">
        <f>Evaluacion!#REF!</f>
        <v>#REF!</v>
      </c>
      <c r="AA7" s="250"/>
    </row>
    <row r="8" spans="1:27" x14ac:dyDescent="0.25">
      <c r="A8" t="s">
        <v>221</v>
      </c>
      <c r="B8" t="str">
        <f>Evaluacion!A13</f>
        <v>I. Stone</v>
      </c>
      <c r="C8" t="str">
        <f>Evaluacion!D13</f>
        <v>RAP</v>
      </c>
      <c r="D8" s="83">
        <f>Evaluacion!K13</f>
        <v>0</v>
      </c>
      <c r="E8" s="83">
        <f>Evaluacion!L13</f>
        <v>3</v>
      </c>
      <c r="F8" s="83">
        <f>Evaluacion!M13</f>
        <v>6.25</v>
      </c>
      <c r="G8" s="83">
        <f>Evaluacion!N13</f>
        <v>2</v>
      </c>
      <c r="H8" s="83">
        <f>Evaluacion!O13</f>
        <v>6</v>
      </c>
      <c r="I8" s="83">
        <f>Evaluacion!P13</f>
        <v>9</v>
      </c>
      <c r="J8" s="83">
        <f>Evaluacion!Q13</f>
        <v>2</v>
      </c>
      <c r="L8" t="str">
        <f t="shared" si="0"/>
        <v>IHL</v>
      </c>
      <c r="M8" s="243">
        <f>1-0.065</f>
        <v>0.93500000000000005</v>
      </c>
      <c r="N8" s="244">
        <f ca="1">M8*Evaluacion!BE13</f>
        <v>0.89523576352947998</v>
      </c>
      <c r="O8" s="244">
        <f ca="1">M8*Evaluacion!BF13</f>
        <v>1.0705912223651513</v>
      </c>
      <c r="P8" s="244">
        <v>0</v>
      </c>
      <c r="Q8" s="244">
        <f ca="1">Evaluacion!BG13*M8</f>
        <v>5.3874573330566049</v>
      </c>
      <c r="R8" s="244">
        <f ca="1">Evaluacion!BH13*M8</f>
        <v>3.0818148755247687</v>
      </c>
      <c r="S8" s="244">
        <f ca="1">Evaluacion!BI13*M8</f>
        <v>1.4174201856034525</v>
      </c>
      <c r="T8" s="244">
        <v>0</v>
      </c>
      <c r="U8" s="244">
        <v>0</v>
      </c>
      <c r="V8" s="244">
        <f>Evaluacion!T13*M8</f>
        <v>0.47685000000000005</v>
      </c>
      <c r="W8" s="244">
        <f>Evaluacion!U13*M8</f>
        <v>0.16830000000000003</v>
      </c>
      <c r="AA8" s="250"/>
    </row>
    <row r="9" spans="1:27" x14ac:dyDescent="0.25">
      <c r="A9" t="s">
        <v>221</v>
      </c>
      <c r="B9" t="str">
        <f>Evaluacion!A12</f>
        <v>I. Vanags</v>
      </c>
      <c r="C9" t="str">
        <f>Evaluacion!D12</f>
        <v>CAB</v>
      </c>
      <c r="D9" s="83">
        <f>Evaluacion!K12</f>
        <v>0</v>
      </c>
      <c r="E9" s="83">
        <f>Evaluacion!L12</f>
        <v>4</v>
      </c>
      <c r="F9" s="83">
        <f>Evaluacion!M12</f>
        <v>7.8</v>
      </c>
      <c r="G9" s="83">
        <f>Evaluacion!N12</f>
        <v>3</v>
      </c>
      <c r="H9" s="83">
        <f>Evaluacion!O12</f>
        <v>4</v>
      </c>
      <c r="I9" s="83">
        <f>Evaluacion!P12</f>
        <v>7</v>
      </c>
      <c r="J9" s="83">
        <f>Evaluacion!Q12</f>
        <v>6</v>
      </c>
      <c r="L9" t="str">
        <f t="shared" si="0"/>
        <v>IHL</v>
      </c>
      <c r="M9" s="243">
        <f>1-0.065</f>
        <v>0.93500000000000005</v>
      </c>
      <c r="N9" s="244">
        <v>0</v>
      </c>
      <c r="O9" s="244">
        <f ca="1">M9*Evaluacion!BF12</f>
        <v>1.1996731329550374</v>
      </c>
      <c r="P9" s="244">
        <f ca="1">M9*Evaluacion!BE12</f>
        <v>1.0031749473848157</v>
      </c>
      <c r="Q9" s="244">
        <f ca="1">Evaluacion!BG12*M9</f>
        <v>6.1672965348660584</v>
      </c>
      <c r="R9" s="244">
        <v>0</v>
      </c>
      <c r="S9" s="244">
        <f ca="1">Evaluacion!BI12*M9</f>
        <v>0.83080811793725295</v>
      </c>
      <c r="T9" s="244">
        <f ca="1">Evaluacion!BH12*M9</f>
        <v>2.5279922275776672</v>
      </c>
      <c r="U9" s="244">
        <v>0</v>
      </c>
      <c r="V9" s="244">
        <f>Evaluacion!T12*M9</f>
        <v>0.49555000000000005</v>
      </c>
      <c r="W9" s="244">
        <f>Evaluacion!U12*M9</f>
        <v>0.31790000000000002</v>
      </c>
      <c r="AA9" s="250"/>
    </row>
    <row r="10" spans="1:27" x14ac:dyDescent="0.25">
      <c r="A10" t="s">
        <v>354</v>
      </c>
      <c r="B10" t="str">
        <f>Evaluacion!A10</f>
        <v>E. Gross</v>
      </c>
      <c r="C10">
        <f>Evaluacion!D10</f>
        <v>0</v>
      </c>
      <c r="D10" s="83">
        <f>Evaluacion!K10</f>
        <v>0</v>
      </c>
      <c r="E10" s="83">
        <f>Evaluacion!L10</f>
        <v>10.549999999999995</v>
      </c>
      <c r="F10" s="83">
        <f>Evaluacion!M10</f>
        <v>12.95</v>
      </c>
      <c r="G10" s="83">
        <f>Evaluacion!N10</f>
        <v>3.95</v>
      </c>
      <c r="H10" s="83">
        <f>Evaluacion!O10</f>
        <v>8.9499999999999993</v>
      </c>
      <c r="I10" s="83">
        <f>Evaluacion!P10</f>
        <v>0.95</v>
      </c>
      <c r="J10" s="83">
        <f>Evaluacion!Q10</f>
        <v>17.3</v>
      </c>
      <c r="L10" t="str">
        <f t="shared" si="0"/>
        <v>EXTN</v>
      </c>
      <c r="M10" s="243">
        <v>1</v>
      </c>
      <c r="N10" s="244">
        <f>Evaluacion!BT10</f>
        <v>3.8452733972883144</v>
      </c>
      <c r="O10" s="244">
        <f>Evaluacion!BU10</f>
        <v>3.3036855948533406</v>
      </c>
      <c r="P10" s="244">
        <v>0</v>
      </c>
      <c r="Q10" s="244">
        <f>Evaluacion!BV10</f>
        <v>7.2525612526978298</v>
      </c>
      <c r="R10" s="244">
        <f>Evaluacion!BW10</f>
        <v>8.9091821274487817</v>
      </c>
      <c r="S10" s="244">
        <f>Evaluacion!BX10</f>
        <v>1.4447031023657964</v>
      </c>
      <c r="T10" s="244">
        <v>0</v>
      </c>
      <c r="U10" s="244">
        <v>0</v>
      </c>
      <c r="V10" s="244">
        <f>Evaluacion!T10</f>
        <v>0.5665</v>
      </c>
      <c r="W10" s="244">
        <f>Evaluacion!U10</f>
        <v>0.94099999999999984</v>
      </c>
      <c r="AA10" s="250"/>
    </row>
    <row r="11" spans="1:27" x14ac:dyDescent="0.25">
      <c r="A11" t="s">
        <v>354</v>
      </c>
      <c r="B11" t="str">
        <f>Evaluacion!A11</f>
        <v>W. Gelifini</v>
      </c>
      <c r="C11">
        <f>Evaluacion!D11</f>
        <v>0</v>
      </c>
      <c r="D11" s="83">
        <f>Evaluacion!K11</f>
        <v>0</v>
      </c>
      <c r="E11" s="83">
        <f>Evaluacion!L11</f>
        <v>5.6515555555555519</v>
      </c>
      <c r="F11" s="83">
        <f>Evaluacion!M11</f>
        <v>9</v>
      </c>
      <c r="G11" s="83">
        <f>Evaluacion!N11</f>
        <v>6.95</v>
      </c>
      <c r="H11" s="83">
        <f>Evaluacion!O11</f>
        <v>8.9499999999999993</v>
      </c>
      <c r="I11" s="83">
        <f>Evaluacion!P11</f>
        <v>2.95</v>
      </c>
      <c r="J11" s="83">
        <f>Evaluacion!Q11</f>
        <v>12.847222222222223</v>
      </c>
      <c r="L11" t="str">
        <f t="shared" si="0"/>
        <v>EXTN</v>
      </c>
      <c r="M11" s="243">
        <v>1</v>
      </c>
      <c r="N11" s="244">
        <v>0</v>
      </c>
      <c r="O11" s="244">
        <f>Evaluacion!BU11</f>
        <v>1.9574913600371331</v>
      </c>
      <c r="P11" s="244">
        <f>Evaluacion!BT11</f>
        <v>2.2783915829940402</v>
      </c>
      <c r="Q11" s="244">
        <f>Evaluacion!BV11</f>
        <v>5.1737822583570425</v>
      </c>
      <c r="R11" s="244">
        <v>0</v>
      </c>
      <c r="S11" s="244">
        <f>Evaluacion!BX11</f>
        <v>1.369834952222422</v>
      </c>
      <c r="T11" s="244">
        <f>Evaluacion!BW11</f>
        <v>10.815612620350775</v>
      </c>
      <c r="U11" s="244">
        <v>0</v>
      </c>
      <c r="V11" s="244">
        <f>Evaluacion!T11</f>
        <v>0.53291666666666671</v>
      </c>
      <c r="W11" s="244">
        <f>Evaluacion!U11</f>
        <v>0.61147888888888879</v>
      </c>
      <c r="AA11" s="250"/>
    </row>
    <row r="12" spans="1:27" x14ac:dyDescent="0.25">
      <c r="A12" t="s">
        <v>277</v>
      </c>
      <c r="B12" t="str">
        <f>Evaluacion!A19</f>
        <v>V. Godoi</v>
      </c>
      <c r="C12">
        <f>Evaluacion!D19</f>
        <v>0</v>
      </c>
      <c r="D12" s="83">
        <f>Evaluacion!K19</f>
        <v>0</v>
      </c>
      <c r="E12" s="83">
        <f>Evaluacion!L19</f>
        <v>3</v>
      </c>
      <c r="F12" s="83">
        <f>Evaluacion!M19</f>
        <v>9.1538461538461533</v>
      </c>
      <c r="G12" s="83">
        <f>Evaluacion!N19</f>
        <v>9</v>
      </c>
      <c r="H12" s="83">
        <f>Evaluacion!O19</f>
        <v>5</v>
      </c>
      <c r="I12" s="83">
        <f>Evaluacion!P19</f>
        <v>5</v>
      </c>
      <c r="J12" s="83">
        <f>Evaluacion!Q19</f>
        <v>1</v>
      </c>
      <c r="L12" t="str">
        <f t="shared" si="0"/>
        <v>DD</v>
      </c>
      <c r="M12" s="243">
        <v>1</v>
      </c>
      <c r="N12" s="244">
        <v>0</v>
      </c>
      <c r="O12" s="244">
        <v>0</v>
      </c>
      <c r="P12" s="244">
        <v>0</v>
      </c>
      <c r="Q12" s="244">
        <f ca="1">M12*Evaluacion!CD19</f>
        <v>4.1324469484352671</v>
      </c>
      <c r="R12" s="244">
        <f ca="1">M12*Evaluacion!CE19</f>
        <v>3.7148137896460898</v>
      </c>
      <c r="S12" s="244">
        <f ca="1">M12*Evaluacion!CF19</f>
        <v>6.7836935261832956</v>
      </c>
      <c r="T12" s="244">
        <f ca="1">R12</f>
        <v>3.7148137896460898</v>
      </c>
      <c r="U12" s="244">
        <v>0</v>
      </c>
      <c r="V12" s="244">
        <f>Evaluacion!T19*M12</f>
        <v>0.27999999999999997</v>
      </c>
      <c r="W12" s="244">
        <f>Evaluacion!U19*M12</f>
        <v>0.15000000000000002</v>
      </c>
      <c r="AA12" s="250"/>
    </row>
    <row r="13" spans="1:27" x14ac:dyDescent="0.25">
      <c r="L13" s="81"/>
      <c r="M13" s="176"/>
      <c r="N13" s="245">
        <f ca="1">SUM(N2:N12)</f>
        <v>45.2780977397966</v>
      </c>
      <c r="O13" s="245" t="e">
        <f t="shared" ref="O13:W13" ca="1" si="1">SUM(O2:O12)</f>
        <v>#REF!</v>
      </c>
      <c r="P13" s="245" t="e">
        <f t="shared" ca="1" si="1"/>
        <v>#REF!</v>
      </c>
      <c r="Q13" s="245" t="e">
        <f t="shared" si="1"/>
        <v>#REF!</v>
      </c>
      <c r="R13" s="245">
        <f t="shared" ca="1" si="1"/>
        <v>26.764743271380443</v>
      </c>
      <c r="S13" s="245">
        <f t="shared" ca="1" si="1"/>
        <v>11.846459884312219</v>
      </c>
      <c r="T13" s="245" t="e">
        <f t="shared" si="1"/>
        <v>#REF!</v>
      </c>
      <c r="U13" s="246" t="e">
        <f t="shared" si="1"/>
        <v>#REF!</v>
      </c>
      <c r="V13" s="246" t="e">
        <f t="shared" si="1"/>
        <v>#REF!</v>
      </c>
      <c r="W13" s="246" t="e">
        <f t="shared" si="1"/>
        <v>#REF!</v>
      </c>
    </row>
    <row r="14" spans="1:27" ht="15.75" x14ac:dyDescent="0.25">
      <c r="L14" s="81"/>
      <c r="M14" s="81" t="s">
        <v>359</v>
      </c>
      <c r="N14" s="247">
        <f ca="1">N13*0.34</f>
        <v>15.394553231530844</v>
      </c>
      <c r="O14" s="247" t="e">
        <f ca="1">O13*0.245</f>
        <v>#REF!</v>
      </c>
      <c r="P14" s="247" t="e">
        <f ca="1">P13*0.34</f>
        <v>#REF!</v>
      </c>
      <c r="Q14" s="247" t="e">
        <f>Q13*0.125</f>
        <v>#REF!</v>
      </c>
      <c r="R14" s="247">
        <f ca="1">R13*0.25</f>
        <v>6.6911858178451107</v>
      </c>
      <c r="S14" s="247">
        <f ca="1">S13*0.19</f>
        <v>2.2508273780193218</v>
      </c>
      <c r="T14" s="247" t="e">
        <f>T13*0.25</f>
        <v>#REF!</v>
      </c>
    </row>
    <row r="15" spans="1:27" ht="15.75" x14ac:dyDescent="0.25">
      <c r="L15" s="81"/>
      <c r="M15" s="81" t="s">
        <v>360</v>
      </c>
      <c r="N15" s="255">
        <f ca="1">N14*1.2/1.05</f>
        <v>17.593775121749534</v>
      </c>
      <c r="O15" s="255" t="e">
        <f t="shared" ref="O15:P15" ca="1" si="2">O14*1.2/1.05</f>
        <v>#REF!</v>
      </c>
      <c r="P15" s="255" t="e">
        <f t="shared" ca="1" si="2"/>
        <v>#REF!</v>
      </c>
      <c r="Q15" s="255" t="e">
        <f>Q14</f>
        <v>#REF!</v>
      </c>
      <c r="R15" s="255">
        <f ca="1">R14*0.925/1.05</f>
        <v>5.8946160776254546</v>
      </c>
      <c r="S15" s="255">
        <f t="shared" ref="S15:T15" ca="1" si="3">S14*0.925/1.05</f>
        <v>1.9828717377789264</v>
      </c>
      <c r="T15" s="255" t="e">
        <f t="shared" si="3"/>
        <v>#REF!</v>
      </c>
    </row>
    <row r="16" spans="1:27" ht="15.75" x14ac:dyDescent="0.25">
      <c r="L16" s="81"/>
      <c r="M16" s="81" t="s">
        <v>361</v>
      </c>
      <c r="N16" s="255">
        <f ca="1">N14*0.925/1.05</f>
        <v>13.561868323015268</v>
      </c>
      <c r="O16" s="255" t="e">
        <f t="shared" ref="O16:P16" ca="1" si="4">O14*0.925/1.05</f>
        <v>#REF!</v>
      </c>
      <c r="P16" s="255" t="e">
        <f t="shared" ca="1" si="4"/>
        <v>#REF!</v>
      </c>
      <c r="Q16" s="255" t="e">
        <f>Q15</f>
        <v>#REF!</v>
      </c>
      <c r="R16" s="255">
        <f ca="1">R14*1.135/1.05</f>
        <v>7.2328532411944764</v>
      </c>
      <c r="S16" s="255">
        <f t="shared" ref="S16:T16" ca="1" si="5">S14*1.135/1.05</f>
        <v>2.4330372133827907</v>
      </c>
      <c r="T16" s="255" t="e">
        <f t="shared" si="5"/>
        <v>#REF!</v>
      </c>
    </row>
  </sheetData>
  <conditionalFormatting sqref="D2:J12">
    <cfRule type="colorScale" priority="3">
      <colorScale>
        <cfvo type="min"/>
        <cfvo type="max"/>
        <color rgb="FFFCFCFF"/>
        <color rgb="FFF8696B"/>
      </colorScale>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5" tint="0.39997558519241921"/>
  </sheetPr>
  <dimension ref="A1:AH26"/>
  <sheetViews>
    <sheetView workbookViewId="0">
      <selection activeCell="D25" sqref="D25"/>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42578125" style="256" bestFit="1" customWidth="1"/>
    <col min="13" max="13" width="6.5703125" style="262" customWidth="1"/>
    <col min="14" max="14" width="8.28515625" style="256" bestFit="1" customWidth="1"/>
    <col min="15" max="15" width="5.140625"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7.7109375" customWidth="1"/>
    <col min="27" max="27" width="12.42578125" customWidth="1"/>
    <col min="30" max="30" width="6" bestFit="1" customWidth="1"/>
    <col min="31" max="31" width="13.7109375" bestFit="1" customWidth="1"/>
    <col min="33" max="33" width="5.7109375" bestFit="1" customWidth="1"/>
    <col min="34" max="34" width="13.7109375" bestFit="1" customWidth="1"/>
  </cols>
  <sheetData>
    <row r="1" spans="1:34" x14ac:dyDescent="0.25">
      <c r="B1" t="s">
        <v>372</v>
      </c>
      <c r="AD1" t="s">
        <v>373</v>
      </c>
      <c r="AG1" t="s">
        <v>374</v>
      </c>
    </row>
    <row r="2" spans="1:34" x14ac:dyDescent="0.25">
      <c r="B2" s="87">
        <v>43060</v>
      </c>
      <c r="Y2" s="264">
        <f>SUM(Y4:Y12)</f>
        <v>0.23658764552873529</v>
      </c>
      <c r="Z2" s="264">
        <f>SUM(Z4:Z12)</f>
        <v>0.33824859010884656</v>
      </c>
      <c r="AA2" s="264"/>
      <c r="AD2" s="191" t="s">
        <v>100</v>
      </c>
      <c r="AE2" s="191" t="s">
        <v>71</v>
      </c>
      <c r="AG2" s="191" t="s">
        <v>100</v>
      </c>
      <c r="AH2" s="191" t="s">
        <v>71</v>
      </c>
    </row>
    <row r="3" spans="1:34" x14ac:dyDescent="0.25">
      <c r="A3" s="94" t="s">
        <v>391</v>
      </c>
      <c r="B3" s="94" t="str">
        <f>Plantilla!D3</f>
        <v>Jugador</v>
      </c>
      <c r="C3" s="94" t="str">
        <f>Plantilla!E3</f>
        <v>Anys</v>
      </c>
      <c r="D3" s="94" t="str">
        <f>Plantilla!F3</f>
        <v>Dias</v>
      </c>
      <c r="E3" s="94" t="str">
        <f>Plantilla!X3</f>
        <v>Po</v>
      </c>
      <c r="F3" s="94" t="str">
        <f>Plantilla!Y3</f>
        <v>De</v>
      </c>
      <c r="G3" s="94" t="str">
        <f>Plantilla!Z3</f>
        <v>Cr</v>
      </c>
      <c r="H3" s="94" t="str">
        <f>Plantilla!AA3</f>
        <v>Ex</v>
      </c>
      <c r="I3" s="94" t="str">
        <f>Plantilla!AB3</f>
        <v>Ps</v>
      </c>
      <c r="J3" s="94" t="str">
        <f>Plantilla!AC3</f>
        <v>An</v>
      </c>
      <c r="K3" s="94" t="str">
        <f>Plantilla!AD3</f>
        <v>PA</v>
      </c>
      <c r="L3" s="257">
        <v>1</v>
      </c>
      <c r="M3" s="257">
        <v>0.5</v>
      </c>
      <c r="N3" s="94" t="s">
        <v>377</v>
      </c>
      <c r="O3" s="261" t="s">
        <v>1</v>
      </c>
      <c r="P3" s="259" t="s">
        <v>352</v>
      </c>
      <c r="Q3" s="258" t="s">
        <v>370</v>
      </c>
      <c r="R3" s="258" t="s">
        <v>376</v>
      </c>
      <c r="S3" s="258" t="s">
        <v>371</v>
      </c>
      <c r="T3" s="258" t="s">
        <v>353</v>
      </c>
      <c r="U3" s="258" t="s">
        <v>221</v>
      </c>
      <c r="V3" s="258" t="s">
        <v>375</v>
      </c>
      <c r="W3" s="259" t="s">
        <v>277</v>
      </c>
      <c r="X3" s="259" t="s">
        <v>64</v>
      </c>
      <c r="Y3" s="258" t="s">
        <v>373</v>
      </c>
      <c r="Z3" s="261" t="s">
        <v>374</v>
      </c>
      <c r="AA3" s="261" t="s">
        <v>378</v>
      </c>
      <c r="AD3" t="s">
        <v>1</v>
      </c>
      <c r="AE3" t="s">
        <v>344</v>
      </c>
      <c r="AG3" t="s">
        <v>1</v>
      </c>
      <c r="AH3" t="s">
        <v>344</v>
      </c>
    </row>
    <row r="4" spans="1:34" x14ac:dyDescent="0.25">
      <c r="A4" s="86" t="str">
        <f>Plantilla!A11</f>
        <v>#12</v>
      </c>
      <c r="B4" s="52" t="str">
        <f>Plantilla!D11</f>
        <v>E. Gross</v>
      </c>
      <c r="C4" s="3">
        <f>Plantilla!E11</f>
        <v>35</v>
      </c>
      <c r="D4" s="3">
        <f ca="1">Plantilla!F11</f>
        <v>91</v>
      </c>
      <c r="E4" s="49">
        <f>Plantilla!X11</f>
        <v>0</v>
      </c>
      <c r="F4" s="49">
        <f>Plantilla!Y11</f>
        <v>10.549999999999995</v>
      </c>
      <c r="G4" s="49">
        <f>Plantilla!Z11</f>
        <v>12.95</v>
      </c>
      <c r="H4" s="49">
        <f>Plantilla!AA11</f>
        <v>3.95</v>
      </c>
      <c r="I4" s="49">
        <f>Plantilla!AB11</f>
        <v>8.9499999999999993</v>
      </c>
      <c r="J4" s="49">
        <f>Plantilla!AC11</f>
        <v>0.95</v>
      </c>
      <c r="K4" s="49">
        <f>Plantilla!AD11</f>
        <v>17.3</v>
      </c>
      <c r="L4" s="114">
        <f>1/13</f>
        <v>7.6923076923076927E-2</v>
      </c>
      <c r="M4" s="114"/>
      <c r="N4" s="114">
        <f t="shared" ref="N4:N23" si="0">L4/6</f>
        <v>1.2820512820512822E-2</v>
      </c>
      <c r="O4" s="48">
        <f t="shared" ref="O4:O23" si="1">L4*(0.245*0.425+0.34*0.276)/(0.245+0.34)</f>
        <v>2.6030900723208419E-2</v>
      </c>
      <c r="P4" s="48">
        <f t="shared" ref="P4:P23" si="2">L4*(0.245*1+0.34*0.516+0.34*0.258)/(0.245+0.34)</f>
        <v>6.6819197896120994E-2</v>
      </c>
      <c r="Q4" s="48">
        <f t="shared" ref="Q4:Q23" si="3">L4*(0.245*0.725+0.34*0.378+0.34*0.189)/(0.245+0.34)</f>
        <v>4.8705456936226174E-2</v>
      </c>
      <c r="R4" s="48">
        <f t="shared" ref="R4:R23" si="4">L4*(0.245*0.708+0.34*0.754)/(0.245+0.34)</f>
        <v>5.6518080210387907E-2</v>
      </c>
      <c r="S4" s="48">
        <f t="shared" ref="S4:S23" si="5">L4*(0.245*0.414+0.34*0.919)/(0.245+0.34)</f>
        <v>5.4423405654174889E-2</v>
      </c>
      <c r="T4" s="48">
        <f t="shared" ref="T4:T10" si="6">L4*(0.245*0.4+0.34*0.189+0.34*0.095)</f>
        <v>1.4966153846153848E-2</v>
      </c>
      <c r="U4" s="48">
        <f t="shared" ref="U4:U10" si="7">L4*(0.245*0.348+0.34*0.291)</f>
        <v>1.4169230769230767E-2</v>
      </c>
      <c r="V4" s="48">
        <f t="shared" ref="V4:V10" si="8">L4*(0.245*0.201+0.34*0.349)</f>
        <v>1.2915769230769231E-2</v>
      </c>
      <c r="W4" s="48">
        <v>0</v>
      </c>
      <c r="X4" s="48">
        <v>0</v>
      </c>
      <c r="Y4" s="141">
        <f>P4</f>
        <v>6.6819197896120994E-2</v>
      </c>
      <c r="Z4" s="141">
        <f>P4</f>
        <v>6.6819197896120994E-2</v>
      </c>
      <c r="AA4" s="141">
        <f t="shared" ref="AA4:AA23" si="9">MAX(Z4,Y4)</f>
        <v>6.6819197896120994E-2</v>
      </c>
      <c r="AD4" t="s">
        <v>351</v>
      </c>
      <c r="AE4" s="273" t="s">
        <v>381</v>
      </c>
      <c r="AG4" t="s">
        <v>351</v>
      </c>
      <c r="AH4" s="273" t="str">
        <f>AE4</f>
        <v>B. Pinczehelyi</v>
      </c>
    </row>
    <row r="5" spans="1:34" x14ac:dyDescent="0.25">
      <c r="A5" s="86" t="str">
        <f>Plantilla!A7</f>
        <v>#24</v>
      </c>
      <c r="B5" s="52" t="str">
        <f>Plantilla!D7</f>
        <v>B. Bartolache</v>
      </c>
      <c r="C5" s="3">
        <f>Plantilla!E7</f>
        <v>36</v>
      </c>
      <c r="D5" s="3">
        <f ca="1">Plantilla!F7</f>
        <v>15</v>
      </c>
      <c r="E5" s="49">
        <f>Plantilla!X7</f>
        <v>0</v>
      </c>
      <c r="F5" s="49">
        <f>Plantilla!Y7</f>
        <v>11.95</v>
      </c>
      <c r="G5" s="49">
        <f>Plantilla!Z7</f>
        <v>5.95</v>
      </c>
      <c r="H5" s="49">
        <f>Plantilla!AA7</f>
        <v>6.95</v>
      </c>
      <c r="I5" s="49">
        <f>Plantilla!AB7</f>
        <v>7.95</v>
      </c>
      <c r="J5" s="49">
        <f>Plantilla!AC7</f>
        <v>1.95</v>
      </c>
      <c r="K5" s="49">
        <f>Plantilla!AD7</f>
        <v>16</v>
      </c>
      <c r="L5" s="114">
        <f>1/15</f>
        <v>6.6666666666666666E-2</v>
      </c>
      <c r="M5" s="114"/>
      <c r="N5" s="114">
        <f t="shared" si="0"/>
        <v>1.1111111111111112E-2</v>
      </c>
      <c r="O5" s="48">
        <f t="shared" si="1"/>
        <v>2.256011396011396E-2</v>
      </c>
      <c r="P5" s="48">
        <f t="shared" si="2"/>
        <v>5.7909971509971521E-2</v>
      </c>
      <c r="Q5" s="48">
        <f t="shared" si="3"/>
        <v>4.2211396011396014E-2</v>
      </c>
      <c r="R5" s="48">
        <f t="shared" si="4"/>
        <v>4.8982336182336182E-2</v>
      </c>
      <c r="S5" s="48">
        <f t="shared" si="5"/>
        <v>4.7166951566951568E-2</v>
      </c>
      <c r="T5" s="48">
        <f t="shared" si="6"/>
        <v>1.2970666666666667E-2</v>
      </c>
      <c r="U5" s="48">
        <f t="shared" si="7"/>
        <v>1.2279999999999998E-2</v>
      </c>
      <c r="V5" s="48">
        <f t="shared" si="8"/>
        <v>1.1193666666666666E-2</v>
      </c>
      <c r="W5" s="48">
        <v>0</v>
      </c>
      <c r="X5" s="48">
        <v>0</v>
      </c>
      <c r="Y5" s="141"/>
      <c r="Z5" s="141">
        <f>R5</f>
        <v>4.8982336182336182E-2</v>
      </c>
      <c r="AA5" s="141">
        <f t="shared" si="9"/>
        <v>4.8982336182336182E-2</v>
      </c>
      <c r="AD5" t="s">
        <v>352</v>
      </c>
      <c r="AE5" t="s">
        <v>97</v>
      </c>
      <c r="AG5" t="s">
        <v>363</v>
      </c>
      <c r="AH5" t="s">
        <v>98</v>
      </c>
    </row>
    <row r="6" spans="1:34" x14ac:dyDescent="0.25">
      <c r="A6" s="86" t="e">
        <f>Plantilla!#REF!</f>
        <v>#REF!</v>
      </c>
      <c r="B6" s="52" t="e">
        <f>Plantilla!#REF!</f>
        <v>#REF!</v>
      </c>
      <c r="C6" s="3" t="e">
        <f>Plantilla!#REF!</f>
        <v>#REF!</v>
      </c>
      <c r="D6" s="3" t="e">
        <f>Plantilla!#REF!</f>
        <v>#REF!</v>
      </c>
      <c r="E6" s="49" t="e">
        <f>Plantilla!#REF!</f>
        <v>#REF!</v>
      </c>
      <c r="F6" s="49" t="e">
        <f>Plantilla!#REF!</f>
        <v>#REF!</v>
      </c>
      <c r="G6" s="49" t="e">
        <f>Plantilla!#REF!</f>
        <v>#REF!</v>
      </c>
      <c r="H6" s="49" t="e">
        <f>Plantilla!#REF!</f>
        <v>#REF!</v>
      </c>
      <c r="I6" s="49" t="e">
        <f>Plantilla!#REF!</f>
        <v>#REF!</v>
      </c>
      <c r="J6" s="49" t="e">
        <f>Plantilla!#REF!</f>
        <v>#REF!</v>
      </c>
      <c r="K6" s="49" t="e">
        <f>Plantilla!#REF!</f>
        <v>#REF!</v>
      </c>
      <c r="L6" s="114">
        <f>1/15</f>
        <v>6.6666666666666666E-2</v>
      </c>
      <c r="M6" s="114"/>
      <c r="N6" s="114">
        <f t="shared" si="0"/>
        <v>1.1111111111111112E-2</v>
      </c>
      <c r="O6" s="48">
        <f t="shared" si="1"/>
        <v>2.256011396011396E-2</v>
      </c>
      <c r="P6" s="48">
        <f t="shared" si="2"/>
        <v>5.7909971509971521E-2</v>
      </c>
      <c r="Q6" s="48">
        <f t="shared" si="3"/>
        <v>4.2211396011396014E-2</v>
      </c>
      <c r="R6" s="48">
        <f t="shared" si="4"/>
        <v>4.8982336182336182E-2</v>
      </c>
      <c r="S6" s="48">
        <f t="shared" si="5"/>
        <v>4.7166951566951568E-2</v>
      </c>
      <c r="T6" s="48">
        <f t="shared" si="6"/>
        <v>1.2970666666666667E-2</v>
      </c>
      <c r="U6" s="48">
        <f t="shared" si="7"/>
        <v>1.2279999999999998E-2</v>
      </c>
      <c r="V6" s="48">
        <f t="shared" si="8"/>
        <v>1.1193666666666666E-2</v>
      </c>
      <c r="W6" s="48">
        <v>0</v>
      </c>
      <c r="X6" s="48">
        <v>0</v>
      </c>
      <c r="Y6" s="141"/>
      <c r="Z6" s="141">
        <f>R6</f>
        <v>4.8982336182336182E-2</v>
      </c>
      <c r="AA6" s="141">
        <f t="shared" si="9"/>
        <v>4.8982336182336182E-2</v>
      </c>
      <c r="AD6" t="s">
        <v>351</v>
      </c>
      <c r="AE6" t="s">
        <v>95</v>
      </c>
      <c r="AG6" t="s">
        <v>362</v>
      </c>
      <c r="AH6" t="s">
        <v>95</v>
      </c>
    </row>
    <row r="7" spans="1:34" x14ac:dyDescent="0.25">
      <c r="A7" s="86" t="str">
        <f>Plantilla!A6</f>
        <v>#2</v>
      </c>
      <c r="B7" s="52" t="str">
        <f>Plantilla!D6</f>
        <v>E. Toney</v>
      </c>
      <c r="C7" s="3">
        <f>Plantilla!E6</f>
        <v>36</v>
      </c>
      <c r="D7" s="3">
        <f ca="1">Plantilla!F6</f>
        <v>30</v>
      </c>
      <c r="E7" s="49">
        <f>Plantilla!X6</f>
        <v>0</v>
      </c>
      <c r="F7" s="49">
        <f>Plantilla!Y6</f>
        <v>11.95</v>
      </c>
      <c r="G7" s="49">
        <f>Plantilla!Z6</f>
        <v>12.95</v>
      </c>
      <c r="H7" s="49">
        <f>Plantilla!AA6</f>
        <v>8.9499999999999993</v>
      </c>
      <c r="I7" s="49">
        <f>Plantilla!AB6</f>
        <v>8.9499999999999993</v>
      </c>
      <c r="J7" s="49">
        <f>Plantilla!AC6</f>
        <v>0.95</v>
      </c>
      <c r="K7" s="49">
        <f>Plantilla!AD6</f>
        <v>17.177777777777774</v>
      </c>
      <c r="L7" s="114">
        <f>1/18</f>
        <v>5.5555555555555552E-2</v>
      </c>
      <c r="M7" s="114"/>
      <c r="N7" s="114">
        <f t="shared" si="0"/>
        <v>9.2592592592592587E-3</v>
      </c>
      <c r="O7" s="48">
        <f t="shared" si="1"/>
        <v>1.8800094966761632E-2</v>
      </c>
      <c r="P7" s="48">
        <f t="shared" si="2"/>
        <v>4.8258309591642928E-2</v>
      </c>
      <c r="Q7" s="48">
        <f t="shared" si="3"/>
        <v>3.5176163342830011E-2</v>
      </c>
      <c r="R7" s="48">
        <f t="shared" si="4"/>
        <v>4.0818613485280153E-2</v>
      </c>
      <c r="S7" s="48">
        <f t="shared" si="5"/>
        <v>3.930579297245964E-2</v>
      </c>
      <c r="T7" s="48">
        <f t="shared" si="6"/>
        <v>1.0808888888888889E-2</v>
      </c>
      <c r="U7" s="48">
        <f t="shared" si="7"/>
        <v>1.0233333333333332E-2</v>
      </c>
      <c r="V7" s="48">
        <f t="shared" si="8"/>
        <v>9.3280555555555547E-3</v>
      </c>
      <c r="W7" s="48">
        <v>0</v>
      </c>
      <c r="X7" s="48">
        <v>0</v>
      </c>
      <c r="Y7" s="141">
        <f>S7</f>
        <v>3.930579297245964E-2</v>
      </c>
      <c r="Z7" s="141">
        <f>R7</f>
        <v>4.0818613485280153E-2</v>
      </c>
      <c r="AA7" s="141">
        <f t="shared" si="9"/>
        <v>4.0818613485280153E-2</v>
      </c>
      <c r="AD7" t="s">
        <v>221</v>
      </c>
      <c r="AE7" t="s">
        <v>291</v>
      </c>
      <c r="AG7" t="s">
        <v>363</v>
      </c>
      <c r="AH7" t="s">
        <v>99</v>
      </c>
    </row>
    <row r="8" spans="1:34" x14ac:dyDescent="0.25">
      <c r="A8" s="86" t="str">
        <f>Plantilla!A9</f>
        <v>#7</v>
      </c>
      <c r="B8" s="52" t="str">
        <f>Plantilla!D9</f>
        <v>E. Romweber</v>
      </c>
      <c r="C8" s="3">
        <f>Plantilla!E9</f>
        <v>35</v>
      </c>
      <c r="D8" s="3">
        <f ca="1">Plantilla!F9</f>
        <v>104</v>
      </c>
      <c r="E8" s="49">
        <f>Plantilla!X9</f>
        <v>0</v>
      </c>
      <c r="F8" s="49">
        <f>Plantilla!Y9</f>
        <v>11.95</v>
      </c>
      <c r="G8" s="49">
        <f>Plantilla!Z9</f>
        <v>11.95</v>
      </c>
      <c r="H8" s="49">
        <f>Plantilla!AA9</f>
        <v>12.95</v>
      </c>
      <c r="I8" s="49">
        <f>Plantilla!AB9</f>
        <v>9.9499999999999993</v>
      </c>
      <c r="J8" s="49">
        <f>Plantilla!AC9</f>
        <v>5.95</v>
      </c>
      <c r="K8" s="49">
        <f>Plantilla!AD9</f>
        <v>17.529999999999998</v>
      </c>
      <c r="L8" s="114">
        <f>1/18</f>
        <v>5.5555555555555552E-2</v>
      </c>
      <c r="M8" s="114"/>
      <c r="N8" s="114">
        <f t="shared" si="0"/>
        <v>9.2592592592592587E-3</v>
      </c>
      <c r="O8" s="48">
        <f t="shared" si="1"/>
        <v>1.8800094966761632E-2</v>
      </c>
      <c r="P8" s="48">
        <f t="shared" si="2"/>
        <v>4.8258309591642928E-2</v>
      </c>
      <c r="Q8" s="48">
        <f t="shared" si="3"/>
        <v>3.5176163342830011E-2</v>
      </c>
      <c r="R8" s="48">
        <f t="shared" si="4"/>
        <v>4.0818613485280153E-2</v>
      </c>
      <c r="S8" s="48">
        <f t="shared" si="5"/>
        <v>3.930579297245964E-2</v>
      </c>
      <c r="T8" s="48">
        <f t="shared" si="6"/>
        <v>1.0808888888888889E-2</v>
      </c>
      <c r="U8" s="48">
        <f t="shared" si="7"/>
        <v>1.0233333333333332E-2</v>
      </c>
      <c r="V8" s="48">
        <f t="shared" si="8"/>
        <v>9.3280555555555547E-3</v>
      </c>
      <c r="W8" s="48">
        <v>0</v>
      </c>
      <c r="X8" s="48">
        <v>0</v>
      </c>
      <c r="Y8" s="141">
        <f>V8</f>
        <v>9.3280555555555547E-3</v>
      </c>
      <c r="Z8" s="141">
        <f>S8</f>
        <v>3.930579297245964E-2</v>
      </c>
      <c r="AA8" s="141">
        <f t="shared" si="9"/>
        <v>3.930579297245964E-2</v>
      </c>
      <c r="AD8" t="s">
        <v>353</v>
      </c>
      <c r="AE8" t="s">
        <v>169</v>
      </c>
      <c r="AG8" t="s">
        <v>351</v>
      </c>
      <c r="AH8" t="s">
        <v>364</v>
      </c>
    </row>
    <row r="9" spans="1:34" x14ac:dyDescent="0.25">
      <c r="A9" s="86" t="e">
        <f>Plantilla!#REF!</f>
        <v>#REF!</v>
      </c>
      <c r="B9" s="52" t="e">
        <f>Plantilla!#REF!</f>
        <v>#REF!</v>
      </c>
      <c r="C9" s="3" t="e">
        <f>Plantilla!#REF!</f>
        <v>#REF!</v>
      </c>
      <c r="D9" s="3" t="e">
        <f>Plantilla!#REF!</f>
        <v>#REF!</v>
      </c>
      <c r="E9" s="49" t="e">
        <f>Plantilla!#REF!</f>
        <v>#REF!</v>
      </c>
      <c r="F9" s="49" t="e">
        <f>Plantilla!#REF!</f>
        <v>#REF!</v>
      </c>
      <c r="G9" s="49" t="e">
        <f>Plantilla!#REF!</f>
        <v>#REF!</v>
      </c>
      <c r="H9" s="49" t="e">
        <f>Plantilla!#REF!</f>
        <v>#REF!</v>
      </c>
      <c r="I9" s="49" t="e">
        <f>Plantilla!#REF!</f>
        <v>#REF!</v>
      </c>
      <c r="J9" s="49" t="e">
        <f>Plantilla!#REF!</f>
        <v>#REF!</v>
      </c>
      <c r="K9" s="49" t="e">
        <f>Plantilla!#REF!</f>
        <v>#REF!</v>
      </c>
      <c r="L9" s="114">
        <f>1/5</f>
        <v>0.2</v>
      </c>
      <c r="M9" s="114"/>
      <c r="N9" s="114">
        <f t="shared" si="0"/>
        <v>3.3333333333333333E-2</v>
      </c>
      <c r="O9" s="48">
        <f t="shared" si="1"/>
        <v>6.7680341880341888E-2</v>
      </c>
      <c r="P9" s="48">
        <f t="shared" si="2"/>
        <v>0.17372991452991457</v>
      </c>
      <c r="Q9" s="48">
        <f t="shared" si="3"/>
        <v>0.12663418803418802</v>
      </c>
      <c r="R9" s="48">
        <f t="shared" si="4"/>
        <v>0.14694700854700857</v>
      </c>
      <c r="S9" s="48">
        <f t="shared" si="5"/>
        <v>0.14150085470085472</v>
      </c>
      <c r="T9" s="48">
        <f t="shared" si="6"/>
        <v>3.8912000000000002E-2</v>
      </c>
      <c r="U9" s="48">
        <f t="shared" si="7"/>
        <v>3.6839999999999998E-2</v>
      </c>
      <c r="V9" s="48">
        <f t="shared" si="8"/>
        <v>3.3581E-2</v>
      </c>
      <c r="W9" s="48">
        <v>0</v>
      </c>
      <c r="X9" s="48">
        <v>0</v>
      </c>
      <c r="Y9" s="141">
        <f>U9</f>
        <v>3.6839999999999998E-2</v>
      </c>
      <c r="Z9" s="141">
        <f>U9</f>
        <v>3.6839999999999998E-2</v>
      </c>
      <c r="AA9" s="141">
        <f t="shared" si="9"/>
        <v>3.6839999999999998E-2</v>
      </c>
      <c r="AD9" t="s">
        <v>221</v>
      </c>
      <c r="AE9" t="s">
        <v>101</v>
      </c>
      <c r="AG9" t="s">
        <v>221</v>
      </c>
      <c r="AH9" t="s">
        <v>101</v>
      </c>
    </row>
    <row r="10" spans="1:34" x14ac:dyDescent="0.25">
      <c r="A10" s="86" t="e">
        <f>Plantilla!#REF!</f>
        <v>#REF!</v>
      </c>
      <c r="B10" s="52" t="e">
        <f>Plantilla!#REF!</f>
        <v>#REF!</v>
      </c>
      <c r="C10" s="3" t="e">
        <f>Plantilla!#REF!</f>
        <v>#REF!</v>
      </c>
      <c r="D10" s="3" t="e">
        <f>Plantilla!#REF!</f>
        <v>#REF!</v>
      </c>
      <c r="E10" s="49" t="e">
        <f>Plantilla!#REF!</f>
        <v>#REF!</v>
      </c>
      <c r="F10" s="49" t="e">
        <f>Plantilla!#REF!</f>
        <v>#REF!</v>
      </c>
      <c r="G10" s="49" t="e">
        <f>Plantilla!#REF!</f>
        <v>#REF!</v>
      </c>
      <c r="H10" s="49" t="e">
        <f>Plantilla!#REF!</f>
        <v>#REF!</v>
      </c>
      <c r="I10" s="49" t="e">
        <f>Plantilla!#REF!</f>
        <v>#REF!</v>
      </c>
      <c r="J10" s="49" t="e">
        <f>Plantilla!#REF!</f>
        <v>#REF!</v>
      </c>
      <c r="K10" s="49" t="e">
        <f>Plantilla!#REF!</f>
        <v>#REF!</v>
      </c>
      <c r="L10" s="114">
        <f>1/25</f>
        <v>0.04</v>
      </c>
      <c r="M10" s="114"/>
      <c r="N10" s="114">
        <f t="shared" si="0"/>
        <v>6.6666666666666671E-3</v>
      </c>
      <c r="O10" s="48">
        <f t="shared" si="1"/>
        <v>1.3536068376068376E-2</v>
      </c>
      <c r="P10" s="48">
        <f t="shared" si="2"/>
        <v>3.4745982905982908E-2</v>
      </c>
      <c r="Q10" s="48">
        <f t="shared" si="3"/>
        <v>2.5326837606837609E-2</v>
      </c>
      <c r="R10" s="48">
        <f t="shared" si="4"/>
        <v>2.9389401709401713E-2</v>
      </c>
      <c r="S10" s="48">
        <f t="shared" si="5"/>
        <v>2.8300170940170941E-2</v>
      </c>
      <c r="T10" s="48">
        <f t="shared" si="6"/>
        <v>7.7824000000000009E-3</v>
      </c>
      <c r="U10" s="48">
        <f t="shared" si="7"/>
        <v>7.3679999999999995E-3</v>
      </c>
      <c r="V10" s="48">
        <f t="shared" si="8"/>
        <v>6.7162000000000003E-3</v>
      </c>
      <c r="W10" s="48">
        <v>0</v>
      </c>
      <c r="X10" s="48">
        <v>0</v>
      </c>
      <c r="Y10" s="141">
        <f>S10</f>
        <v>2.8300170940170941E-2</v>
      </c>
      <c r="Z10" s="141">
        <f>S10</f>
        <v>2.8300170940170941E-2</v>
      </c>
      <c r="AA10" s="141">
        <f t="shared" si="9"/>
        <v>2.8300170940170941E-2</v>
      </c>
      <c r="AD10" t="s">
        <v>354</v>
      </c>
      <c r="AE10" t="s">
        <v>364</v>
      </c>
      <c r="AG10" t="s">
        <v>221</v>
      </c>
      <c r="AH10" t="s">
        <v>291</v>
      </c>
    </row>
    <row r="11" spans="1:34" x14ac:dyDescent="0.25">
      <c r="A11" s="86" t="str">
        <f>Plantilla!A4</f>
        <v>#1</v>
      </c>
      <c r="B11" s="52" t="str">
        <f>Plantilla!D4</f>
        <v>D. Gehmacher</v>
      </c>
      <c r="C11" s="3">
        <f>Plantilla!E4</f>
        <v>35</v>
      </c>
      <c r="D11" s="3">
        <f ca="1">Plantilla!F4</f>
        <v>19</v>
      </c>
      <c r="E11" s="49">
        <f>Plantilla!X4</f>
        <v>16.666666666666668</v>
      </c>
      <c r="F11" s="49">
        <f>Plantilla!Y4</f>
        <v>11.95</v>
      </c>
      <c r="G11" s="49">
        <f>Plantilla!Z4</f>
        <v>2.0699999999999985</v>
      </c>
      <c r="H11" s="49">
        <f>Plantilla!AA4</f>
        <v>2.149999999999999</v>
      </c>
      <c r="I11" s="49">
        <f>Plantilla!AB4</f>
        <v>0.95</v>
      </c>
      <c r="J11" s="49">
        <f>Plantilla!AC4</f>
        <v>0</v>
      </c>
      <c r="K11" s="49">
        <f>Plantilla!AD4</f>
        <v>18.2</v>
      </c>
      <c r="L11" s="114">
        <f>1/12</f>
        <v>8.3333333333333329E-2</v>
      </c>
      <c r="M11" s="114"/>
      <c r="N11" s="114">
        <f t="shared" si="0"/>
        <v>1.3888888888888888E-2</v>
      </c>
      <c r="O11" s="48">
        <f t="shared" si="1"/>
        <v>2.8200142450142449E-2</v>
      </c>
      <c r="P11" s="48">
        <f t="shared" si="2"/>
        <v>7.2387464387464406E-2</v>
      </c>
      <c r="Q11" s="48">
        <f t="shared" si="3"/>
        <v>5.2764245014245009E-2</v>
      </c>
      <c r="R11" s="48">
        <f t="shared" si="4"/>
        <v>6.1227920227920223E-2</v>
      </c>
      <c r="S11" s="48">
        <f t="shared" si="5"/>
        <v>5.8958689458689456E-2</v>
      </c>
      <c r="T11" s="48">
        <f>L11*(0.245*0.4+0.34*0.189+0.34*0.095)/(0.34+0.245)</f>
        <v>2.7715099715099716E-2</v>
      </c>
      <c r="U11" s="48">
        <f>L11*(0.245*0.348+0.34*0.291)/(0.34+0.245)</f>
        <v>2.6239316239316236E-2</v>
      </c>
      <c r="V11" s="48">
        <f>L11*(0.245*0.201+0.34*0.349)/(0.34+0.245)</f>
        <v>2.3918091168091168E-2</v>
      </c>
      <c r="W11" s="48">
        <v>0</v>
      </c>
      <c r="X11" s="48">
        <v>0</v>
      </c>
      <c r="Y11" s="141">
        <f>O11</f>
        <v>2.8200142450142449E-2</v>
      </c>
      <c r="Z11" s="141">
        <f>O11</f>
        <v>2.8200142450142449E-2</v>
      </c>
      <c r="AA11" s="141">
        <f t="shared" si="9"/>
        <v>2.8200142450142449E-2</v>
      </c>
      <c r="AD11" t="s">
        <v>354</v>
      </c>
      <c r="AE11" t="s">
        <v>107</v>
      </c>
      <c r="AG11" t="s">
        <v>354</v>
      </c>
      <c r="AH11" t="s">
        <v>107</v>
      </c>
    </row>
    <row r="12" spans="1:34" x14ac:dyDescent="0.25">
      <c r="A12" s="86" t="str">
        <f>Plantilla!A25</f>
        <v>#5</v>
      </c>
      <c r="B12" s="52" t="str">
        <f>Plantilla!D25</f>
        <v>L. Bauman</v>
      </c>
      <c r="C12" s="3">
        <f>Plantilla!E25</f>
        <v>35</v>
      </c>
      <c r="D12" s="3">
        <f ca="1">Plantilla!F25</f>
        <v>66</v>
      </c>
      <c r="E12" s="49">
        <f>Plantilla!X25</f>
        <v>0</v>
      </c>
      <c r="F12" s="49">
        <f>Plantilla!Y25</f>
        <v>5.95</v>
      </c>
      <c r="G12" s="49">
        <f>Plantilla!Z25</f>
        <v>14.1</v>
      </c>
      <c r="H12" s="49">
        <f>Plantilla!AA25</f>
        <v>2.95</v>
      </c>
      <c r="I12" s="49">
        <f>Plantilla!AB25</f>
        <v>8.9499999999999993</v>
      </c>
      <c r="J12" s="49">
        <f>Plantilla!AC25</f>
        <v>5.95</v>
      </c>
      <c r="K12" s="49">
        <f>Plantilla!AD25</f>
        <v>16.95</v>
      </c>
      <c r="L12" s="114">
        <f>1/7</f>
        <v>0.14285714285714285</v>
      </c>
      <c r="M12" s="114"/>
      <c r="N12" s="114">
        <f t="shared" si="0"/>
        <v>2.3809523809523808E-2</v>
      </c>
      <c r="O12" s="48">
        <f t="shared" si="1"/>
        <v>4.8343101343101345E-2</v>
      </c>
      <c r="P12" s="48">
        <f t="shared" si="2"/>
        <v>0.12409279609279611</v>
      </c>
      <c r="Q12" s="48">
        <f t="shared" si="3"/>
        <v>9.0452991452991446E-2</v>
      </c>
      <c r="R12" s="48">
        <f t="shared" si="4"/>
        <v>0.10496214896214895</v>
      </c>
      <c r="S12" s="48">
        <f t="shared" si="5"/>
        <v>0.10107203907203907</v>
      </c>
      <c r="T12" s="48">
        <f t="shared" ref="T12:T23" si="10">L12*(0.245*0.4+0.34*0.189+0.34*0.095)</f>
        <v>2.7794285714285716E-2</v>
      </c>
      <c r="U12" s="48">
        <f t="shared" ref="U12:U23" si="11">L12*(0.245*0.348+0.34*0.291)</f>
        <v>2.631428571428571E-2</v>
      </c>
      <c r="V12" s="48">
        <f t="shared" ref="V12:V23" si="12">L12*(0.245*0.201+0.34*0.349)</f>
        <v>2.3986428571428568E-2</v>
      </c>
      <c r="W12" s="48">
        <v>0</v>
      </c>
      <c r="X12" s="48">
        <v>0</v>
      </c>
      <c r="Y12" s="141">
        <f>T12</f>
        <v>2.7794285714285716E-2</v>
      </c>
      <c r="Z12" s="141">
        <f>W12</f>
        <v>0</v>
      </c>
      <c r="AA12" s="141">
        <f t="shared" si="9"/>
        <v>2.7794285714285716E-2</v>
      </c>
      <c r="AD12" t="s">
        <v>64</v>
      </c>
      <c r="AE12" t="s">
        <v>102</v>
      </c>
      <c r="AG12" t="s">
        <v>354</v>
      </c>
      <c r="AH12" t="s">
        <v>225</v>
      </c>
    </row>
    <row r="13" spans="1:34" x14ac:dyDescent="0.25">
      <c r="A13" s="86" t="str">
        <f>Plantilla!A23</f>
        <v>#11</v>
      </c>
      <c r="B13" s="52" t="str">
        <f>Plantilla!D23</f>
        <v>K. Helms</v>
      </c>
      <c r="C13" s="3">
        <f>Plantilla!E23</f>
        <v>35</v>
      </c>
      <c r="D13" s="3">
        <f ca="1">Plantilla!F23</f>
        <v>51</v>
      </c>
      <c r="E13" s="49">
        <f>Plantilla!X23</f>
        <v>0</v>
      </c>
      <c r="F13" s="49">
        <f>Plantilla!Y23</f>
        <v>7.2503030303030309</v>
      </c>
      <c r="G13" s="49">
        <f>Plantilla!Z23</f>
        <v>10.600000000000005</v>
      </c>
      <c r="H13" s="49">
        <f>Plantilla!AA23</f>
        <v>12.95</v>
      </c>
      <c r="I13" s="49">
        <f>Plantilla!AB23</f>
        <v>9.9499999999999993</v>
      </c>
      <c r="J13" s="49">
        <f>Plantilla!AC23</f>
        <v>3.95</v>
      </c>
      <c r="K13" s="49">
        <f>Plantilla!AD23</f>
        <v>18</v>
      </c>
      <c r="L13" s="114">
        <f>1/8</f>
        <v>0.125</v>
      </c>
      <c r="M13" s="114"/>
      <c r="N13" s="114">
        <f t="shared" si="0"/>
        <v>2.0833333333333332E-2</v>
      </c>
      <c r="O13" s="48">
        <f t="shared" si="1"/>
        <v>4.230021367521368E-2</v>
      </c>
      <c r="P13" s="48">
        <f t="shared" si="2"/>
        <v>0.1085811965811966</v>
      </c>
      <c r="Q13" s="48">
        <f t="shared" si="3"/>
        <v>7.9146367521367528E-2</v>
      </c>
      <c r="R13" s="48">
        <f t="shared" si="4"/>
        <v>9.1841880341880344E-2</v>
      </c>
      <c r="S13" s="48">
        <f t="shared" si="5"/>
        <v>8.8438034188034184E-2</v>
      </c>
      <c r="T13" s="48">
        <f t="shared" si="10"/>
        <v>2.4320000000000001E-2</v>
      </c>
      <c r="U13" s="48">
        <f t="shared" si="11"/>
        <v>2.3024999999999997E-2</v>
      </c>
      <c r="V13" s="48">
        <f t="shared" si="12"/>
        <v>2.0988125E-2</v>
      </c>
      <c r="W13" s="48">
        <v>0</v>
      </c>
      <c r="X13" s="48">
        <v>0</v>
      </c>
      <c r="Y13" s="141">
        <f>V13</f>
        <v>2.0988125E-2</v>
      </c>
      <c r="Z13" s="141">
        <f>V13</f>
        <v>2.0988125E-2</v>
      </c>
      <c r="AA13" s="141">
        <f t="shared" si="9"/>
        <v>2.0988125E-2</v>
      </c>
      <c r="AD13" t="s">
        <v>64</v>
      </c>
      <c r="AE13" t="s">
        <v>225</v>
      </c>
      <c r="AG13" t="s">
        <v>64</v>
      </c>
      <c r="AH13" t="s">
        <v>102</v>
      </c>
    </row>
    <row r="14" spans="1:34" x14ac:dyDescent="0.25">
      <c r="A14" s="86" t="str">
        <f>Plantilla!A24</f>
        <v>#10</v>
      </c>
      <c r="B14" s="62" t="str">
        <f>Plantilla!D24</f>
        <v>S. Zobbe</v>
      </c>
      <c r="C14" s="3">
        <f>Plantilla!E24</f>
        <v>32</v>
      </c>
      <c r="D14" s="3">
        <f ca="1">Plantilla!F24</f>
        <v>66</v>
      </c>
      <c r="E14" s="49">
        <f>Plantilla!X24</f>
        <v>0</v>
      </c>
      <c r="F14" s="49">
        <f>Plantilla!Y24</f>
        <v>8.3599999999999977</v>
      </c>
      <c r="G14" s="49">
        <f>Plantilla!Z24</f>
        <v>12.253412698412699</v>
      </c>
      <c r="H14" s="49">
        <f>Plantilla!AA24</f>
        <v>12.95</v>
      </c>
      <c r="I14" s="49">
        <f>Plantilla!AB24</f>
        <v>10.24</v>
      </c>
      <c r="J14" s="49">
        <f>Plantilla!AC24</f>
        <v>6.95</v>
      </c>
      <c r="K14" s="49">
        <f>Plantilla!AD24</f>
        <v>16</v>
      </c>
      <c r="L14" s="114">
        <f>1/9</f>
        <v>0.1111111111111111</v>
      </c>
      <c r="M14" s="114"/>
      <c r="N14" s="114">
        <f t="shared" si="0"/>
        <v>1.8518518518518517E-2</v>
      </c>
      <c r="O14" s="48">
        <f t="shared" si="1"/>
        <v>3.7600189933523265E-2</v>
      </c>
      <c r="P14" s="48">
        <f t="shared" si="2"/>
        <v>9.6516619183285857E-2</v>
      </c>
      <c r="Q14" s="48">
        <f t="shared" si="3"/>
        <v>7.0352326685660022E-2</v>
      </c>
      <c r="R14" s="48">
        <f t="shared" si="4"/>
        <v>8.1637226970560306E-2</v>
      </c>
      <c r="S14" s="48">
        <f t="shared" si="5"/>
        <v>7.8611585944919279E-2</v>
      </c>
      <c r="T14" s="48">
        <f t="shared" si="10"/>
        <v>2.1617777777777777E-2</v>
      </c>
      <c r="U14" s="48">
        <f t="shared" si="11"/>
        <v>2.0466666666666664E-2</v>
      </c>
      <c r="V14" s="48">
        <f t="shared" si="12"/>
        <v>1.8656111111111109E-2</v>
      </c>
      <c r="W14" s="48">
        <v>0</v>
      </c>
      <c r="X14" s="48">
        <v>0</v>
      </c>
      <c r="Y14" s="141">
        <f>V14</f>
        <v>1.8656111111111109E-2</v>
      </c>
      <c r="Z14" s="141">
        <f>V14</f>
        <v>1.8656111111111109E-2</v>
      </c>
      <c r="AA14" s="141">
        <f t="shared" si="9"/>
        <v>1.8656111111111109E-2</v>
      </c>
    </row>
    <row r="15" spans="1:34" x14ac:dyDescent="0.25">
      <c r="A15" s="86" t="str">
        <f>Plantilla!A10</f>
        <v>#6</v>
      </c>
      <c r="B15" s="62" t="str">
        <f>Plantilla!D10</f>
        <v>S. Buschelman</v>
      </c>
      <c r="C15" s="3">
        <f>Plantilla!E10</f>
        <v>34</v>
      </c>
      <c r="D15" s="3">
        <f ca="1">Plantilla!F10</f>
        <v>63</v>
      </c>
      <c r="E15" s="49">
        <f>Plantilla!X10</f>
        <v>0</v>
      </c>
      <c r="F15" s="49">
        <f>Plantilla!Y10</f>
        <v>9.3036666666666648</v>
      </c>
      <c r="G15" s="49">
        <f>Plantilla!Z10</f>
        <v>14</v>
      </c>
      <c r="H15" s="49">
        <f>Plantilla!AA10</f>
        <v>12.945</v>
      </c>
      <c r="I15" s="49">
        <f>Plantilla!AB10</f>
        <v>9.9499999999999993</v>
      </c>
      <c r="J15" s="49">
        <f>Plantilla!AC10</f>
        <v>3.95</v>
      </c>
      <c r="K15" s="49">
        <f>Plantilla!AD10</f>
        <v>16</v>
      </c>
      <c r="L15" s="114">
        <f>1/10</f>
        <v>0.1</v>
      </c>
      <c r="M15" s="114"/>
      <c r="N15" s="114">
        <f t="shared" si="0"/>
        <v>1.6666666666666666E-2</v>
      </c>
      <c r="O15" s="48">
        <f t="shared" si="1"/>
        <v>3.3840170940170944E-2</v>
      </c>
      <c r="P15" s="48">
        <f t="shared" si="2"/>
        <v>8.6864957264957285E-2</v>
      </c>
      <c r="Q15" s="48">
        <f t="shared" si="3"/>
        <v>6.3317094017094011E-2</v>
      </c>
      <c r="R15" s="48">
        <f t="shared" si="4"/>
        <v>7.3473504273504284E-2</v>
      </c>
      <c r="S15" s="48">
        <f t="shared" si="5"/>
        <v>7.0750427350427358E-2</v>
      </c>
      <c r="T15" s="48">
        <f t="shared" si="10"/>
        <v>1.9456000000000001E-2</v>
      </c>
      <c r="U15" s="48">
        <f t="shared" si="11"/>
        <v>1.8419999999999999E-2</v>
      </c>
      <c r="V15" s="48">
        <f t="shared" si="12"/>
        <v>1.67905E-2</v>
      </c>
      <c r="W15" s="48">
        <v>0</v>
      </c>
      <c r="X15" s="48">
        <v>0</v>
      </c>
      <c r="Y15" s="141">
        <f>U15</f>
        <v>1.8419999999999999E-2</v>
      </c>
      <c r="Z15" s="141">
        <f>U15</f>
        <v>1.8419999999999999E-2</v>
      </c>
      <c r="AA15" s="141">
        <f t="shared" si="9"/>
        <v>1.8419999999999999E-2</v>
      </c>
    </row>
    <row r="16" spans="1:34" x14ac:dyDescent="0.25">
      <c r="A16" s="86" t="e">
        <f>Plantilla!#REF!</f>
        <v>#REF!</v>
      </c>
      <c r="B16" s="62" t="e">
        <f>Plantilla!#REF!</f>
        <v>#REF!</v>
      </c>
      <c r="C16" s="3" t="e">
        <f>Plantilla!#REF!</f>
        <v>#REF!</v>
      </c>
      <c r="D16" s="3" t="e">
        <f>Plantilla!#REF!</f>
        <v>#REF!</v>
      </c>
      <c r="E16" s="49" t="e">
        <f>Plantilla!#REF!</f>
        <v>#REF!</v>
      </c>
      <c r="F16" s="49" t="e">
        <f>Plantilla!#REF!</f>
        <v>#REF!</v>
      </c>
      <c r="G16" s="49" t="e">
        <f>Plantilla!#REF!</f>
        <v>#REF!</v>
      </c>
      <c r="H16" s="49" t="e">
        <f>Plantilla!#REF!</f>
        <v>#REF!</v>
      </c>
      <c r="I16" s="49" t="e">
        <f>Plantilla!#REF!</f>
        <v>#REF!</v>
      </c>
      <c r="J16" s="49" t="e">
        <f>Plantilla!#REF!</f>
        <v>#REF!</v>
      </c>
      <c r="K16" s="49" t="e">
        <f>Plantilla!#REF!</f>
        <v>#REF!</v>
      </c>
      <c r="L16" s="114">
        <f>1/11</f>
        <v>9.0909090909090912E-2</v>
      </c>
      <c r="M16" s="114"/>
      <c r="N16" s="114">
        <f t="shared" si="0"/>
        <v>1.5151515151515152E-2</v>
      </c>
      <c r="O16" s="48">
        <f t="shared" si="1"/>
        <v>3.0763791763791768E-2</v>
      </c>
      <c r="P16" s="48">
        <f t="shared" si="2"/>
        <v>7.8968142968142974E-2</v>
      </c>
      <c r="Q16" s="48">
        <f t="shared" si="3"/>
        <v>5.7560994560994561E-2</v>
      </c>
      <c r="R16" s="48">
        <f t="shared" si="4"/>
        <v>6.6794094794094788E-2</v>
      </c>
      <c r="S16" s="48">
        <f t="shared" si="5"/>
        <v>6.4318570318570328E-2</v>
      </c>
      <c r="T16" s="48">
        <f t="shared" si="10"/>
        <v>1.7687272727272729E-2</v>
      </c>
      <c r="U16" s="48">
        <f t="shared" si="11"/>
        <v>1.6745454545454543E-2</v>
      </c>
      <c r="V16" s="48">
        <f t="shared" si="12"/>
        <v>1.5264090909090909E-2</v>
      </c>
      <c r="W16" s="48">
        <v>0</v>
      </c>
      <c r="X16" s="48">
        <v>0</v>
      </c>
      <c r="Y16" s="141">
        <f>U16</f>
        <v>1.6745454545454543E-2</v>
      </c>
      <c r="Z16" s="141">
        <f>U16</f>
        <v>1.6745454545454543E-2</v>
      </c>
      <c r="AA16" s="141">
        <f t="shared" si="9"/>
        <v>1.6745454545454543E-2</v>
      </c>
    </row>
    <row r="17" spans="1:27" x14ac:dyDescent="0.25">
      <c r="A17" s="86" t="str">
        <f>Plantilla!A26</f>
        <v>#9</v>
      </c>
      <c r="B17" s="86" t="str">
        <f>Plantilla!D26</f>
        <v>J. Limon</v>
      </c>
      <c r="C17" s="3">
        <f>Plantilla!E26</f>
        <v>34</v>
      </c>
      <c r="D17" s="3">
        <f ca="1">Plantilla!F26</f>
        <v>103</v>
      </c>
      <c r="E17" s="49">
        <f>Plantilla!X26</f>
        <v>0</v>
      </c>
      <c r="F17" s="49">
        <f>Plantilla!Y26</f>
        <v>6.8376190476190493</v>
      </c>
      <c r="G17" s="49">
        <f>Plantilla!Z26</f>
        <v>8.9499999999999993</v>
      </c>
      <c r="H17" s="49">
        <f>Plantilla!AA26</f>
        <v>8.7399999999999967</v>
      </c>
      <c r="I17" s="49">
        <f>Plantilla!AB26</f>
        <v>9.9499999999999993</v>
      </c>
      <c r="J17" s="49">
        <f>Plantilla!AC26</f>
        <v>6.95</v>
      </c>
      <c r="K17" s="49">
        <f>Plantilla!AD26</f>
        <v>18.999999999999993</v>
      </c>
      <c r="L17" s="114">
        <f>1/8</f>
        <v>0.125</v>
      </c>
      <c r="M17" s="114"/>
      <c r="N17" s="114">
        <f t="shared" si="0"/>
        <v>2.0833333333333332E-2</v>
      </c>
      <c r="O17" s="48">
        <f t="shared" si="1"/>
        <v>4.230021367521368E-2</v>
      </c>
      <c r="P17" s="48">
        <f t="shared" si="2"/>
        <v>0.1085811965811966</v>
      </c>
      <c r="Q17" s="48">
        <f t="shared" si="3"/>
        <v>7.9146367521367528E-2</v>
      </c>
      <c r="R17" s="48">
        <f t="shared" si="4"/>
        <v>9.1841880341880344E-2</v>
      </c>
      <c r="S17" s="48">
        <f t="shared" si="5"/>
        <v>8.8438034188034184E-2</v>
      </c>
      <c r="T17" s="48">
        <f t="shared" si="10"/>
        <v>2.4320000000000001E-2</v>
      </c>
      <c r="U17" s="48">
        <f t="shared" si="11"/>
        <v>2.3024999999999997E-2</v>
      </c>
      <c r="V17" s="48">
        <f t="shared" si="12"/>
        <v>2.0988125E-2</v>
      </c>
      <c r="W17" s="48">
        <v>0</v>
      </c>
      <c r="X17" s="48">
        <v>0</v>
      </c>
      <c r="Y17" s="141">
        <v>0</v>
      </c>
      <c r="Z17" s="141">
        <v>0</v>
      </c>
      <c r="AA17" s="141">
        <f t="shared" si="9"/>
        <v>0</v>
      </c>
    </row>
    <row r="18" spans="1:27" x14ac:dyDescent="0.25">
      <c r="A18" s="86" t="str">
        <f>Plantilla!A27</f>
        <v>#15</v>
      </c>
      <c r="B18" s="86" t="str">
        <f>Plantilla!D27</f>
        <v>P .Trivadi</v>
      </c>
      <c r="C18" s="3">
        <f>Plantilla!E27</f>
        <v>32</v>
      </c>
      <c r="D18" s="3">
        <f ca="1">Plantilla!F27</f>
        <v>22</v>
      </c>
      <c r="E18" s="49">
        <f>Plantilla!X27</f>
        <v>0</v>
      </c>
      <c r="F18" s="49">
        <f>Plantilla!Y27</f>
        <v>4.0199999999999996</v>
      </c>
      <c r="G18" s="49">
        <f>Plantilla!Z27</f>
        <v>6</v>
      </c>
      <c r="H18" s="49">
        <f>Plantilla!AA27</f>
        <v>5.5099999999999989</v>
      </c>
      <c r="I18" s="49">
        <f>Plantilla!AB27</f>
        <v>10.95</v>
      </c>
      <c r="J18" s="49">
        <f>Plantilla!AC27</f>
        <v>7.95</v>
      </c>
      <c r="K18" s="49">
        <f>Plantilla!AD27</f>
        <v>14</v>
      </c>
      <c r="L18" s="114">
        <f>1/6</f>
        <v>0.16666666666666666</v>
      </c>
      <c r="M18" s="114"/>
      <c r="N18" s="114">
        <f t="shared" si="0"/>
        <v>2.7777777777777776E-2</v>
      </c>
      <c r="O18" s="48">
        <f t="shared" si="1"/>
        <v>5.6400284900284897E-2</v>
      </c>
      <c r="P18" s="48">
        <f t="shared" si="2"/>
        <v>0.14477492877492881</v>
      </c>
      <c r="Q18" s="48">
        <f t="shared" si="3"/>
        <v>0.10552849002849002</v>
      </c>
      <c r="R18" s="48">
        <f t="shared" si="4"/>
        <v>0.12245584045584045</v>
      </c>
      <c r="S18" s="48">
        <f t="shared" si="5"/>
        <v>0.11791737891737891</v>
      </c>
      <c r="T18" s="48">
        <f t="shared" si="10"/>
        <v>3.2426666666666666E-2</v>
      </c>
      <c r="U18" s="48">
        <f t="shared" si="11"/>
        <v>3.0699999999999995E-2</v>
      </c>
      <c r="V18" s="48">
        <f t="shared" si="12"/>
        <v>2.7984166666666664E-2</v>
      </c>
      <c r="W18" s="48">
        <v>0</v>
      </c>
      <c r="X18" s="48">
        <v>0</v>
      </c>
      <c r="Y18" s="141">
        <v>0</v>
      </c>
      <c r="Z18" s="141">
        <v>0</v>
      </c>
      <c r="AA18" s="141">
        <f t="shared" si="9"/>
        <v>0</v>
      </c>
    </row>
    <row r="19" spans="1:27" x14ac:dyDescent="0.25">
      <c r="A19" s="86" t="e">
        <f>Plantilla!#REF!</f>
        <v>#REF!</v>
      </c>
      <c r="B19" s="86" t="e">
        <f>Plantilla!#REF!</f>
        <v>#REF!</v>
      </c>
      <c r="C19" s="3" t="e">
        <f>Plantilla!#REF!</f>
        <v>#REF!</v>
      </c>
      <c r="D19" s="3" t="e">
        <f>Plantilla!#REF!</f>
        <v>#REF!</v>
      </c>
      <c r="E19" s="49" t="e">
        <f>Plantilla!#REF!</f>
        <v>#REF!</v>
      </c>
      <c r="F19" s="49" t="e">
        <f>Plantilla!#REF!</f>
        <v>#REF!</v>
      </c>
      <c r="G19" s="49" t="e">
        <f>Plantilla!#REF!</f>
        <v>#REF!</v>
      </c>
      <c r="H19" s="49" t="e">
        <f>Plantilla!#REF!</f>
        <v>#REF!</v>
      </c>
      <c r="I19" s="49" t="e">
        <f>Plantilla!#REF!</f>
        <v>#REF!</v>
      </c>
      <c r="J19" s="49" t="e">
        <f>Plantilla!#REF!</f>
        <v>#REF!</v>
      </c>
      <c r="K19" s="49" t="e">
        <f>Plantilla!#REF!</f>
        <v>#REF!</v>
      </c>
      <c r="L19" s="114">
        <f>1/5</f>
        <v>0.2</v>
      </c>
      <c r="M19" s="114"/>
      <c r="N19" s="114">
        <f t="shared" si="0"/>
        <v>3.3333333333333333E-2</v>
      </c>
      <c r="O19" s="48">
        <f t="shared" si="1"/>
        <v>6.7680341880341888E-2</v>
      </c>
      <c r="P19" s="48">
        <f t="shared" si="2"/>
        <v>0.17372991452991457</v>
      </c>
      <c r="Q19" s="48">
        <f t="shared" si="3"/>
        <v>0.12663418803418802</v>
      </c>
      <c r="R19" s="48">
        <f t="shared" si="4"/>
        <v>0.14694700854700857</v>
      </c>
      <c r="S19" s="48">
        <f t="shared" si="5"/>
        <v>0.14150085470085472</v>
      </c>
      <c r="T19" s="48">
        <f t="shared" si="10"/>
        <v>3.8912000000000002E-2</v>
      </c>
      <c r="U19" s="48">
        <f t="shared" si="11"/>
        <v>3.6839999999999998E-2</v>
      </c>
      <c r="V19" s="48">
        <f t="shared" si="12"/>
        <v>3.3581E-2</v>
      </c>
      <c r="W19" s="48">
        <v>0</v>
      </c>
      <c r="X19" s="48">
        <v>0</v>
      </c>
      <c r="Y19" s="141">
        <v>0</v>
      </c>
      <c r="Z19" s="141">
        <v>0</v>
      </c>
      <c r="AA19" s="141">
        <f t="shared" si="9"/>
        <v>0</v>
      </c>
    </row>
    <row r="20" spans="1:27" x14ac:dyDescent="0.25">
      <c r="A20" s="86" t="str">
        <f>Plantilla!A8</f>
        <v>#13</v>
      </c>
      <c r="B20" s="86" t="str">
        <f>Plantilla!D8</f>
        <v>F. Lasprilla</v>
      </c>
      <c r="C20" s="3">
        <f>Plantilla!E8</f>
        <v>32</v>
      </c>
      <c r="D20" s="3">
        <f ca="1">Plantilla!F8</f>
        <v>38</v>
      </c>
      <c r="E20" s="49">
        <f>Plantilla!X8</f>
        <v>0</v>
      </c>
      <c r="F20" s="49">
        <f>Plantilla!Y8</f>
        <v>9.6046666666666667</v>
      </c>
      <c r="G20" s="49">
        <f>Plantilla!Z8</f>
        <v>8</v>
      </c>
      <c r="H20" s="49">
        <f>Plantilla!AA8</f>
        <v>6.1599999999999984</v>
      </c>
      <c r="I20" s="49">
        <f>Plantilla!AB8</f>
        <v>8.8633333333333315</v>
      </c>
      <c r="J20" s="49">
        <f>Plantilla!AC8</f>
        <v>2.95</v>
      </c>
      <c r="K20" s="49">
        <f>Plantilla!AD8</f>
        <v>13.33611111111111</v>
      </c>
      <c r="L20" s="114"/>
      <c r="M20" s="114"/>
      <c r="N20" s="114">
        <f t="shared" si="0"/>
        <v>0</v>
      </c>
      <c r="O20" s="48">
        <f t="shared" si="1"/>
        <v>0</v>
      </c>
      <c r="P20" s="48">
        <f t="shared" si="2"/>
        <v>0</v>
      </c>
      <c r="Q20" s="48">
        <f t="shared" si="3"/>
        <v>0</v>
      </c>
      <c r="R20" s="48">
        <f t="shared" si="4"/>
        <v>0</v>
      </c>
      <c r="S20" s="48">
        <f t="shared" si="5"/>
        <v>0</v>
      </c>
      <c r="T20" s="48">
        <f t="shared" si="10"/>
        <v>0</v>
      </c>
      <c r="U20" s="48">
        <f t="shared" si="11"/>
        <v>0</v>
      </c>
      <c r="V20" s="48">
        <f t="shared" si="12"/>
        <v>0</v>
      </c>
      <c r="W20" s="48">
        <v>0</v>
      </c>
      <c r="X20" s="48">
        <v>0</v>
      </c>
      <c r="Y20" s="141"/>
      <c r="Z20" s="141"/>
      <c r="AA20" s="141">
        <f t="shared" si="9"/>
        <v>0</v>
      </c>
    </row>
    <row r="21" spans="1:27" x14ac:dyDescent="0.25">
      <c r="A21" s="86" t="str">
        <f>Plantilla!A12</f>
        <v>#23</v>
      </c>
      <c r="B21" s="86" t="str">
        <f>Plantilla!D12</f>
        <v>W. Gelifini</v>
      </c>
      <c r="C21" s="3">
        <f>Plantilla!E12</f>
        <v>34</v>
      </c>
      <c r="D21" s="3">
        <f ca="1">Plantilla!F12</f>
        <v>16</v>
      </c>
      <c r="E21" s="49">
        <f>Plantilla!X12</f>
        <v>0</v>
      </c>
      <c r="F21" s="49">
        <f>Plantilla!Y12</f>
        <v>5.6515555555555519</v>
      </c>
      <c r="G21" s="49">
        <f>Plantilla!Z12</f>
        <v>9</v>
      </c>
      <c r="H21" s="49">
        <f>Plantilla!AA12</f>
        <v>6.95</v>
      </c>
      <c r="I21" s="49">
        <f>Plantilla!AB12</f>
        <v>8.9499999999999993</v>
      </c>
      <c r="J21" s="49">
        <f>Plantilla!AC12</f>
        <v>2.95</v>
      </c>
      <c r="K21" s="49">
        <f>Plantilla!AD12</f>
        <v>12.847222222222223</v>
      </c>
      <c r="L21" s="114"/>
      <c r="M21" s="114"/>
      <c r="N21" s="114">
        <f t="shared" si="0"/>
        <v>0</v>
      </c>
      <c r="O21" s="48">
        <f t="shared" si="1"/>
        <v>0</v>
      </c>
      <c r="P21" s="48">
        <f t="shared" si="2"/>
        <v>0</v>
      </c>
      <c r="Q21" s="48">
        <f t="shared" si="3"/>
        <v>0</v>
      </c>
      <c r="R21" s="48">
        <f t="shared" si="4"/>
        <v>0</v>
      </c>
      <c r="S21" s="48">
        <f t="shared" si="5"/>
        <v>0</v>
      </c>
      <c r="T21" s="48">
        <f t="shared" si="10"/>
        <v>0</v>
      </c>
      <c r="U21" s="48">
        <f t="shared" si="11"/>
        <v>0</v>
      </c>
      <c r="V21" s="48">
        <f t="shared" si="12"/>
        <v>0</v>
      </c>
      <c r="W21" s="48">
        <v>0</v>
      </c>
      <c r="X21" s="48">
        <v>0</v>
      </c>
      <c r="Y21" s="141"/>
      <c r="Z21" s="141"/>
      <c r="AA21" s="141">
        <f t="shared" si="9"/>
        <v>0</v>
      </c>
    </row>
    <row r="22" spans="1:27" x14ac:dyDescent="0.25">
      <c r="A22" s="86" t="str">
        <f>Plantilla!A5</f>
        <v>#25</v>
      </c>
      <c r="B22" s="86" t="str">
        <f>Plantilla!D5</f>
        <v>T. Hammond</v>
      </c>
      <c r="C22" s="3">
        <f>Plantilla!E5</f>
        <v>39</v>
      </c>
      <c r="D22" s="3">
        <f ca="1">Plantilla!F5</f>
        <v>28</v>
      </c>
      <c r="E22" s="49">
        <f>Plantilla!X5</f>
        <v>7.95</v>
      </c>
      <c r="F22" s="49">
        <f>Plantilla!Y5</f>
        <v>6.95</v>
      </c>
      <c r="G22" s="49">
        <f>Plantilla!Z5</f>
        <v>0.95</v>
      </c>
      <c r="H22" s="49">
        <f>Plantilla!AA5</f>
        <v>0.95</v>
      </c>
      <c r="I22" s="49">
        <f>Plantilla!AB5</f>
        <v>1.95</v>
      </c>
      <c r="J22" s="49">
        <f>Plantilla!AC5</f>
        <v>0</v>
      </c>
      <c r="K22" s="49">
        <f>Plantilla!AD5</f>
        <v>14.95</v>
      </c>
      <c r="L22" s="114"/>
      <c r="M22" s="114"/>
      <c r="N22" s="114">
        <f t="shared" si="0"/>
        <v>0</v>
      </c>
      <c r="O22" s="48">
        <f t="shared" si="1"/>
        <v>0</v>
      </c>
      <c r="P22" s="48">
        <f t="shared" si="2"/>
        <v>0</v>
      </c>
      <c r="Q22" s="48">
        <f t="shared" si="3"/>
        <v>0</v>
      </c>
      <c r="R22" s="48">
        <f t="shared" si="4"/>
        <v>0</v>
      </c>
      <c r="S22" s="48">
        <f t="shared" si="5"/>
        <v>0</v>
      </c>
      <c r="T22" s="48">
        <f t="shared" si="10"/>
        <v>0</v>
      </c>
      <c r="U22" s="48">
        <f t="shared" si="11"/>
        <v>0</v>
      </c>
      <c r="V22" s="48">
        <f t="shared" si="12"/>
        <v>0</v>
      </c>
      <c r="W22" s="48">
        <v>0</v>
      </c>
      <c r="X22" s="48">
        <v>0</v>
      </c>
      <c r="Y22" s="141"/>
      <c r="Z22" s="141"/>
      <c r="AA22" s="141">
        <f t="shared" si="9"/>
        <v>0</v>
      </c>
    </row>
    <row r="23" spans="1:27" x14ac:dyDescent="0.25">
      <c r="A23" s="86" t="e">
        <f>Plantilla!#REF!</f>
        <v>#REF!</v>
      </c>
      <c r="B23" s="86" t="e">
        <f>Plantilla!#REF!</f>
        <v>#REF!</v>
      </c>
      <c r="C23" s="3" t="e">
        <f>Plantilla!#REF!</f>
        <v>#REF!</v>
      </c>
      <c r="D23" s="3" t="e">
        <f>Plantilla!#REF!</f>
        <v>#REF!</v>
      </c>
      <c r="E23" s="49" t="e">
        <f>Plantilla!#REF!</f>
        <v>#REF!</v>
      </c>
      <c r="F23" s="49" t="e">
        <f>Plantilla!#REF!</f>
        <v>#REF!</v>
      </c>
      <c r="G23" s="49" t="e">
        <f>Plantilla!#REF!</f>
        <v>#REF!</v>
      </c>
      <c r="H23" s="49" t="e">
        <f>Plantilla!#REF!</f>
        <v>#REF!</v>
      </c>
      <c r="I23" s="49" t="e">
        <f>Plantilla!#REF!</f>
        <v>#REF!</v>
      </c>
      <c r="J23" s="49" t="e">
        <f>Plantilla!#REF!</f>
        <v>#REF!</v>
      </c>
      <c r="K23" s="49" t="e">
        <f>Plantilla!#REF!</f>
        <v>#REF!</v>
      </c>
      <c r="L23" s="114"/>
      <c r="M23" s="114"/>
      <c r="N23" s="114">
        <f t="shared" si="0"/>
        <v>0</v>
      </c>
      <c r="O23" s="48">
        <f t="shared" si="1"/>
        <v>0</v>
      </c>
      <c r="P23" s="48">
        <f t="shared" si="2"/>
        <v>0</v>
      </c>
      <c r="Q23" s="48">
        <f t="shared" si="3"/>
        <v>0</v>
      </c>
      <c r="R23" s="48">
        <f t="shared" si="4"/>
        <v>0</v>
      </c>
      <c r="S23" s="48">
        <f t="shared" si="5"/>
        <v>0</v>
      </c>
      <c r="T23" s="48">
        <f t="shared" si="10"/>
        <v>0</v>
      </c>
      <c r="U23" s="48">
        <f t="shared" si="11"/>
        <v>0</v>
      </c>
      <c r="V23" s="48">
        <f t="shared" si="12"/>
        <v>0</v>
      </c>
      <c r="W23" s="48">
        <v>0</v>
      </c>
      <c r="X23" s="48">
        <v>0</v>
      </c>
      <c r="Y23" s="141"/>
      <c r="Z23" s="141"/>
      <c r="AA23" s="141">
        <f t="shared" si="9"/>
        <v>0</v>
      </c>
    </row>
    <row r="26" spans="1:27" x14ac:dyDescent="0.25">
      <c r="B26" s="87"/>
    </row>
  </sheetData>
  <sortState ref="A4:AA23">
    <sortCondition descending="1" ref="AA4:AA23"/>
    <sortCondition descending="1" ref="Y4:Y23"/>
  </sortState>
  <conditionalFormatting sqref="E4:K23">
    <cfRule type="colorScale" priority="2953">
      <colorScale>
        <cfvo type="min"/>
        <cfvo type="max"/>
        <color rgb="FFFCFCFF"/>
        <color rgb="FFF8696B"/>
      </colorScale>
    </cfRule>
  </conditionalFormatting>
  <conditionalFormatting sqref="L4:X23">
    <cfRule type="colorScale" priority="2955">
      <colorScale>
        <cfvo type="min"/>
        <cfvo type="max"/>
        <color rgb="FFFFEF9C"/>
        <color rgb="FF63BE7B"/>
      </colorScale>
    </cfRule>
  </conditionalFormatting>
  <conditionalFormatting sqref="Y4:AA23">
    <cfRule type="dataBar" priority="2957">
      <dataBar>
        <cfvo type="min"/>
        <cfvo type="max"/>
        <color rgb="FF008AEF"/>
      </dataBar>
      <extLst>
        <ext xmlns:x14="http://schemas.microsoft.com/office/spreadsheetml/2009/9/main" uri="{B025F937-C7B1-47D3-B67F-A62EFF666E3E}">
          <x14:id>{C1395A6A-CF46-4568-9C70-66A36F9BBE01}</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C1395A6A-CF46-4568-9C70-66A36F9BBE01}">
            <x14:dataBar minLength="0" maxLength="100" border="1" negativeBarBorderColorSameAsPositive="0">
              <x14:cfvo type="autoMin"/>
              <x14:cfvo type="autoMax"/>
              <x14:borderColor rgb="FF008AEF"/>
              <x14:negativeFillColor rgb="FFFF0000"/>
              <x14:negativeBorderColor rgb="FFFF0000"/>
              <x14:axisColor rgb="FF000000"/>
            </x14:dataBar>
          </x14:cfRule>
          <xm:sqref>Y4:AA23</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5" tint="0.39997558519241921"/>
  </sheetPr>
  <dimension ref="A1:AH26"/>
  <sheetViews>
    <sheetView zoomScaleNormal="100" workbookViewId="0">
      <selection activeCell="P12" sqref="P12"/>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9" width="6" bestFit="1" customWidth="1"/>
    <col min="10" max="10" width="5.5703125" bestFit="1" customWidth="1"/>
    <col min="11" max="11" width="6" bestFit="1" customWidth="1"/>
    <col min="12" max="13" width="6.5703125" style="256" bestFit="1" customWidth="1"/>
    <col min="14" max="14" width="8.28515625" style="256" bestFit="1" customWidth="1"/>
    <col min="15" max="15" width="4.5703125" style="262"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7109375" bestFit="1" customWidth="1"/>
    <col min="25" max="26" width="6.42578125" bestFit="1" customWidth="1"/>
    <col min="27" max="27" width="11.85546875" customWidth="1"/>
    <col min="30" max="30" width="6" bestFit="1" customWidth="1"/>
    <col min="31" max="31" width="13.7109375" bestFit="1" customWidth="1"/>
    <col min="33" max="33" width="5.7109375" bestFit="1" customWidth="1"/>
    <col min="34" max="34" width="13.7109375" bestFit="1" customWidth="1"/>
  </cols>
  <sheetData>
    <row r="1" spans="1:34" x14ac:dyDescent="0.25">
      <c r="B1" t="s">
        <v>372</v>
      </c>
      <c r="AD1" t="s">
        <v>373</v>
      </c>
      <c r="AG1" t="s">
        <v>374</v>
      </c>
    </row>
    <row r="2" spans="1:34" x14ac:dyDescent="0.25">
      <c r="B2" s="87">
        <v>42584</v>
      </c>
      <c r="Y2" s="264">
        <f>SUM(Y4:Y22)</f>
        <v>0.38669362836502424</v>
      </c>
      <c r="Z2" s="264">
        <f>SUM(Z4:Z22)</f>
        <v>0.36442744206594319</v>
      </c>
      <c r="AA2" s="264"/>
      <c r="AD2" s="191" t="s">
        <v>100</v>
      </c>
      <c r="AE2" s="191" t="s">
        <v>71</v>
      </c>
      <c r="AG2" s="191" t="s">
        <v>100</v>
      </c>
      <c r="AH2" s="191" t="s">
        <v>71</v>
      </c>
    </row>
    <row r="3" spans="1:34" x14ac:dyDescent="0.25">
      <c r="A3" s="94" t="s">
        <v>391</v>
      </c>
      <c r="B3" s="94" t="str">
        <f>Plantilla!D3</f>
        <v>Jugador</v>
      </c>
      <c r="C3" s="94" t="str">
        <f>Plantilla!E3</f>
        <v>Anys</v>
      </c>
      <c r="D3" s="94" t="str">
        <f>Plantilla!F3</f>
        <v>Dias</v>
      </c>
      <c r="E3" s="94" t="str">
        <f>Plantilla!X3</f>
        <v>Po</v>
      </c>
      <c r="F3" s="94" t="str">
        <f>Plantilla!Y3</f>
        <v>De</v>
      </c>
      <c r="G3" s="94" t="str">
        <f>Plantilla!Z3</f>
        <v>Cr</v>
      </c>
      <c r="H3" s="94" t="str">
        <f>Plantilla!AA3</f>
        <v>Ex</v>
      </c>
      <c r="I3" s="94" t="str">
        <f>Plantilla!AB3</f>
        <v>Ps</v>
      </c>
      <c r="J3" s="94" t="str">
        <f>Plantilla!AC3</f>
        <v>An</v>
      </c>
      <c r="K3" s="94" t="str">
        <f>Plantilla!AD3</f>
        <v>PA</v>
      </c>
      <c r="L3" s="257">
        <v>1</v>
      </c>
      <c r="M3" s="257">
        <v>0.5</v>
      </c>
      <c r="N3" s="94" t="s">
        <v>369</v>
      </c>
      <c r="O3" s="259" t="s">
        <v>1</v>
      </c>
      <c r="P3" s="259" t="s">
        <v>352</v>
      </c>
      <c r="Q3" s="258" t="s">
        <v>370</v>
      </c>
      <c r="R3" s="258" t="s">
        <v>376</v>
      </c>
      <c r="S3" s="258" t="s">
        <v>371</v>
      </c>
      <c r="T3" s="258" t="s">
        <v>353</v>
      </c>
      <c r="U3" s="258" t="s">
        <v>221</v>
      </c>
      <c r="V3" s="258" t="s">
        <v>375</v>
      </c>
      <c r="W3" s="259" t="s">
        <v>277</v>
      </c>
      <c r="X3" s="263" t="s">
        <v>64</v>
      </c>
      <c r="Y3" s="261" t="s">
        <v>373</v>
      </c>
      <c r="Z3" s="261" t="s">
        <v>374</v>
      </c>
      <c r="AA3" s="261" t="s">
        <v>378</v>
      </c>
      <c r="AD3" t="s">
        <v>1</v>
      </c>
      <c r="AE3" t="s">
        <v>344</v>
      </c>
      <c r="AG3" t="s">
        <v>1</v>
      </c>
      <c r="AH3" t="s">
        <v>344</v>
      </c>
    </row>
    <row r="4" spans="1:34" x14ac:dyDescent="0.25">
      <c r="A4" s="86" t="str">
        <f>Plantilla!A10</f>
        <v>#6</v>
      </c>
      <c r="B4" s="52" t="str">
        <f>Plantilla!D10</f>
        <v>S. Buschelman</v>
      </c>
      <c r="C4" s="86">
        <f>Plantilla!E10</f>
        <v>34</v>
      </c>
      <c r="D4" s="86">
        <f ca="1">Plantilla!F10</f>
        <v>63</v>
      </c>
      <c r="E4" s="49">
        <f>Plantilla!X10</f>
        <v>0</v>
      </c>
      <c r="F4" s="49">
        <f>Plantilla!Y10</f>
        <v>9.3036666666666648</v>
      </c>
      <c r="G4" s="49">
        <f>Plantilla!Z10</f>
        <v>14</v>
      </c>
      <c r="H4" s="49">
        <f>Plantilla!AA10</f>
        <v>12.945</v>
      </c>
      <c r="I4" s="49">
        <f>Plantilla!AB10</f>
        <v>9.9499999999999993</v>
      </c>
      <c r="J4" s="49">
        <f>Plantilla!AC10</f>
        <v>3.95</v>
      </c>
      <c r="K4" s="49">
        <f>Plantilla!AD10</f>
        <v>16</v>
      </c>
      <c r="L4" s="260">
        <f>1/16</f>
        <v>6.25E-2</v>
      </c>
      <c r="M4" s="114">
        <f t="shared" ref="M4:M23" si="0">L4*0.5</f>
        <v>3.125E-2</v>
      </c>
      <c r="N4" s="114">
        <f t="shared" ref="N4:N23" si="1">L4*0.125</f>
        <v>7.8125E-3</v>
      </c>
      <c r="O4" s="48">
        <v>0</v>
      </c>
      <c r="P4" s="48">
        <f t="shared" ref="P4:P23" si="2">L4*0.236</f>
        <v>1.4749999999999999E-2</v>
      </c>
      <c r="Q4" s="48">
        <f t="shared" ref="Q4:Q23" si="3">L4*0.363</f>
        <v>2.2687499999999999E-2</v>
      </c>
      <c r="R4" s="48">
        <f t="shared" ref="R4:R23" si="4">L4*0.165</f>
        <v>1.03125E-2</v>
      </c>
      <c r="S4" s="48">
        <f t="shared" ref="S4:S23" si="5">L4*0.167</f>
        <v>1.0437500000000001E-2</v>
      </c>
      <c r="T4" s="48">
        <f t="shared" ref="T4:T23" si="6">L4*1</f>
        <v>6.25E-2</v>
      </c>
      <c r="U4" s="48">
        <f t="shared" ref="U4:U23" si="7">L4*0.881</f>
        <v>5.50625E-2</v>
      </c>
      <c r="V4" s="48">
        <f t="shared" ref="V4:V23" si="8">L4*0.455</f>
        <v>2.8437500000000001E-2</v>
      </c>
      <c r="W4" s="48">
        <f t="shared" ref="W4:W23" si="9">L4*0.406</f>
        <v>2.5375000000000002E-2</v>
      </c>
      <c r="X4" s="48">
        <f t="shared" ref="X4:X23" si="10">L4*0.25</f>
        <v>1.5625E-2</v>
      </c>
      <c r="Y4" s="141">
        <f>U4</f>
        <v>5.50625E-2</v>
      </c>
      <c r="Z4" s="141">
        <f>U4</f>
        <v>5.50625E-2</v>
      </c>
      <c r="AA4" s="141">
        <f t="shared" ref="AA4:AA23" si="11">MAX(Z4,Y4)</f>
        <v>5.50625E-2</v>
      </c>
      <c r="AD4" t="s">
        <v>351</v>
      </c>
      <c r="AE4" s="273" t="s">
        <v>381</v>
      </c>
      <c r="AG4" t="s">
        <v>351</v>
      </c>
      <c r="AH4" s="273" t="str">
        <f>AE4</f>
        <v>B. Pinczehelyi</v>
      </c>
    </row>
    <row r="5" spans="1:34" x14ac:dyDescent="0.25">
      <c r="A5" s="86" t="str">
        <f>Plantilla!A25</f>
        <v>#5</v>
      </c>
      <c r="B5" s="52" t="str">
        <f>Plantilla!D25</f>
        <v>L. Bauman</v>
      </c>
      <c r="C5" s="86">
        <f>Plantilla!E25</f>
        <v>35</v>
      </c>
      <c r="D5" s="86">
        <f ca="1">Plantilla!F25</f>
        <v>66</v>
      </c>
      <c r="E5" s="49">
        <f>Plantilla!X25</f>
        <v>0</v>
      </c>
      <c r="F5" s="49">
        <f>Plantilla!Y25</f>
        <v>5.95</v>
      </c>
      <c r="G5" s="49">
        <f>Plantilla!Z25</f>
        <v>14.1</v>
      </c>
      <c r="H5" s="49">
        <f>Plantilla!AA25</f>
        <v>2.95</v>
      </c>
      <c r="I5" s="49">
        <f>Plantilla!AB25</f>
        <v>8.9499999999999993</v>
      </c>
      <c r="J5" s="49">
        <f>Plantilla!AC25</f>
        <v>5.95</v>
      </c>
      <c r="K5" s="49">
        <f>Plantilla!AD25</f>
        <v>16.95</v>
      </c>
      <c r="L5" s="260">
        <f>1/21</f>
        <v>4.7619047619047616E-2</v>
      </c>
      <c r="M5" s="114">
        <f t="shared" si="0"/>
        <v>2.3809523809523808E-2</v>
      </c>
      <c r="N5" s="114">
        <f t="shared" si="1"/>
        <v>5.9523809523809521E-3</v>
      </c>
      <c r="O5" s="48">
        <v>0</v>
      </c>
      <c r="P5" s="48">
        <f t="shared" si="2"/>
        <v>1.1238095238095236E-2</v>
      </c>
      <c r="Q5" s="48">
        <f t="shared" si="3"/>
        <v>1.7285714285714283E-2</v>
      </c>
      <c r="R5" s="48">
        <f t="shared" si="4"/>
        <v>7.8571428571428577E-3</v>
      </c>
      <c r="S5" s="48">
        <f t="shared" si="5"/>
        <v>7.9523809523809521E-3</v>
      </c>
      <c r="T5" s="48">
        <f t="shared" si="6"/>
        <v>4.7619047619047616E-2</v>
      </c>
      <c r="U5" s="48">
        <f t="shared" si="7"/>
        <v>4.1952380952380949E-2</v>
      </c>
      <c r="V5" s="48">
        <f t="shared" si="8"/>
        <v>2.1666666666666667E-2</v>
      </c>
      <c r="W5" s="48">
        <f t="shared" si="9"/>
        <v>1.9333333333333334E-2</v>
      </c>
      <c r="X5" s="48">
        <f t="shared" si="10"/>
        <v>1.1904761904761904E-2</v>
      </c>
      <c r="Y5" s="141">
        <f>T5</f>
        <v>4.7619047619047616E-2</v>
      </c>
      <c r="Z5" s="141">
        <f>W5</f>
        <v>1.9333333333333334E-2</v>
      </c>
      <c r="AA5" s="141">
        <f t="shared" si="11"/>
        <v>4.7619047619047616E-2</v>
      </c>
      <c r="AD5" t="s">
        <v>352</v>
      </c>
      <c r="AE5" t="s">
        <v>97</v>
      </c>
      <c r="AG5" t="s">
        <v>363</v>
      </c>
      <c r="AH5" t="s">
        <v>98</v>
      </c>
    </row>
    <row r="6" spans="1:34" x14ac:dyDescent="0.25">
      <c r="A6" s="86" t="str">
        <f>Plantilla!A26</f>
        <v>#9</v>
      </c>
      <c r="B6" s="52" t="str">
        <f>Plantilla!D26</f>
        <v>J. Limon</v>
      </c>
      <c r="C6" s="86">
        <f>Plantilla!E26</f>
        <v>34</v>
      </c>
      <c r="D6" s="86">
        <f ca="1">Plantilla!F26</f>
        <v>103</v>
      </c>
      <c r="E6" s="49">
        <f>Plantilla!X26</f>
        <v>0</v>
      </c>
      <c r="F6" s="49">
        <f>Plantilla!Y26</f>
        <v>6.8376190476190493</v>
      </c>
      <c r="G6" s="49">
        <f>Plantilla!Z26</f>
        <v>8.9499999999999993</v>
      </c>
      <c r="H6" s="49">
        <f>Plantilla!AA26</f>
        <v>8.7399999999999967</v>
      </c>
      <c r="I6" s="49">
        <f>Plantilla!AB26</f>
        <v>9.9499999999999993</v>
      </c>
      <c r="J6" s="49">
        <f>Plantilla!AC26</f>
        <v>6.95</v>
      </c>
      <c r="K6" s="49">
        <f>Plantilla!AD26</f>
        <v>18.999999999999993</v>
      </c>
      <c r="L6" s="114">
        <f>1/9</f>
        <v>0.1111111111111111</v>
      </c>
      <c r="M6" s="114">
        <f t="shared" si="0"/>
        <v>5.5555555555555552E-2</v>
      </c>
      <c r="N6" s="114">
        <f t="shared" si="1"/>
        <v>1.3888888888888888E-2</v>
      </c>
      <c r="O6" s="48">
        <v>0</v>
      </c>
      <c r="P6" s="48">
        <f t="shared" si="2"/>
        <v>2.622222222222222E-2</v>
      </c>
      <c r="Q6" s="48">
        <f t="shared" si="3"/>
        <v>4.0333333333333332E-2</v>
      </c>
      <c r="R6" s="48">
        <f t="shared" si="4"/>
        <v>1.8333333333333333E-2</v>
      </c>
      <c r="S6" s="48">
        <f t="shared" si="5"/>
        <v>1.8555555555555554E-2</v>
      </c>
      <c r="T6" s="48">
        <f t="shared" si="6"/>
        <v>0.1111111111111111</v>
      </c>
      <c r="U6" s="48">
        <f t="shared" si="7"/>
        <v>9.7888888888888886E-2</v>
      </c>
      <c r="V6" s="48">
        <f t="shared" si="8"/>
        <v>5.0555555555555555E-2</v>
      </c>
      <c r="W6" s="48">
        <f t="shared" si="9"/>
        <v>4.5111111111111109E-2</v>
      </c>
      <c r="X6" s="48">
        <f t="shared" si="10"/>
        <v>2.7777777777777776E-2</v>
      </c>
      <c r="Y6" s="141">
        <f>W6</f>
        <v>4.5111111111111109E-2</v>
      </c>
      <c r="Z6" s="141"/>
      <c r="AA6" s="141">
        <f t="shared" si="11"/>
        <v>4.5111111111111109E-2</v>
      </c>
      <c r="AD6" t="s">
        <v>351</v>
      </c>
      <c r="AE6" t="s">
        <v>95</v>
      </c>
      <c r="AG6" t="s">
        <v>362</v>
      </c>
      <c r="AH6" t="s">
        <v>95</v>
      </c>
    </row>
    <row r="7" spans="1:34" x14ac:dyDescent="0.25">
      <c r="A7" s="86" t="e">
        <f>Plantilla!#REF!</f>
        <v>#REF!</v>
      </c>
      <c r="B7" s="52" t="e">
        <f>Plantilla!#REF!</f>
        <v>#REF!</v>
      </c>
      <c r="C7" s="86" t="e">
        <f>Plantilla!#REF!</f>
        <v>#REF!</v>
      </c>
      <c r="D7" s="86" t="e">
        <f>Plantilla!#REF!</f>
        <v>#REF!</v>
      </c>
      <c r="E7" s="49" t="e">
        <f>Plantilla!#REF!</f>
        <v>#REF!</v>
      </c>
      <c r="F7" s="49" t="e">
        <f>Plantilla!#REF!</f>
        <v>#REF!</v>
      </c>
      <c r="G7" s="49" t="e">
        <f>Plantilla!#REF!</f>
        <v>#REF!</v>
      </c>
      <c r="H7" s="49" t="e">
        <f>Plantilla!#REF!</f>
        <v>#REF!</v>
      </c>
      <c r="I7" s="49" t="e">
        <f>Plantilla!#REF!</f>
        <v>#REF!</v>
      </c>
      <c r="J7" s="49" t="e">
        <f>Plantilla!#REF!</f>
        <v>#REF!</v>
      </c>
      <c r="K7" s="49" t="e">
        <f>Plantilla!#REF!</f>
        <v>#REF!</v>
      </c>
      <c r="L7">
        <f>1/20</f>
        <v>0.05</v>
      </c>
      <c r="M7" s="114">
        <f t="shared" si="0"/>
        <v>2.5000000000000001E-2</v>
      </c>
      <c r="N7" s="114">
        <f t="shared" si="1"/>
        <v>6.2500000000000003E-3</v>
      </c>
      <c r="O7" s="48">
        <v>0</v>
      </c>
      <c r="P7" s="48">
        <f t="shared" si="2"/>
        <v>1.18E-2</v>
      </c>
      <c r="Q7" s="48">
        <f t="shared" si="3"/>
        <v>1.8149999999999999E-2</v>
      </c>
      <c r="R7" s="48">
        <f t="shared" si="4"/>
        <v>8.2500000000000004E-3</v>
      </c>
      <c r="S7" s="48">
        <f t="shared" si="5"/>
        <v>8.3500000000000015E-3</v>
      </c>
      <c r="T7" s="48">
        <f t="shared" si="6"/>
        <v>0.05</v>
      </c>
      <c r="U7" s="48">
        <f t="shared" si="7"/>
        <v>4.4050000000000006E-2</v>
      </c>
      <c r="V7" s="48">
        <f t="shared" si="8"/>
        <v>2.2750000000000003E-2</v>
      </c>
      <c r="W7" s="48">
        <f t="shared" si="9"/>
        <v>2.0300000000000002E-2</v>
      </c>
      <c r="X7" s="48">
        <f t="shared" si="10"/>
        <v>1.2500000000000001E-2</v>
      </c>
      <c r="Y7" s="141">
        <f>U7</f>
        <v>4.4050000000000006E-2</v>
      </c>
      <c r="Z7" s="141">
        <f>U7</f>
        <v>4.4050000000000006E-2</v>
      </c>
      <c r="AA7" s="141">
        <f t="shared" si="11"/>
        <v>4.4050000000000006E-2</v>
      </c>
      <c r="AD7" t="s">
        <v>221</v>
      </c>
      <c r="AE7" t="s">
        <v>291</v>
      </c>
      <c r="AG7" t="s">
        <v>363</v>
      </c>
      <c r="AH7" t="s">
        <v>99</v>
      </c>
    </row>
    <row r="8" spans="1:34" x14ac:dyDescent="0.25">
      <c r="A8" s="86" t="str">
        <f>Plantilla!A23</f>
        <v>#11</v>
      </c>
      <c r="B8" s="52" t="str">
        <f>Plantilla!D23</f>
        <v>K. Helms</v>
      </c>
      <c r="C8" s="86">
        <f>Plantilla!E23</f>
        <v>35</v>
      </c>
      <c r="D8" s="86">
        <f ca="1">Plantilla!F23</f>
        <v>51</v>
      </c>
      <c r="E8" s="49">
        <f>Plantilla!X23</f>
        <v>0</v>
      </c>
      <c r="F8" s="49">
        <f>Plantilla!Y23</f>
        <v>7.2503030303030309</v>
      </c>
      <c r="G8" s="49">
        <f>Plantilla!Z23</f>
        <v>10.600000000000005</v>
      </c>
      <c r="H8" s="49">
        <f>Plantilla!AA23</f>
        <v>12.95</v>
      </c>
      <c r="I8" s="49">
        <f>Plantilla!AB23</f>
        <v>9.9499999999999993</v>
      </c>
      <c r="J8" s="49">
        <f>Plantilla!AC23</f>
        <v>3.95</v>
      </c>
      <c r="K8" s="49">
        <f>Plantilla!AD23</f>
        <v>18</v>
      </c>
      <c r="L8" s="260">
        <f>1/12</f>
        <v>8.3333333333333329E-2</v>
      </c>
      <c r="M8" s="114">
        <f t="shared" si="0"/>
        <v>4.1666666666666664E-2</v>
      </c>
      <c r="N8" s="114">
        <f t="shared" si="1"/>
        <v>1.0416666666666666E-2</v>
      </c>
      <c r="O8" s="48">
        <v>0</v>
      </c>
      <c r="P8" s="48">
        <f t="shared" si="2"/>
        <v>1.9666666666666666E-2</v>
      </c>
      <c r="Q8" s="48">
        <f t="shared" si="3"/>
        <v>3.0249999999999999E-2</v>
      </c>
      <c r="R8" s="48">
        <f t="shared" si="4"/>
        <v>1.375E-2</v>
      </c>
      <c r="S8" s="48">
        <f t="shared" si="5"/>
        <v>1.3916666666666667E-2</v>
      </c>
      <c r="T8" s="48">
        <f t="shared" si="6"/>
        <v>8.3333333333333329E-2</v>
      </c>
      <c r="U8" s="48">
        <f t="shared" si="7"/>
        <v>7.3416666666666658E-2</v>
      </c>
      <c r="V8" s="48">
        <f t="shared" si="8"/>
        <v>3.7916666666666668E-2</v>
      </c>
      <c r="W8" s="48">
        <f t="shared" si="9"/>
        <v>3.3833333333333333E-2</v>
      </c>
      <c r="X8" s="48">
        <f t="shared" si="10"/>
        <v>2.0833333333333332E-2</v>
      </c>
      <c r="Y8" s="141">
        <f>V8</f>
        <v>3.7916666666666668E-2</v>
      </c>
      <c r="Z8" s="141">
        <f>V8</f>
        <v>3.7916666666666668E-2</v>
      </c>
      <c r="AA8" s="141">
        <f t="shared" si="11"/>
        <v>3.7916666666666668E-2</v>
      </c>
      <c r="AD8" t="s">
        <v>353</v>
      </c>
      <c r="AE8" t="s">
        <v>169</v>
      </c>
      <c r="AG8" t="s">
        <v>351</v>
      </c>
      <c r="AH8" t="s">
        <v>364</v>
      </c>
    </row>
    <row r="9" spans="1:34" x14ac:dyDescent="0.25">
      <c r="A9" s="86" t="e">
        <f>Plantilla!#REF!</f>
        <v>#REF!</v>
      </c>
      <c r="B9" s="52" t="e">
        <f>Plantilla!#REF!</f>
        <v>#REF!</v>
      </c>
      <c r="C9" s="86" t="e">
        <f>Plantilla!#REF!</f>
        <v>#REF!</v>
      </c>
      <c r="D9" s="86" t="e">
        <f>Plantilla!#REF!</f>
        <v>#REF!</v>
      </c>
      <c r="E9" s="49" t="e">
        <f>Plantilla!#REF!</f>
        <v>#REF!</v>
      </c>
      <c r="F9" s="49" t="e">
        <f>Plantilla!#REF!</f>
        <v>#REF!</v>
      </c>
      <c r="G9" s="49" t="e">
        <f>Plantilla!#REF!</f>
        <v>#REF!</v>
      </c>
      <c r="H9" s="49" t="e">
        <f>Plantilla!#REF!</f>
        <v>#REF!</v>
      </c>
      <c r="I9" s="49" t="e">
        <f>Plantilla!#REF!</f>
        <v>#REF!</v>
      </c>
      <c r="J9" s="49" t="e">
        <f>Plantilla!#REF!</f>
        <v>#REF!</v>
      </c>
      <c r="K9" s="49" t="e">
        <f>Plantilla!#REF!</f>
        <v>#REF!</v>
      </c>
      <c r="L9" s="260">
        <f>1/26</f>
        <v>3.8461538461538464E-2</v>
      </c>
      <c r="M9" s="114">
        <f t="shared" si="0"/>
        <v>1.9230769230769232E-2</v>
      </c>
      <c r="N9" s="114">
        <f t="shared" si="1"/>
        <v>4.807692307692308E-3</v>
      </c>
      <c r="O9" s="48">
        <v>0</v>
      </c>
      <c r="P9" s="48">
        <f t="shared" si="2"/>
        <v>9.0769230769230762E-3</v>
      </c>
      <c r="Q9" s="48">
        <f t="shared" si="3"/>
        <v>1.3961538461538463E-2</v>
      </c>
      <c r="R9" s="48">
        <f t="shared" si="4"/>
        <v>6.3461538461538469E-3</v>
      </c>
      <c r="S9" s="48">
        <f t="shared" si="5"/>
        <v>6.4230769230769237E-3</v>
      </c>
      <c r="T9" s="48">
        <f t="shared" si="6"/>
        <v>3.8461538461538464E-2</v>
      </c>
      <c r="U9" s="48">
        <f t="shared" si="7"/>
        <v>3.3884615384615388E-2</v>
      </c>
      <c r="V9" s="48">
        <f t="shared" si="8"/>
        <v>1.7500000000000002E-2</v>
      </c>
      <c r="W9" s="48">
        <f t="shared" si="9"/>
        <v>1.5615384615384618E-2</v>
      </c>
      <c r="X9" s="48">
        <f t="shared" si="10"/>
        <v>9.6153846153846159E-3</v>
      </c>
      <c r="Y9" s="141">
        <f>U9</f>
        <v>3.3884615384615388E-2</v>
      </c>
      <c r="Z9" s="141">
        <f>U9</f>
        <v>3.3884615384615388E-2</v>
      </c>
      <c r="AA9" s="141">
        <f t="shared" si="11"/>
        <v>3.3884615384615388E-2</v>
      </c>
      <c r="AD9" t="s">
        <v>221</v>
      </c>
      <c r="AE9" t="s">
        <v>101</v>
      </c>
      <c r="AG9" t="s">
        <v>221</v>
      </c>
      <c r="AH9" t="s">
        <v>101</v>
      </c>
    </row>
    <row r="10" spans="1:34" x14ac:dyDescent="0.25">
      <c r="A10" s="86" t="str">
        <f>Plantilla!A24</f>
        <v>#10</v>
      </c>
      <c r="B10" s="299" t="str">
        <f>Plantilla!D24</f>
        <v>S. Zobbe</v>
      </c>
      <c r="C10" s="86">
        <f>Plantilla!E24</f>
        <v>32</v>
      </c>
      <c r="D10" s="86">
        <f ca="1">Plantilla!F24</f>
        <v>66</v>
      </c>
      <c r="E10" s="49">
        <f>Plantilla!X24</f>
        <v>0</v>
      </c>
      <c r="F10" s="49">
        <f>Plantilla!Y24</f>
        <v>8.3599999999999977</v>
      </c>
      <c r="G10" s="49">
        <f>Plantilla!Z24</f>
        <v>12.253412698412699</v>
      </c>
      <c r="H10" s="49">
        <f>Plantilla!AA24</f>
        <v>12.95</v>
      </c>
      <c r="I10" s="49">
        <f>Plantilla!AB24</f>
        <v>10.24</v>
      </c>
      <c r="J10" s="49">
        <f>Plantilla!AC24</f>
        <v>6.95</v>
      </c>
      <c r="K10" s="49">
        <f>Plantilla!AD24</f>
        <v>16</v>
      </c>
      <c r="L10" s="260">
        <f>1/14</f>
        <v>7.1428571428571425E-2</v>
      </c>
      <c r="M10" s="114">
        <f t="shared" si="0"/>
        <v>3.5714285714285712E-2</v>
      </c>
      <c r="N10" s="114">
        <f t="shared" si="1"/>
        <v>8.9285714285714281E-3</v>
      </c>
      <c r="O10" s="48">
        <v>0</v>
      </c>
      <c r="P10" s="48">
        <f t="shared" si="2"/>
        <v>1.6857142857142855E-2</v>
      </c>
      <c r="Q10" s="48">
        <f t="shared" si="3"/>
        <v>2.5928571428571426E-2</v>
      </c>
      <c r="R10" s="48">
        <f t="shared" si="4"/>
        <v>1.1785714285714285E-2</v>
      </c>
      <c r="S10" s="48">
        <f t="shared" si="5"/>
        <v>1.1928571428571429E-2</v>
      </c>
      <c r="T10" s="48">
        <f t="shared" si="6"/>
        <v>7.1428571428571425E-2</v>
      </c>
      <c r="U10" s="48">
        <f t="shared" si="7"/>
        <v>6.2928571428571431E-2</v>
      </c>
      <c r="V10" s="48">
        <f t="shared" si="8"/>
        <v>3.2500000000000001E-2</v>
      </c>
      <c r="W10" s="48">
        <f t="shared" si="9"/>
        <v>2.9000000000000001E-2</v>
      </c>
      <c r="X10" s="48">
        <f t="shared" si="10"/>
        <v>1.7857142857142856E-2</v>
      </c>
      <c r="Y10" s="141">
        <f>V10</f>
        <v>3.2500000000000001E-2</v>
      </c>
      <c r="Z10" s="141">
        <f>V10</f>
        <v>3.2500000000000001E-2</v>
      </c>
      <c r="AA10" s="141">
        <f t="shared" si="11"/>
        <v>3.2500000000000001E-2</v>
      </c>
      <c r="AD10" t="s">
        <v>354</v>
      </c>
      <c r="AE10" t="s">
        <v>364</v>
      </c>
      <c r="AG10" t="s">
        <v>221</v>
      </c>
      <c r="AH10" t="s">
        <v>291</v>
      </c>
    </row>
    <row r="11" spans="1:34" x14ac:dyDescent="0.25">
      <c r="A11" s="86" t="str">
        <f>Plantilla!A9</f>
        <v>#7</v>
      </c>
      <c r="B11" s="299" t="str">
        <f>Plantilla!D9</f>
        <v>E. Romweber</v>
      </c>
      <c r="C11" s="86">
        <f>Plantilla!E9</f>
        <v>35</v>
      </c>
      <c r="D11" s="86">
        <f ca="1">Plantilla!F9</f>
        <v>104</v>
      </c>
      <c r="E11" s="49">
        <f>Plantilla!X9</f>
        <v>0</v>
      </c>
      <c r="F11" s="49">
        <f>Plantilla!Y9</f>
        <v>11.95</v>
      </c>
      <c r="G11" s="49">
        <f>Plantilla!Z9</f>
        <v>11.95</v>
      </c>
      <c r="H11" s="49">
        <f>Plantilla!AA9</f>
        <v>12.95</v>
      </c>
      <c r="I11" s="49">
        <f>Plantilla!AB9</f>
        <v>9.9499999999999993</v>
      </c>
      <c r="J11" s="49">
        <f>Plantilla!AC9</f>
        <v>5.95</v>
      </c>
      <c r="K11" s="49">
        <f>Plantilla!AD9</f>
        <v>17.529999999999998</v>
      </c>
      <c r="L11" s="260">
        <f>1/16</f>
        <v>6.25E-2</v>
      </c>
      <c r="M11" s="114">
        <f t="shared" si="0"/>
        <v>3.125E-2</v>
      </c>
      <c r="N11" s="114">
        <f t="shared" si="1"/>
        <v>7.8125E-3</v>
      </c>
      <c r="O11" s="48">
        <v>0</v>
      </c>
      <c r="P11" s="48">
        <f t="shared" si="2"/>
        <v>1.4749999999999999E-2</v>
      </c>
      <c r="Q11" s="48">
        <f t="shared" si="3"/>
        <v>2.2687499999999999E-2</v>
      </c>
      <c r="R11" s="48">
        <f t="shared" si="4"/>
        <v>1.03125E-2</v>
      </c>
      <c r="S11" s="48">
        <f t="shared" si="5"/>
        <v>1.0437500000000001E-2</v>
      </c>
      <c r="T11" s="48">
        <f t="shared" si="6"/>
        <v>6.25E-2</v>
      </c>
      <c r="U11" s="48">
        <f t="shared" si="7"/>
        <v>5.50625E-2</v>
      </c>
      <c r="V11" s="48">
        <f t="shared" si="8"/>
        <v>2.8437500000000001E-2</v>
      </c>
      <c r="W11" s="48">
        <f t="shared" si="9"/>
        <v>2.5375000000000002E-2</v>
      </c>
      <c r="X11" s="48">
        <f t="shared" si="10"/>
        <v>1.5625E-2</v>
      </c>
      <c r="Y11" s="141">
        <f>V11</f>
        <v>2.8437500000000001E-2</v>
      </c>
      <c r="Z11" s="141">
        <f>V11</f>
        <v>2.8437500000000001E-2</v>
      </c>
      <c r="AA11" s="141">
        <f t="shared" si="11"/>
        <v>2.8437500000000001E-2</v>
      </c>
      <c r="AD11" t="s">
        <v>354</v>
      </c>
      <c r="AE11" t="s">
        <v>107</v>
      </c>
      <c r="AG11" t="s">
        <v>354</v>
      </c>
      <c r="AH11" t="s">
        <v>107</v>
      </c>
    </row>
    <row r="12" spans="1:34" x14ac:dyDescent="0.25">
      <c r="A12" s="86" t="e">
        <f>Plantilla!#REF!</f>
        <v>#REF!</v>
      </c>
      <c r="B12" s="62" t="e">
        <f>Plantilla!#REF!</f>
        <v>#REF!</v>
      </c>
      <c r="C12" s="86" t="e">
        <f>Plantilla!#REF!</f>
        <v>#REF!</v>
      </c>
      <c r="D12" s="86" t="e">
        <f>Plantilla!#REF!</f>
        <v>#REF!</v>
      </c>
      <c r="E12" s="49" t="e">
        <f>Plantilla!#REF!</f>
        <v>#REF!</v>
      </c>
      <c r="F12" s="49" t="e">
        <f>Plantilla!#REF!</f>
        <v>#REF!</v>
      </c>
      <c r="G12" s="49" t="e">
        <f>Plantilla!#REF!</f>
        <v>#REF!</v>
      </c>
      <c r="H12" s="49" t="e">
        <f>Plantilla!#REF!</f>
        <v>#REF!</v>
      </c>
      <c r="I12" s="49" t="e">
        <f>Plantilla!#REF!</f>
        <v>#REF!</v>
      </c>
      <c r="J12" s="49" t="e">
        <f>Plantilla!#REF!</f>
        <v>#REF!</v>
      </c>
      <c r="K12" s="49" t="e">
        <f>Plantilla!#REF!</f>
        <v>#REF!</v>
      </c>
      <c r="L12" s="260">
        <f>1/7</f>
        <v>0.14285714285714285</v>
      </c>
      <c r="M12" s="114">
        <f t="shared" si="0"/>
        <v>7.1428571428571425E-2</v>
      </c>
      <c r="N12" s="114">
        <f t="shared" si="1"/>
        <v>1.7857142857142856E-2</v>
      </c>
      <c r="O12" s="48">
        <v>0</v>
      </c>
      <c r="P12" s="48">
        <f t="shared" si="2"/>
        <v>3.3714285714285711E-2</v>
      </c>
      <c r="Q12" s="48">
        <f t="shared" si="3"/>
        <v>5.1857142857142852E-2</v>
      </c>
      <c r="R12" s="48">
        <f t="shared" si="4"/>
        <v>2.357142857142857E-2</v>
      </c>
      <c r="S12" s="48">
        <f t="shared" si="5"/>
        <v>2.3857142857142858E-2</v>
      </c>
      <c r="T12" s="48">
        <f t="shared" si="6"/>
        <v>0.14285714285714285</v>
      </c>
      <c r="U12" s="48">
        <f t="shared" si="7"/>
        <v>0.12585714285714286</v>
      </c>
      <c r="V12" s="48">
        <f t="shared" si="8"/>
        <v>6.5000000000000002E-2</v>
      </c>
      <c r="W12" s="48">
        <f t="shared" si="9"/>
        <v>5.8000000000000003E-2</v>
      </c>
      <c r="X12" s="48">
        <f t="shared" si="10"/>
        <v>3.5714285714285712E-2</v>
      </c>
      <c r="Y12" s="141"/>
      <c r="Z12" s="141">
        <f>R12</f>
        <v>2.357142857142857E-2</v>
      </c>
      <c r="AA12" s="141">
        <f t="shared" si="11"/>
        <v>2.357142857142857E-2</v>
      </c>
      <c r="AD12" t="s">
        <v>64</v>
      </c>
      <c r="AE12" t="s">
        <v>102</v>
      </c>
      <c r="AG12" t="s">
        <v>354</v>
      </c>
      <c r="AH12" t="s">
        <v>225</v>
      </c>
    </row>
    <row r="13" spans="1:34" x14ac:dyDescent="0.25">
      <c r="A13" s="86" t="str">
        <f>Plantilla!A7</f>
        <v>#24</v>
      </c>
      <c r="B13" s="62" t="str">
        <f>Plantilla!D7</f>
        <v>B. Bartolache</v>
      </c>
      <c r="C13" s="86">
        <f>Plantilla!E7</f>
        <v>36</v>
      </c>
      <c r="D13" s="86">
        <f ca="1">Plantilla!F7</f>
        <v>15</v>
      </c>
      <c r="E13" s="49">
        <f>Plantilla!X7</f>
        <v>0</v>
      </c>
      <c r="F13" s="49">
        <f>Plantilla!Y7</f>
        <v>11.95</v>
      </c>
      <c r="G13" s="49">
        <f>Plantilla!Z7</f>
        <v>5.95</v>
      </c>
      <c r="H13" s="49">
        <f>Plantilla!AA7</f>
        <v>6.95</v>
      </c>
      <c r="I13" s="49">
        <f>Plantilla!AB7</f>
        <v>7.95</v>
      </c>
      <c r="J13" s="49">
        <f>Plantilla!AC7</f>
        <v>1.95</v>
      </c>
      <c r="K13" s="49">
        <f>Plantilla!AD7</f>
        <v>16</v>
      </c>
      <c r="L13" s="260">
        <f>1/8</f>
        <v>0.125</v>
      </c>
      <c r="M13" s="114">
        <f t="shared" si="0"/>
        <v>6.25E-2</v>
      </c>
      <c r="N13" s="114">
        <f t="shared" si="1"/>
        <v>1.5625E-2</v>
      </c>
      <c r="O13" s="48">
        <v>0</v>
      </c>
      <c r="P13" s="48">
        <f t="shared" si="2"/>
        <v>2.9499999999999998E-2</v>
      </c>
      <c r="Q13" s="48">
        <f t="shared" si="3"/>
        <v>4.5374999999999999E-2</v>
      </c>
      <c r="R13" s="48">
        <f t="shared" si="4"/>
        <v>2.0625000000000001E-2</v>
      </c>
      <c r="S13" s="48">
        <f t="shared" si="5"/>
        <v>2.0875000000000001E-2</v>
      </c>
      <c r="T13" s="48">
        <f t="shared" si="6"/>
        <v>0.125</v>
      </c>
      <c r="U13" s="48">
        <f t="shared" si="7"/>
        <v>0.110125</v>
      </c>
      <c r="V13" s="48">
        <f t="shared" si="8"/>
        <v>5.6875000000000002E-2</v>
      </c>
      <c r="W13" s="48">
        <f t="shared" si="9"/>
        <v>5.0750000000000003E-2</v>
      </c>
      <c r="X13" s="48">
        <f t="shared" si="10"/>
        <v>3.125E-2</v>
      </c>
      <c r="Y13" s="141"/>
      <c r="Z13" s="141">
        <f>S13</f>
        <v>2.0875000000000001E-2</v>
      </c>
      <c r="AA13" s="141">
        <f t="shared" si="11"/>
        <v>2.0875000000000001E-2</v>
      </c>
      <c r="AD13" t="s">
        <v>64</v>
      </c>
      <c r="AE13" t="s">
        <v>225</v>
      </c>
      <c r="AG13" t="s">
        <v>64</v>
      </c>
      <c r="AH13" t="s">
        <v>102</v>
      </c>
    </row>
    <row r="14" spans="1:34" x14ac:dyDescent="0.25">
      <c r="A14" s="86" t="str">
        <f>Plantilla!A6</f>
        <v>#2</v>
      </c>
      <c r="B14" s="299" t="str">
        <f>Plantilla!D6</f>
        <v>E. Toney</v>
      </c>
      <c r="C14" s="86">
        <f>Plantilla!E6</f>
        <v>36</v>
      </c>
      <c r="D14" s="86">
        <f ca="1">Plantilla!F6</f>
        <v>30</v>
      </c>
      <c r="E14" s="49">
        <f>Plantilla!X6</f>
        <v>0</v>
      </c>
      <c r="F14" s="49">
        <f>Plantilla!Y6</f>
        <v>11.95</v>
      </c>
      <c r="G14" s="49">
        <f>Plantilla!Z6</f>
        <v>12.95</v>
      </c>
      <c r="H14" s="49">
        <f>Plantilla!AA6</f>
        <v>8.9499999999999993</v>
      </c>
      <c r="I14" s="49">
        <f>Plantilla!AB6</f>
        <v>8.9499999999999993</v>
      </c>
      <c r="J14" s="49">
        <f>Plantilla!AC6</f>
        <v>0.95</v>
      </c>
      <c r="K14" s="49">
        <f>Plantilla!AD6</f>
        <v>17.177777777777774</v>
      </c>
      <c r="L14" s="260">
        <f>1/19</f>
        <v>5.2631578947368418E-2</v>
      </c>
      <c r="M14" s="114">
        <f t="shared" si="0"/>
        <v>2.6315789473684209E-2</v>
      </c>
      <c r="N14" s="114">
        <f t="shared" si="1"/>
        <v>6.5789473684210523E-3</v>
      </c>
      <c r="O14" s="48">
        <v>0</v>
      </c>
      <c r="P14" s="48">
        <f t="shared" si="2"/>
        <v>1.2421052631578946E-2</v>
      </c>
      <c r="Q14" s="48">
        <f t="shared" si="3"/>
        <v>1.9105263157894736E-2</v>
      </c>
      <c r="R14" s="48">
        <f t="shared" si="4"/>
        <v>8.6842105263157891E-3</v>
      </c>
      <c r="S14" s="48">
        <f t="shared" si="5"/>
        <v>8.7894736842105258E-3</v>
      </c>
      <c r="T14" s="48">
        <f t="shared" si="6"/>
        <v>5.2631578947368418E-2</v>
      </c>
      <c r="U14" s="48">
        <f t="shared" si="7"/>
        <v>4.636842105263158E-2</v>
      </c>
      <c r="V14" s="48">
        <f t="shared" si="8"/>
        <v>2.394736842105263E-2</v>
      </c>
      <c r="W14" s="48">
        <f t="shared" si="9"/>
        <v>2.1368421052631578E-2</v>
      </c>
      <c r="X14" s="48">
        <f t="shared" si="10"/>
        <v>1.3157894736842105E-2</v>
      </c>
      <c r="Y14" s="141">
        <f>P14</f>
        <v>1.2421052631578946E-2</v>
      </c>
      <c r="Z14" s="141">
        <f>Q14</f>
        <v>1.9105263157894736E-2</v>
      </c>
      <c r="AA14" s="141">
        <f t="shared" si="11"/>
        <v>1.9105263157894736E-2</v>
      </c>
    </row>
    <row r="15" spans="1:34" x14ac:dyDescent="0.25">
      <c r="A15" s="86" t="e">
        <f>Plantilla!#REF!</f>
        <v>#REF!</v>
      </c>
      <c r="B15" s="299" t="e">
        <f>Plantilla!#REF!</f>
        <v>#REF!</v>
      </c>
      <c r="C15" s="86" t="e">
        <f>Plantilla!#REF!</f>
        <v>#REF!</v>
      </c>
      <c r="D15" s="86" t="e">
        <f>Plantilla!#REF!</f>
        <v>#REF!</v>
      </c>
      <c r="E15" s="49" t="e">
        <f>Plantilla!#REF!</f>
        <v>#REF!</v>
      </c>
      <c r="F15" s="49" t="e">
        <f>Plantilla!#REF!</f>
        <v>#REF!</v>
      </c>
      <c r="G15" s="49" t="e">
        <f>Plantilla!#REF!</f>
        <v>#REF!</v>
      </c>
      <c r="H15" s="49" t="e">
        <f>Plantilla!#REF!</f>
        <v>#REF!</v>
      </c>
      <c r="I15" s="49" t="e">
        <f>Plantilla!#REF!</f>
        <v>#REF!</v>
      </c>
      <c r="J15" s="49" t="e">
        <f>Plantilla!#REF!</f>
        <v>#REF!</v>
      </c>
      <c r="K15" s="49" t="e">
        <f>Plantilla!#REF!</f>
        <v>#REF!</v>
      </c>
      <c r="L15" s="260">
        <f>1/23</f>
        <v>4.3478260869565216E-2</v>
      </c>
      <c r="M15" s="114">
        <f t="shared" si="0"/>
        <v>2.1739130434782608E-2</v>
      </c>
      <c r="N15" s="114">
        <f t="shared" si="1"/>
        <v>5.434782608695652E-3</v>
      </c>
      <c r="O15" s="48">
        <v>0</v>
      </c>
      <c r="P15" s="48">
        <f t="shared" si="2"/>
        <v>1.0260869565217391E-2</v>
      </c>
      <c r="Q15" s="48">
        <f t="shared" si="3"/>
        <v>1.5782608695652171E-2</v>
      </c>
      <c r="R15" s="48">
        <f t="shared" si="4"/>
        <v>7.1739130434782614E-3</v>
      </c>
      <c r="S15" s="48">
        <f t="shared" si="5"/>
        <v>7.2608695652173916E-3</v>
      </c>
      <c r="T15" s="48">
        <f t="shared" si="6"/>
        <v>4.3478260869565216E-2</v>
      </c>
      <c r="U15" s="48">
        <f t="shared" si="7"/>
        <v>3.8304347826086958E-2</v>
      </c>
      <c r="V15" s="48">
        <f t="shared" si="8"/>
        <v>1.9782608695652175E-2</v>
      </c>
      <c r="W15" s="48">
        <f t="shared" si="9"/>
        <v>1.7652173913043478E-2</v>
      </c>
      <c r="X15" s="48">
        <f t="shared" si="10"/>
        <v>1.0869565217391304E-2</v>
      </c>
      <c r="Y15" s="141">
        <f>W15</f>
        <v>1.7652173913043478E-2</v>
      </c>
      <c r="Z15" s="141">
        <f>W15</f>
        <v>1.7652173913043478E-2</v>
      </c>
      <c r="AA15" s="141">
        <f t="shared" si="11"/>
        <v>1.7652173913043478E-2</v>
      </c>
    </row>
    <row r="16" spans="1:34" x14ac:dyDescent="0.25">
      <c r="A16" s="86" t="str">
        <f>Plantilla!A11</f>
        <v>#12</v>
      </c>
      <c r="B16" s="62" t="str">
        <f>Plantilla!D11</f>
        <v>E. Gross</v>
      </c>
      <c r="C16" s="86">
        <f>Plantilla!E11</f>
        <v>35</v>
      </c>
      <c r="D16" s="86">
        <f ca="1">Plantilla!F11</f>
        <v>91</v>
      </c>
      <c r="E16" s="49">
        <f>Plantilla!X11</f>
        <v>0</v>
      </c>
      <c r="F16" s="49">
        <f>Plantilla!Y11</f>
        <v>10.549999999999995</v>
      </c>
      <c r="G16" s="49">
        <f>Plantilla!Z11</f>
        <v>12.95</v>
      </c>
      <c r="H16" s="49">
        <f>Plantilla!AA11</f>
        <v>3.95</v>
      </c>
      <c r="I16" s="49">
        <f>Plantilla!AB11</f>
        <v>8.9499999999999993</v>
      </c>
      <c r="J16" s="49">
        <f>Plantilla!AC11</f>
        <v>0.95</v>
      </c>
      <c r="K16" s="49">
        <f>Plantilla!AD11</f>
        <v>17.3</v>
      </c>
      <c r="L16" s="260">
        <f>1/14</f>
        <v>7.1428571428571425E-2</v>
      </c>
      <c r="M16" s="114">
        <f t="shared" si="0"/>
        <v>3.5714285714285712E-2</v>
      </c>
      <c r="N16" s="114">
        <f t="shared" si="1"/>
        <v>8.9285714285714281E-3</v>
      </c>
      <c r="O16" s="48">
        <v>0</v>
      </c>
      <c r="P16" s="48">
        <f t="shared" si="2"/>
        <v>1.6857142857142855E-2</v>
      </c>
      <c r="Q16" s="48">
        <f t="shared" si="3"/>
        <v>2.5928571428571426E-2</v>
      </c>
      <c r="R16" s="48">
        <f t="shared" si="4"/>
        <v>1.1785714285714285E-2</v>
      </c>
      <c r="S16" s="48">
        <f t="shared" si="5"/>
        <v>1.1928571428571429E-2</v>
      </c>
      <c r="T16" s="48">
        <f t="shared" si="6"/>
        <v>7.1428571428571425E-2</v>
      </c>
      <c r="U16" s="48">
        <f t="shared" si="7"/>
        <v>6.2928571428571431E-2</v>
      </c>
      <c r="V16" s="48">
        <f t="shared" si="8"/>
        <v>3.2500000000000001E-2</v>
      </c>
      <c r="W16" s="48">
        <f t="shared" si="9"/>
        <v>2.9000000000000001E-2</v>
      </c>
      <c r="X16" s="48">
        <f t="shared" si="10"/>
        <v>1.7857142857142856E-2</v>
      </c>
      <c r="Y16" s="141">
        <f>P16</f>
        <v>1.6857142857142855E-2</v>
      </c>
      <c r="Z16" s="141">
        <f>P16</f>
        <v>1.6857142857142855E-2</v>
      </c>
      <c r="AA16" s="141">
        <f t="shared" si="11"/>
        <v>1.6857142857142855E-2</v>
      </c>
    </row>
    <row r="17" spans="1:27" x14ac:dyDescent="0.25">
      <c r="A17" s="86" t="e">
        <f>Plantilla!#REF!</f>
        <v>#REF!</v>
      </c>
      <c r="B17" s="62" t="e">
        <f>Plantilla!#REF!</f>
        <v>#REF!</v>
      </c>
      <c r="C17" s="86" t="e">
        <f>Plantilla!#REF!</f>
        <v>#REF!</v>
      </c>
      <c r="D17" s="86" t="e">
        <f>Plantilla!#REF!</f>
        <v>#REF!</v>
      </c>
      <c r="E17" s="49" t="e">
        <f>Plantilla!#REF!</f>
        <v>#REF!</v>
      </c>
      <c r="F17" s="49" t="e">
        <f>Plantilla!#REF!</f>
        <v>#REF!</v>
      </c>
      <c r="G17" s="49" t="e">
        <f>Plantilla!#REF!</f>
        <v>#REF!</v>
      </c>
      <c r="H17" s="49" t="e">
        <f>Plantilla!#REF!</f>
        <v>#REF!</v>
      </c>
      <c r="I17" s="49" t="e">
        <f>Plantilla!#REF!</f>
        <v>#REF!</v>
      </c>
      <c r="J17" s="49" t="e">
        <f>Plantilla!#REF!</f>
        <v>#REF!</v>
      </c>
      <c r="K17" s="49" t="e">
        <f>Plantilla!#REF!</f>
        <v>#REF!</v>
      </c>
      <c r="L17" s="260">
        <f>1/11</f>
        <v>9.0909090909090912E-2</v>
      </c>
      <c r="M17" s="114">
        <f t="shared" si="0"/>
        <v>4.5454545454545456E-2</v>
      </c>
      <c r="N17" s="114">
        <f t="shared" si="1"/>
        <v>1.1363636363636364E-2</v>
      </c>
      <c r="O17" s="48">
        <v>0</v>
      </c>
      <c r="P17" s="48">
        <f t="shared" si="2"/>
        <v>2.1454545454545455E-2</v>
      </c>
      <c r="Q17" s="48">
        <f t="shared" si="3"/>
        <v>3.3000000000000002E-2</v>
      </c>
      <c r="R17" s="48">
        <f t="shared" si="4"/>
        <v>1.5000000000000001E-2</v>
      </c>
      <c r="S17" s="48">
        <f t="shared" si="5"/>
        <v>1.5181818181818183E-2</v>
      </c>
      <c r="T17" s="48">
        <f t="shared" si="6"/>
        <v>9.0909090909090912E-2</v>
      </c>
      <c r="U17" s="48">
        <f t="shared" si="7"/>
        <v>8.0090909090909088E-2</v>
      </c>
      <c r="V17" s="48">
        <f t="shared" si="8"/>
        <v>4.1363636363636366E-2</v>
      </c>
      <c r="W17" s="48">
        <f t="shared" si="9"/>
        <v>3.6909090909090912E-2</v>
      </c>
      <c r="X17" s="48">
        <f t="shared" si="10"/>
        <v>2.2727272727272728E-2</v>
      </c>
      <c r="Y17" s="141">
        <f>S17</f>
        <v>1.5181818181818183E-2</v>
      </c>
      <c r="Z17" s="141">
        <f>S17</f>
        <v>1.5181818181818183E-2</v>
      </c>
      <c r="AA17" s="141">
        <f t="shared" si="11"/>
        <v>1.5181818181818183E-2</v>
      </c>
    </row>
    <row r="18" spans="1:27" x14ac:dyDescent="0.25">
      <c r="A18" s="86" t="str">
        <f>Plantilla!A27</f>
        <v>#15</v>
      </c>
      <c r="B18" s="86" t="str">
        <f>Plantilla!D27</f>
        <v>P .Trivadi</v>
      </c>
      <c r="C18" s="86">
        <f>Plantilla!E27</f>
        <v>32</v>
      </c>
      <c r="D18" s="86">
        <f ca="1">Plantilla!F27</f>
        <v>22</v>
      </c>
      <c r="E18" s="49">
        <f>Plantilla!X27</f>
        <v>0</v>
      </c>
      <c r="F18" s="49">
        <f>Plantilla!Y27</f>
        <v>4.0199999999999996</v>
      </c>
      <c r="G18" s="49">
        <f>Plantilla!Z27</f>
        <v>6</v>
      </c>
      <c r="H18" s="49">
        <f>Plantilla!AA27</f>
        <v>5.5099999999999989</v>
      </c>
      <c r="I18" s="49">
        <f>Plantilla!AB27</f>
        <v>10.95</v>
      </c>
      <c r="J18" s="49">
        <f>Plantilla!AC27</f>
        <v>7.95</v>
      </c>
      <c r="K18" s="49">
        <f>Plantilla!AD27</f>
        <v>14</v>
      </c>
      <c r="L18" s="260">
        <f>1/6</f>
        <v>0.16666666666666666</v>
      </c>
      <c r="M18" s="114">
        <f t="shared" si="0"/>
        <v>8.3333333333333329E-2</v>
      </c>
      <c r="N18" s="114">
        <f t="shared" si="1"/>
        <v>2.0833333333333332E-2</v>
      </c>
      <c r="O18" s="48">
        <v>0</v>
      </c>
      <c r="P18" s="48">
        <f t="shared" si="2"/>
        <v>3.9333333333333331E-2</v>
      </c>
      <c r="Q18" s="48">
        <f t="shared" si="3"/>
        <v>6.0499999999999998E-2</v>
      </c>
      <c r="R18" s="48">
        <f t="shared" si="4"/>
        <v>2.75E-2</v>
      </c>
      <c r="S18" s="48">
        <f t="shared" si="5"/>
        <v>2.7833333333333335E-2</v>
      </c>
      <c r="T18" s="48">
        <f t="shared" si="6"/>
        <v>0.16666666666666666</v>
      </c>
      <c r="U18" s="48">
        <f t="shared" si="7"/>
        <v>0.14683333333333332</v>
      </c>
      <c r="V18" s="48">
        <f t="shared" si="8"/>
        <v>7.5833333333333336E-2</v>
      </c>
      <c r="W18" s="48">
        <f t="shared" si="9"/>
        <v>6.7666666666666667E-2</v>
      </c>
      <c r="X18" s="48">
        <f t="shared" si="10"/>
        <v>4.1666666666666664E-2</v>
      </c>
      <c r="Y18" s="141">
        <v>0</v>
      </c>
      <c r="Z18" s="141">
        <v>0</v>
      </c>
      <c r="AA18" s="141">
        <f t="shared" si="11"/>
        <v>0</v>
      </c>
    </row>
    <row r="19" spans="1:27" x14ac:dyDescent="0.25">
      <c r="A19" s="86" t="str">
        <f>Plantilla!A4</f>
        <v>#1</v>
      </c>
      <c r="B19" s="86" t="str">
        <f>Plantilla!D4</f>
        <v>D. Gehmacher</v>
      </c>
      <c r="C19" s="86">
        <f>Plantilla!E4</f>
        <v>35</v>
      </c>
      <c r="D19" s="86">
        <f ca="1">Plantilla!F4</f>
        <v>19</v>
      </c>
      <c r="E19" s="49">
        <f>Plantilla!X4</f>
        <v>16.666666666666668</v>
      </c>
      <c r="F19" s="49">
        <f>Plantilla!Y4</f>
        <v>11.95</v>
      </c>
      <c r="G19" s="49">
        <f>Plantilla!Z4</f>
        <v>2.0699999999999985</v>
      </c>
      <c r="H19" s="49">
        <f>Plantilla!AA4</f>
        <v>2.149999999999999</v>
      </c>
      <c r="I19" s="49">
        <f>Plantilla!AB4</f>
        <v>0.95</v>
      </c>
      <c r="J19" s="49">
        <f>Plantilla!AC4</f>
        <v>0</v>
      </c>
      <c r="K19" s="49">
        <f>Plantilla!AD4</f>
        <v>18.2</v>
      </c>
      <c r="L19" s="260">
        <v>0</v>
      </c>
      <c r="M19" s="114">
        <f t="shared" si="0"/>
        <v>0</v>
      </c>
      <c r="N19" s="114">
        <f t="shared" si="1"/>
        <v>0</v>
      </c>
      <c r="O19" s="48">
        <v>0</v>
      </c>
      <c r="P19" s="48">
        <f t="shared" si="2"/>
        <v>0</v>
      </c>
      <c r="Q19" s="48">
        <f t="shared" si="3"/>
        <v>0</v>
      </c>
      <c r="R19" s="48">
        <f t="shared" si="4"/>
        <v>0</v>
      </c>
      <c r="S19" s="48">
        <f t="shared" si="5"/>
        <v>0</v>
      </c>
      <c r="T19" s="48">
        <f t="shared" si="6"/>
        <v>0</v>
      </c>
      <c r="U19" s="48">
        <f t="shared" si="7"/>
        <v>0</v>
      </c>
      <c r="V19" s="48">
        <f t="shared" si="8"/>
        <v>0</v>
      </c>
      <c r="W19" s="48">
        <f t="shared" si="9"/>
        <v>0</v>
      </c>
      <c r="X19" s="48">
        <f t="shared" si="10"/>
        <v>0</v>
      </c>
      <c r="Y19" s="141">
        <f>O19</f>
        <v>0</v>
      </c>
      <c r="Z19" s="141">
        <f>O19</f>
        <v>0</v>
      </c>
      <c r="AA19" s="141">
        <f t="shared" si="11"/>
        <v>0</v>
      </c>
    </row>
    <row r="20" spans="1:27" x14ac:dyDescent="0.25">
      <c r="A20" s="86" t="str">
        <f>Plantilla!A5</f>
        <v>#25</v>
      </c>
      <c r="B20" s="86" t="str">
        <f>Plantilla!D5</f>
        <v>T. Hammond</v>
      </c>
      <c r="C20" s="86">
        <f>Plantilla!E5</f>
        <v>39</v>
      </c>
      <c r="D20" s="86">
        <f ca="1">Plantilla!F5</f>
        <v>28</v>
      </c>
      <c r="E20" s="49">
        <f>Plantilla!X5</f>
        <v>7.95</v>
      </c>
      <c r="F20" s="49">
        <f>Plantilla!Y5</f>
        <v>6.95</v>
      </c>
      <c r="G20" s="49">
        <f>Plantilla!Z5</f>
        <v>0.95</v>
      </c>
      <c r="H20" s="49">
        <f>Plantilla!AA5</f>
        <v>0.95</v>
      </c>
      <c r="I20" s="49">
        <f>Plantilla!AB5</f>
        <v>1.95</v>
      </c>
      <c r="J20" s="49">
        <f>Plantilla!AC5</f>
        <v>0</v>
      </c>
      <c r="K20" s="49">
        <f>Plantilla!AD5</f>
        <v>14.95</v>
      </c>
      <c r="L20" s="260"/>
      <c r="M20" s="114">
        <f t="shared" si="0"/>
        <v>0</v>
      </c>
      <c r="N20" s="114">
        <f t="shared" si="1"/>
        <v>0</v>
      </c>
      <c r="O20" s="48">
        <v>0</v>
      </c>
      <c r="P20" s="48">
        <f t="shared" si="2"/>
        <v>0</v>
      </c>
      <c r="Q20" s="48">
        <f t="shared" si="3"/>
        <v>0</v>
      </c>
      <c r="R20" s="48">
        <f t="shared" si="4"/>
        <v>0</v>
      </c>
      <c r="S20" s="48">
        <f t="shared" si="5"/>
        <v>0</v>
      </c>
      <c r="T20" s="48">
        <f t="shared" si="6"/>
        <v>0</v>
      </c>
      <c r="U20" s="48">
        <f t="shared" si="7"/>
        <v>0</v>
      </c>
      <c r="V20" s="48">
        <f t="shared" si="8"/>
        <v>0</v>
      </c>
      <c r="W20" s="48">
        <f t="shared" si="9"/>
        <v>0</v>
      </c>
      <c r="X20" s="48">
        <f t="shared" si="10"/>
        <v>0</v>
      </c>
      <c r="Y20" s="141"/>
      <c r="Z20" s="141"/>
      <c r="AA20" s="141">
        <f t="shared" si="11"/>
        <v>0</v>
      </c>
    </row>
    <row r="21" spans="1:27" x14ac:dyDescent="0.25">
      <c r="A21" s="86" t="str">
        <f>Plantilla!A8</f>
        <v>#13</v>
      </c>
      <c r="B21" s="86" t="str">
        <f>Plantilla!D8</f>
        <v>F. Lasprilla</v>
      </c>
      <c r="C21" s="86">
        <f>Plantilla!E8</f>
        <v>32</v>
      </c>
      <c r="D21" s="86">
        <f ca="1">Plantilla!F8</f>
        <v>38</v>
      </c>
      <c r="E21" s="49">
        <f>Plantilla!X8</f>
        <v>0</v>
      </c>
      <c r="F21" s="49">
        <f>Plantilla!Y8</f>
        <v>9.6046666666666667</v>
      </c>
      <c r="G21" s="49">
        <f>Plantilla!Z8</f>
        <v>8</v>
      </c>
      <c r="H21" s="49">
        <f>Plantilla!AA8</f>
        <v>6.1599999999999984</v>
      </c>
      <c r="I21" s="49">
        <f>Plantilla!AB8</f>
        <v>8.8633333333333315</v>
      </c>
      <c r="J21" s="49">
        <f>Plantilla!AC8</f>
        <v>2.95</v>
      </c>
      <c r="K21" s="49">
        <f>Plantilla!AD8</f>
        <v>13.33611111111111</v>
      </c>
      <c r="L21" s="260"/>
      <c r="M21" s="114">
        <f t="shared" si="0"/>
        <v>0</v>
      </c>
      <c r="N21" s="114">
        <f t="shared" si="1"/>
        <v>0</v>
      </c>
      <c r="O21" s="48">
        <v>0</v>
      </c>
      <c r="P21" s="48">
        <f t="shared" si="2"/>
        <v>0</v>
      </c>
      <c r="Q21" s="48">
        <f t="shared" si="3"/>
        <v>0</v>
      </c>
      <c r="R21" s="48">
        <f t="shared" si="4"/>
        <v>0</v>
      </c>
      <c r="S21" s="48">
        <f t="shared" si="5"/>
        <v>0</v>
      </c>
      <c r="T21" s="48">
        <f t="shared" si="6"/>
        <v>0</v>
      </c>
      <c r="U21" s="48">
        <f t="shared" si="7"/>
        <v>0</v>
      </c>
      <c r="V21" s="48">
        <f t="shared" si="8"/>
        <v>0</v>
      </c>
      <c r="W21" s="48">
        <f t="shared" si="9"/>
        <v>0</v>
      </c>
      <c r="X21" s="48">
        <f t="shared" si="10"/>
        <v>0</v>
      </c>
      <c r="Y21" s="141"/>
      <c r="Z21" s="141"/>
      <c r="AA21" s="141">
        <f t="shared" si="11"/>
        <v>0</v>
      </c>
    </row>
    <row r="22" spans="1:27" x14ac:dyDescent="0.25">
      <c r="A22" s="86" t="str">
        <f>Plantilla!A12</f>
        <v>#23</v>
      </c>
      <c r="B22" s="86" t="str">
        <f>Plantilla!D12</f>
        <v>W. Gelifini</v>
      </c>
      <c r="C22" s="86">
        <f>Plantilla!E12</f>
        <v>34</v>
      </c>
      <c r="D22" s="86">
        <f ca="1">Plantilla!F12</f>
        <v>16</v>
      </c>
      <c r="E22" s="49">
        <f>Plantilla!X12</f>
        <v>0</v>
      </c>
      <c r="F22" s="49">
        <f>Plantilla!Y12</f>
        <v>5.6515555555555519</v>
      </c>
      <c r="G22" s="49">
        <f>Plantilla!Z12</f>
        <v>9</v>
      </c>
      <c r="H22" s="49">
        <f>Plantilla!AA12</f>
        <v>6.95</v>
      </c>
      <c r="I22" s="49">
        <f>Plantilla!AB12</f>
        <v>8.9499999999999993</v>
      </c>
      <c r="J22" s="49">
        <f>Plantilla!AC12</f>
        <v>2.95</v>
      </c>
      <c r="K22" s="49">
        <f>Plantilla!AD12</f>
        <v>12.847222222222223</v>
      </c>
      <c r="L22" s="260"/>
      <c r="M22" s="114">
        <f t="shared" si="0"/>
        <v>0</v>
      </c>
      <c r="N22" s="114">
        <f t="shared" si="1"/>
        <v>0</v>
      </c>
      <c r="O22" s="48">
        <v>0</v>
      </c>
      <c r="P22" s="48">
        <f t="shared" si="2"/>
        <v>0</v>
      </c>
      <c r="Q22" s="48">
        <f t="shared" si="3"/>
        <v>0</v>
      </c>
      <c r="R22" s="48">
        <f t="shared" si="4"/>
        <v>0</v>
      </c>
      <c r="S22" s="48">
        <f t="shared" si="5"/>
        <v>0</v>
      </c>
      <c r="T22" s="48">
        <f t="shared" si="6"/>
        <v>0</v>
      </c>
      <c r="U22" s="48">
        <f t="shared" si="7"/>
        <v>0</v>
      </c>
      <c r="V22" s="48">
        <f t="shared" si="8"/>
        <v>0</v>
      </c>
      <c r="W22" s="48">
        <f t="shared" si="9"/>
        <v>0</v>
      </c>
      <c r="X22" s="48">
        <f t="shared" si="10"/>
        <v>0</v>
      </c>
      <c r="Y22" s="141"/>
      <c r="Z22" s="141"/>
      <c r="AA22" s="141">
        <f t="shared" si="11"/>
        <v>0</v>
      </c>
    </row>
    <row r="23" spans="1:27" x14ac:dyDescent="0.25">
      <c r="A23" s="86" t="e">
        <f>Plantilla!#REF!</f>
        <v>#REF!</v>
      </c>
      <c r="B23" s="86" t="e">
        <f>Plantilla!#REF!</f>
        <v>#REF!</v>
      </c>
      <c r="C23" s="86" t="e">
        <f>Plantilla!#REF!</f>
        <v>#REF!</v>
      </c>
      <c r="D23" s="86" t="e">
        <f>Plantilla!#REF!</f>
        <v>#REF!</v>
      </c>
      <c r="E23" s="49" t="e">
        <f>Plantilla!#REF!</f>
        <v>#REF!</v>
      </c>
      <c r="F23" s="49" t="e">
        <f>Plantilla!#REF!</f>
        <v>#REF!</v>
      </c>
      <c r="G23" s="49" t="e">
        <f>Plantilla!#REF!</f>
        <v>#REF!</v>
      </c>
      <c r="H23" s="49" t="e">
        <f>Plantilla!#REF!</f>
        <v>#REF!</v>
      </c>
      <c r="I23" s="49" t="e">
        <f>Plantilla!#REF!</f>
        <v>#REF!</v>
      </c>
      <c r="J23" s="49" t="e">
        <f>Plantilla!#REF!</f>
        <v>#REF!</v>
      </c>
      <c r="K23" s="49" t="e">
        <f>Plantilla!#REF!</f>
        <v>#REF!</v>
      </c>
      <c r="L23"/>
      <c r="M23" s="114">
        <f t="shared" si="0"/>
        <v>0</v>
      </c>
      <c r="N23" s="114">
        <f t="shared" si="1"/>
        <v>0</v>
      </c>
      <c r="O23" s="48">
        <v>0</v>
      </c>
      <c r="P23" s="48">
        <f t="shared" si="2"/>
        <v>0</v>
      </c>
      <c r="Q23" s="48">
        <f t="shared" si="3"/>
        <v>0</v>
      </c>
      <c r="R23" s="48">
        <f t="shared" si="4"/>
        <v>0</v>
      </c>
      <c r="S23" s="48">
        <f t="shared" si="5"/>
        <v>0</v>
      </c>
      <c r="T23" s="48">
        <f t="shared" si="6"/>
        <v>0</v>
      </c>
      <c r="U23" s="48">
        <f t="shared" si="7"/>
        <v>0</v>
      </c>
      <c r="V23" s="48">
        <f t="shared" si="8"/>
        <v>0</v>
      </c>
      <c r="W23" s="48">
        <f t="shared" si="9"/>
        <v>0</v>
      </c>
      <c r="X23" s="48">
        <f t="shared" si="10"/>
        <v>0</v>
      </c>
      <c r="Y23" s="141"/>
      <c r="Z23" s="141"/>
      <c r="AA23" s="141">
        <f t="shared" si="11"/>
        <v>0</v>
      </c>
    </row>
    <row r="26" spans="1:27" x14ac:dyDescent="0.25">
      <c r="B26" s="87"/>
    </row>
  </sheetData>
  <sortState ref="A4:AA23">
    <sortCondition descending="1" ref="AA4:AA23"/>
    <sortCondition descending="1" ref="Y4:Y23"/>
    <sortCondition descending="1" ref="Z4:Z23"/>
  </sortState>
  <conditionalFormatting sqref="E4:K23">
    <cfRule type="colorScale" priority="2958">
      <colorScale>
        <cfvo type="min"/>
        <cfvo type="max"/>
        <color rgb="FFFCFCFF"/>
        <color rgb="FFF8696B"/>
      </colorScale>
    </cfRule>
  </conditionalFormatting>
  <conditionalFormatting sqref="L4:X23">
    <cfRule type="colorScale" priority="2960">
      <colorScale>
        <cfvo type="min"/>
        <cfvo type="max"/>
        <color rgb="FFFFEF9C"/>
        <color rgb="FF63BE7B"/>
      </colorScale>
    </cfRule>
  </conditionalFormatting>
  <conditionalFormatting sqref="Y4:Y23">
    <cfRule type="dataBar" priority="2962">
      <dataBar>
        <cfvo type="min"/>
        <cfvo type="max"/>
        <color rgb="FF008AEF"/>
      </dataBar>
      <extLst>
        <ext xmlns:x14="http://schemas.microsoft.com/office/spreadsheetml/2009/9/main" uri="{B025F937-C7B1-47D3-B67F-A62EFF666E3E}">
          <x14:id>{AF3F29F3-5112-4F46-8047-24FA2A710116}</x14:id>
        </ext>
      </extLst>
    </cfRule>
  </conditionalFormatting>
  <conditionalFormatting sqref="Z4:AA23">
    <cfRule type="dataBar" priority="2964">
      <dataBar>
        <cfvo type="min"/>
        <cfvo type="max"/>
        <color rgb="FF008AEF"/>
      </dataBar>
      <extLst>
        <ext xmlns:x14="http://schemas.microsoft.com/office/spreadsheetml/2009/9/main" uri="{B025F937-C7B1-47D3-B67F-A62EFF666E3E}">
          <x14:id>{7373C42C-1B38-4BAF-933F-0F5F4BFDDA20}</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AF3F29F3-5112-4F46-8047-24FA2A710116}">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7373C42C-1B38-4BAF-933F-0F5F4BFDDA2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5" tint="0.39997558519241921"/>
  </sheetPr>
  <dimension ref="A1:AH26"/>
  <sheetViews>
    <sheetView workbookViewId="0">
      <selection activeCell="Y20" sqref="Y20"/>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262" bestFit="1" customWidth="1"/>
    <col min="13" max="13" width="6.5703125" style="262" customWidth="1"/>
    <col min="14" max="14" width="8.28515625" style="262" bestFit="1" customWidth="1"/>
    <col min="15" max="15" width="4.5703125" style="262"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9.7109375" customWidth="1"/>
    <col min="27" max="27" width="14.140625" customWidth="1"/>
    <col min="30" max="30" width="6" bestFit="1" customWidth="1"/>
    <col min="31" max="31" width="13.7109375" bestFit="1" customWidth="1"/>
    <col min="33" max="33" width="5.7109375" bestFit="1" customWidth="1"/>
    <col min="34" max="34" width="13.7109375" bestFit="1" customWidth="1"/>
  </cols>
  <sheetData>
    <row r="1" spans="1:34" x14ac:dyDescent="0.25">
      <c r="B1" t="s">
        <v>372</v>
      </c>
      <c r="AD1" t="s">
        <v>373</v>
      </c>
      <c r="AG1" t="s">
        <v>374</v>
      </c>
    </row>
    <row r="2" spans="1:34" x14ac:dyDescent="0.25">
      <c r="B2" s="87">
        <v>42585</v>
      </c>
      <c r="Y2" s="264">
        <f>SUM(Y4:Y22)</f>
        <v>0.24062111707736711</v>
      </c>
      <c r="Z2" s="264">
        <f>SUM(Z4:Z22)</f>
        <v>0.19504062465312466</v>
      </c>
      <c r="AA2" s="264"/>
      <c r="AD2" s="191" t="s">
        <v>100</v>
      </c>
      <c r="AE2" s="191" t="s">
        <v>71</v>
      </c>
      <c r="AG2" s="191" t="s">
        <v>100</v>
      </c>
      <c r="AH2" s="191" t="s">
        <v>71</v>
      </c>
    </row>
    <row r="3" spans="1:34" x14ac:dyDescent="0.25">
      <c r="A3" s="94" t="s">
        <v>391</v>
      </c>
      <c r="B3" s="94" t="str">
        <f>Plantilla!D3</f>
        <v>Jugador</v>
      </c>
      <c r="C3" s="94" t="str">
        <f>Plantilla!E3</f>
        <v>Anys</v>
      </c>
      <c r="D3" s="94" t="str">
        <f>Plantilla!F3</f>
        <v>Dias</v>
      </c>
      <c r="E3" s="94" t="str">
        <f>Plantilla!X3</f>
        <v>Po</v>
      </c>
      <c r="F3" s="94" t="str">
        <f>Plantilla!Y3</f>
        <v>De</v>
      </c>
      <c r="G3" s="94" t="str">
        <f>Plantilla!Z3</f>
        <v>Cr</v>
      </c>
      <c r="H3" s="94" t="str">
        <f>Plantilla!AA3</f>
        <v>Ex</v>
      </c>
      <c r="I3" s="94" t="str">
        <f>Plantilla!AB3</f>
        <v>Ps</v>
      </c>
      <c r="J3" s="94" t="str">
        <f>Plantilla!AC3</f>
        <v>An</v>
      </c>
      <c r="K3" s="94" t="str">
        <f>Plantilla!AD3</f>
        <v>PA</v>
      </c>
      <c r="L3" s="257">
        <v>1</v>
      </c>
      <c r="M3" s="257">
        <v>0.5</v>
      </c>
      <c r="N3" s="94" t="s">
        <v>377</v>
      </c>
      <c r="O3" s="259" t="s">
        <v>1</v>
      </c>
      <c r="P3" s="259" t="s">
        <v>352</v>
      </c>
      <c r="Q3" s="258" t="s">
        <v>370</v>
      </c>
      <c r="R3" s="258" t="s">
        <v>376</v>
      </c>
      <c r="S3" s="258" t="s">
        <v>371</v>
      </c>
      <c r="T3" s="258" t="s">
        <v>353</v>
      </c>
      <c r="U3" s="258" t="s">
        <v>221</v>
      </c>
      <c r="V3" s="258" t="s">
        <v>375</v>
      </c>
      <c r="W3" s="259" t="s">
        <v>277</v>
      </c>
      <c r="X3" s="259" t="s">
        <v>64</v>
      </c>
      <c r="Y3" s="261" t="s">
        <v>373</v>
      </c>
      <c r="Z3" s="261" t="s">
        <v>374</v>
      </c>
      <c r="AA3" s="261" t="s">
        <v>378</v>
      </c>
      <c r="AD3" t="s">
        <v>1</v>
      </c>
      <c r="AE3" t="s">
        <v>344</v>
      </c>
      <c r="AG3" t="s">
        <v>1</v>
      </c>
      <c r="AH3" t="s">
        <v>344</v>
      </c>
    </row>
    <row r="4" spans="1:34" x14ac:dyDescent="0.25">
      <c r="A4" s="86" t="str">
        <f>Plantilla!A26</f>
        <v>#9</v>
      </c>
      <c r="B4" s="298" t="str">
        <f>Plantilla!D26</f>
        <v>J. Limon</v>
      </c>
      <c r="C4" s="86">
        <f>Plantilla!E26</f>
        <v>34</v>
      </c>
      <c r="D4" s="86">
        <f ca="1">Plantilla!F26</f>
        <v>103</v>
      </c>
      <c r="E4" s="49">
        <f>Plantilla!X26</f>
        <v>0</v>
      </c>
      <c r="F4" s="49">
        <f>Plantilla!Y26</f>
        <v>6.8376190476190493</v>
      </c>
      <c r="G4" s="49">
        <f>Plantilla!Z26</f>
        <v>8.9499999999999993</v>
      </c>
      <c r="H4" s="49">
        <f>Plantilla!AA26</f>
        <v>8.7399999999999967</v>
      </c>
      <c r="I4" s="49">
        <f>Plantilla!AB26</f>
        <v>9.9499999999999993</v>
      </c>
      <c r="J4" s="49">
        <f>Plantilla!AC26</f>
        <v>6.95</v>
      </c>
      <c r="K4" s="49">
        <f>Plantilla!AD26</f>
        <v>18.999999999999993</v>
      </c>
      <c r="L4" s="114">
        <f>1/8</f>
        <v>0.125</v>
      </c>
      <c r="M4" s="114"/>
      <c r="N4" s="114">
        <f t="shared" ref="N4:N23" si="0">L4/6</f>
        <v>2.0833333333333332E-2</v>
      </c>
      <c r="O4" s="49">
        <v>0</v>
      </c>
      <c r="P4" s="48">
        <v>0</v>
      </c>
      <c r="Q4" s="48">
        <v>0</v>
      </c>
      <c r="R4" s="48">
        <v>0</v>
      </c>
      <c r="S4" s="48">
        <v>0</v>
      </c>
      <c r="T4" s="48">
        <f t="shared" ref="T4:T23" si="1">L4*(0.19*0.341+0.25*0.253+0.25*0.127)/(0.19+0.25)</f>
        <v>4.5394886363636359E-2</v>
      </c>
      <c r="U4" s="48">
        <f t="shared" ref="U4:U23" si="2">L4*(0.19*0.241+0.25*0.315)/(0.19+0.25)</f>
        <v>3.5380681818181818E-2</v>
      </c>
      <c r="V4" s="48">
        <f t="shared" ref="V4:V23" si="3">L4*(0.19*0.121+0.25*0.244)/(0.19+0.25)</f>
        <v>2.3860795454545454E-2</v>
      </c>
      <c r="W4" s="48">
        <f t="shared" ref="W4:W15" si="4">L4*(0.19*0.543+0.25*0.25)/(0.19+0.25)</f>
        <v>4.7065340909090911E-2</v>
      </c>
      <c r="X4" s="48">
        <f t="shared" ref="X4:X23" si="5">L4*(0.19*0.369+0.25*0.142)/(0.19+0.25)</f>
        <v>3.0002840909090913E-2</v>
      </c>
      <c r="Y4" s="141">
        <f>W4</f>
        <v>4.7065340909090911E-2</v>
      </c>
      <c r="Z4" s="141"/>
      <c r="AA4" s="141">
        <f t="shared" ref="AA4:AA23" si="6">MAX(Z4,Y4)</f>
        <v>4.7065340909090911E-2</v>
      </c>
      <c r="AD4" t="s">
        <v>351</v>
      </c>
      <c r="AE4" s="273" t="s">
        <v>381</v>
      </c>
      <c r="AG4" t="s">
        <v>351</v>
      </c>
      <c r="AH4" s="273" t="str">
        <f>AE4</f>
        <v>B. Pinczehelyi</v>
      </c>
    </row>
    <row r="5" spans="1:34" x14ac:dyDescent="0.25">
      <c r="A5" s="86" t="str">
        <f>Plantilla!A25</f>
        <v>#5</v>
      </c>
      <c r="B5" s="298" t="str">
        <f>Plantilla!D25</f>
        <v>L. Bauman</v>
      </c>
      <c r="C5" s="86">
        <f>Plantilla!E25</f>
        <v>35</v>
      </c>
      <c r="D5" s="86">
        <f ca="1">Plantilla!F25</f>
        <v>66</v>
      </c>
      <c r="E5" s="49">
        <f>Plantilla!X25</f>
        <v>0</v>
      </c>
      <c r="F5" s="49">
        <f>Plantilla!Y25</f>
        <v>5.95</v>
      </c>
      <c r="G5" s="49">
        <f>Plantilla!Z25</f>
        <v>14.1</v>
      </c>
      <c r="H5" s="49">
        <f>Plantilla!AA25</f>
        <v>2.95</v>
      </c>
      <c r="I5" s="49">
        <f>Plantilla!AB25</f>
        <v>8.9499999999999993</v>
      </c>
      <c r="J5" s="49">
        <f>Plantilla!AC25</f>
        <v>5.95</v>
      </c>
      <c r="K5" s="49">
        <f>Plantilla!AD25</f>
        <v>16.95</v>
      </c>
      <c r="L5" s="114">
        <f>1/9</f>
        <v>0.1111111111111111</v>
      </c>
      <c r="M5" s="114"/>
      <c r="N5" s="114">
        <f t="shared" si="0"/>
        <v>1.8518518518518517E-2</v>
      </c>
      <c r="O5" s="49">
        <v>0</v>
      </c>
      <c r="P5" s="48">
        <v>0</v>
      </c>
      <c r="Q5" s="48">
        <v>0</v>
      </c>
      <c r="R5" s="48">
        <v>0</v>
      </c>
      <c r="S5" s="48">
        <v>0</v>
      </c>
      <c r="T5" s="48">
        <f t="shared" si="1"/>
        <v>4.0351010101010096E-2</v>
      </c>
      <c r="U5" s="48">
        <f t="shared" si="2"/>
        <v>3.1449494949494949E-2</v>
      </c>
      <c r="V5" s="48">
        <f t="shared" si="3"/>
        <v>2.1209595959595956E-2</v>
      </c>
      <c r="W5" s="48">
        <f t="shared" si="4"/>
        <v>4.183585858585858E-2</v>
      </c>
      <c r="X5" s="48">
        <f t="shared" si="5"/>
        <v>2.6669191919191919E-2</v>
      </c>
      <c r="Y5" s="141">
        <f>T5</f>
        <v>4.0351010101010096E-2</v>
      </c>
      <c r="Z5" s="141">
        <f>W5</f>
        <v>4.183585858585858E-2</v>
      </c>
      <c r="AA5" s="141">
        <f t="shared" si="6"/>
        <v>4.183585858585858E-2</v>
      </c>
      <c r="AD5" t="s">
        <v>352</v>
      </c>
      <c r="AE5" t="s">
        <v>97</v>
      </c>
      <c r="AG5" t="s">
        <v>363</v>
      </c>
      <c r="AH5" t="s">
        <v>98</v>
      </c>
    </row>
    <row r="6" spans="1:34" x14ac:dyDescent="0.25">
      <c r="A6" s="86" t="str">
        <f>Plantilla!A10</f>
        <v>#6</v>
      </c>
      <c r="B6" s="298" t="str">
        <f>Plantilla!D10</f>
        <v>S. Buschelman</v>
      </c>
      <c r="C6" s="86">
        <f>Plantilla!E10</f>
        <v>34</v>
      </c>
      <c r="D6" s="86">
        <f ca="1">Plantilla!F10</f>
        <v>63</v>
      </c>
      <c r="E6" s="49">
        <f>Plantilla!X10</f>
        <v>0</v>
      </c>
      <c r="F6" s="49">
        <f>Plantilla!Y10</f>
        <v>9.3036666666666648</v>
      </c>
      <c r="G6" s="49">
        <f>Plantilla!Z10</f>
        <v>14</v>
      </c>
      <c r="H6" s="49">
        <f>Plantilla!AA10</f>
        <v>12.945</v>
      </c>
      <c r="I6" s="49">
        <f>Plantilla!AB10</f>
        <v>9.9499999999999993</v>
      </c>
      <c r="J6" s="49">
        <f>Plantilla!AC10</f>
        <v>3.95</v>
      </c>
      <c r="K6" s="49">
        <f>Plantilla!AD10</f>
        <v>16</v>
      </c>
      <c r="L6" s="114">
        <f>1/8</f>
        <v>0.125</v>
      </c>
      <c r="M6" s="114"/>
      <c r="N6" s="114">
        <f t="shared" si="0"/>
        <v>2.0833333333333332E-2</v>
      </c>
      <c r="O6" s="49">
        <v>0</v>
      </c>
      <c r="P6" s="48">
        <v>0</v>
      </c>
      <c r="Q6" s="48">
        <v>0</v>
      </c>
      <c r="R6" s="48">
        <v>0</v>
      </c>
      <c r="S6" s="48">
        <v>0</v>
      </c>
      <c r="T6" s="48">
        <f t="shared" si="1"/>
        <v>4.5394886363636359E-2</v>
      </c>
      <c r="U6" s="48">
        <f t="shared" si="2"/>
        <v>3.5380681818181818E-2</v>
      </c>
      <c r="V6" s="48">
        <f t="shared" si="3"/>
        <v>2.3860795454545454E-2</v>
      </c>
      <c r="W6" s="48">
        <f t="shared" si="4"/>
        <v>4.7065340909090911E-2</v>
      </c>
      <c r="X6" s="48">
        <f t="shared" si="5"/>
        <v>3.0002840909090913E-2</v>
      </c>
      <c r="Y6" s="141">
        <f>U6</f>
        <v>3.5380681818181818E-2</v>
      </c>
      <c r="Z6" s="141">
        <f>U6</f>
        <v>3.5380681818181818E-2</v>
      </c>
      <c r="AA6" s="141">
        <f t="shared" si="6"/>
        <v>3.5380681818181818E-2</v>
      </c>
      <c r="AD6" t="s">
        <v>351</v>
      </c>
      <c r="AE6" t="s">
        <v>95</v>
      </c>
      <c r="AG6" t="s">
        <v>362</v>
      </c>
      <c r="AH6" t="s">
        <v>95</v>
      </c>
    </row>
    <row r="7" spans="1:34" x14ac:dyDescent="0.25">
      <c r="A7" s="86" t="e">
        <f>Plantilla!#REF!</f>
        <v>#REF!</v>
      </c>
      <c r="B7" s="298" t="e">
        <f>Plantilla!#REF!</f>
        <v>#REF!</v>
      </c>
      <c r="C7" s="86" t="e">
        <f>Plantilla!#REF!</f>
        <v>#REF!</v>
      </c>
      <c r="D7" s="86" t="e">
        <f>Plantilla!#REF!</f>
        <v>#REF!</v>
      </c>
      <c r="E7" s="49" t="e">
        <f>Plantilla!#REF!</f>
        <v>#REF!</v>
      </c>
      <c r="F7" s="49" t="e">
        <f>Plantilla!#REF!</f>
        <v>#REF!</v>
      </c>
      <c r="G7" s="49" t="e">
        <f>Plantilla!#REF!</f>
        <v>#REF!</v>
      </c>
      <c r="H7" s="49" t="e">
        <f>Plantilla!#REF!</f>
        <v>#REF!</v>
      </c>
      <c r="I7" s="49" t="e">
        <f>Plantilla!#REF!</f>
        <v>#REF!</v>
      </c>
      <c r="J7" s="49" t="e">
        <f>Plantilla!#REF!</f>
        <v>#REF!</v>
      </c>
      <c r="K7" s="49" t="e">
        <f>Plantilla!#REF!</f>
        <v>#REF!</v>
      </c>
      <c r="L7" s="114">
        <f>1/14</f>
        <v>7.1428571428571425E-2</v>
      </c>
      <c r="M7" s="114"/>
      <c r="N7" s="114">
        <f t="shared" si="0"/>
        <v>1.1904761904761904E-2</v>
      </c>
      <c r="O7" s="49">
        <v>0</v>
      </c>
      <c r="P7" s="48">
        <v>0</v>
      </c>
      <c r="Q7" s="48">
        <v>0</v>
      </c>
      <c r="R7" s="48">
        <v>0</v>
      </c>
      <c r="S7" s="48">
        <v>0</v>
      </c>
      <c r="T7" s="48">
        <f t="shared" si="1"/>
        <v>2.5939935064935062E-2</v>
      </c>
      <c r="U7" s="48">
        <f t="shared" si="2"/>
        <v>2.0217532467532464E-2</v>
      </c>
      <c r="V7" s="48">
        <f t="shared" si="3"/>
        <v>1.3634740259740258E-2</v>
      </c>
      <c r="W7" s="48">
        <f t="shared" si="4"/>
        <v>2.6894480519480523E-2</v>
      </c>
      <c r="X7" s="48">
        <f t="shared" si="5"/>
        <v>1.7144480519480521E-2</v>
      </c>
      <c r="Y7" s="141">
        <f>W7</f>
        <v>2.6894480519480523E-2</v>
      </c>
      <c r="Z7" s="141">
        <f>W7</f>
        <v>2.6894480519480523E-2</v>
      </c>
      <c r="AA7" s="141">
        <f t="shared" si="6"/>
        <v>2.6894480519480523E-2</v>
      </c>
      <c r="AD7" t="s">
        <v>221</v>
      </c>
      <c r="AE7" t="s">
        <v>291</v>
      </c>
      <c r="AG7" t="s">
        <v>363</v>
      </c>
      <c r="AH7" t="s">
        <v>99</v>
      </c>
    </row>
    <row r="8" spans="1:34" x14ac:dyDescent="0.25">
      <c r="A8" s="86" t="e">
        <f>Plantilla!#REF!</f>
        <v>#REF!</v>
      </c>
      <c r="B8" s="298" t="e">
        <f>Plantilla!#REF!</f>
        <v>#REF!</v>
      </c>
      <c r="C8" s="86" t="e">
        <f>Plantilla!#REF!</f>
        <v>#REF!</v>
      </c>
      <c r="D8" s="86" t="e">
        <f>Plantilla!#REF!</f>
        <v>#REF!</v>
      </c>
      <c r="E8" s="49" t="e">
        <f>Plantilla!#REF!</f>
        <v>#REF!</v>
      </c>
      <c r="F8" s="49" t="e">
        <f>Plantilla!#REF!</f>
        <v>#REF!</v>
      </c>
      <c r="G8" s="49" t="e">
        <f>Plantilla!#REF!</f>
        <v>#REF!</v>
      </c>
      <c r="H8" s="49" t="e">
        <f>Plantilla!#REF!</f>
        <v>#REF!</v>
      </c>
      <c r="I8" s="49" t="e">
        <f>Plantilla!#REF!</f>
        <v>#REF!</v>
      </c>
      <c r="J8" s="49" t="e">
        <f>Plantilla!#REF!</f>
        <v>#REF!</v>
      </c>
      <c r="K8" s="49" t="e">
        <f>Plantilla!#REF!</f>
        <v>#REF!</v>
      </c>
      <c r="L8" s="114">
        <f>1/12</f>
        <v>8.3333333333333329E-2</v>
      </c>
      <c r="M8" s="114"/>
      <c r="N8" s="114">
        <f t="shared" si="0"/>
        <v>1.3888888888888888E-2</v>
      </c>
      <c r="O8" s="49">
        <v>0</v>
      </c>
      <c r="P8" s="48">
        <v>0</v>
      </c>
      <c r="Q8" s="48">
        <v>0</v>
      </c>
      <c r="R8" s="48">
        <v>0</v>
      </c>
      <c r="S8" s="48">
        <v>0</v>
      </c>
      <c r="T8" s="48">
        <f t="shared" si="1"/>
        <v>3.0263257575757572E-2</v>
      </c>
      <c r="U8" s="48">
        <f t="shared" si="2"/>
        <v>2.3587121212121212E-2</v>
      </c>
      <c r="V8" s="48">
        <f t="shared" si="3"/>
        <v>1.5907196969696967E-2</v>
      </c>
      <c r="W8" s="48">
        <f t="shared" si="4"/>
        <v>3.1376893939393941E-2</v>
      </c>
      <c r="X8" s="48">
        <f t="shared" si="5"/>
        <v>2.0001893939393941E-2</v>
      </c>
      <c r="Y8" s="141">
        <f>U8</f>
        <v>2.3587121212121212E-2</v>
      </c>
      <c r="Z8" s="141">
        <f>U8</f>
        <v>2.3587121212121212E-2</v>
      </c>
      <c r="AA8" s="141">
        <f t="shared" si="6"/>
        <v>2.3587121212121212E-2</v>
      </c>
      <c r="AD8" t="s">
        <v>353</v>
      </c>
      <c r="AE8" t="s">
        <v>169</v>
      </c>
      <c r="AG8" t="s">
        <v>351</v>
      </c>
      <c r="AH8" t="s">
        <v>364</v>
      </c>
    </row>
    <row r="9" spans="1:34" x14ac:dyDescent="0.25">
      <c r="A9" s="86" t="str">
        <f>Plantilla!A23</f>
        <v>#11</v>
      </c>
      <c r="B9" s="298" t="str">
        <f>Plantilla!D23</f>
        <v>K. Helms</v>
      </c>
      <c r="C9" s="86">
        <f>Plantilla!E23</f>
        <v>35</v>
      </c>
      <c r="D9" s="86">
        <f ca="1">Plantilla!F23</f>
        <v>51</v>
      </c>
      <c r="E9" s="49">
        <f>Plantilla!X23</f>
        <v>0</v>
      </c>
      <c r="F9" s="49">
        <f>Plantilla!Y23</f>
        <v>7.2503030303030309</v>
      </c>
      <c r="G9" s="49">
        <f>Plantilla!Z23</f>
        <v>10.600000000000005</v>
      </c>
      <c r="H9" s="49">
        <f>Plantilla!AA23</f>
        <v>12.95</v>
      </c>
      <c r="I9" s="49">
        <f>Plantilla!AB23</f>
        <v>9.9499999999999993</v>
      </c>
      <c r="J9" s="49">
        <f>Plantilla!AC23</f>
        <v>3.95</v>
      </c>
      <c r="K9" s="49">
        <f>Plantilla!AD23</f>
        <v>18</v>
      </c>
      <c r="L9" s="114">
        <f>1/10</f>
        <v>0.1</v>
      </c>
      <c r="M9" s="114"/>
      <c r="N9" s="114">
        <f t="shared" si="0"/>
        <v>1.6666666666666666E-2</v>
      </c>
      <c r="O9" s="49">
        <v>0</v>
      </c>
      <c r="P9" s="48">
        <v>0</v>
      </c>
      <c r="Q9" s="48">
        <v>0</v>
      </c>
      <c r="R9" s="48">
        <v>0</v>
      </c>
      <c r="S9" s="48">
        <v>0</v>
      </c>
      <c r="T9" s="48">
        <f t="shared" si="1"/>
        <v>3.6315909090909093E-2</v>
      </c>
      <c r="U9" s="48">
        <f t="shared" si="2"/>
        <v>2.8304545454545454E-2</v>
      </c>
      <c r="V9" s="48">
        <f t="shared" si="3"/>
        <v>1.9088636363636363E-2</v>
      </c>
      <c r="W9" s="48">
        <f t="shared" si="4"/>
        <v>3.7652272727272729E-2</v>
      </c>
      <c r="X9" s="48">
        <f t="shared" si="5"/>
        <v>2.400227272727273E-2</v>
      </c>
      <c r="Y9" s="141">
        <f>V9</f>
        <v>1.9088636363636363E-2</v>
      </c>
      <c r="Z9" s="141">
        <f>V9</f>
        <v>1.9088636363636363E-2</v>
      </c>
      <c r="AA9" s="141">
        <f t="shared" si="6"/>
        <v>1.9088636363636363E-2</v>
      </c>
      <c r="AD9" t="s">
        <v>221</v>
      </c>
      <c r="AE9" t="s">
        <v>101</v>
      </c>
      <c r="AG9" t="s">
        <v>221</v>
      </c>
      <c r="AH9" t="s">
        <v>101</v>
      </c>
    </row>
    <row r="10" spans="1:34" x14ac:dyDescent="0.25">
      <c r="A10" s="86" t="str">
        <f>Plantilla!A24</f>
        <v>#10</v>
      </c>
      <c r="B10" s="298" t="str">
        <f>Plantilla!D24</f>
        <v>S. Zobbe</v>
      </c>
      <c r="C10" s="86">
        <f>Plantilla!E24</f>
        <v>32</v>
      </c>
      <c r="D10" s="86">
        <f ca="1">Plantilla!F24</f>
        <v>66</v>
      </c>
      <c r="E10" s="49">
        <f>Plantilla!X24</f>
        <v>0</v>
      </c>
      <c r="F10" s="49">
        <f>Plantilla!Y24</f>
        <v>8.3599999999999977</v>
      </c>
      <c r="G10" s="49">
        <f>Plantilla!Z24</f>
        <v>12.253412698412699</v>
      </c>
      <c r="H10" s="49">
        <f>Plantilla!AA24</f>
        <v>12.95</v>
      </c>
      <c r="I10" s="49">
        <f>Plantilla!AB24</f>
        <v>10.24</v>
      </c>
      <c r="J10" s="49">
        <f>Plantilla!AC24</f>
        <v>6.95</v>
      </c>
      <c r="K10" s="49">
        <f>Plantilla!AD24</f>
        <v>16</v>
      </c>
      <c r="L10" s="114">
        <f>1/10</f>
        <v>0.1</v>
      </c>
      <c r="M10" s="114"/>
      <c r="N10" s="114">
        <f t="shared" si="0"/>
        <v>1.6666666666666666E-2</v>
      </c>
      <c r="O10" s="49">
        <v>0</v>
      </c>
      <c r="P10" s="48">
        <v>0</v>
      </c>
      <c r="Q10" s="48">
        <v>0</v>
      </c>
      <c r="R10" s="48">
        <v>0</v>
      </c>
      <c r="S10" s="48">
        <v>0</v>
      </c>
      <c r="T10" s="48">
        <f t="shared" si="1"/>
        <v>3.6315909090909093E-2</v>
      </c>
      <c r="U10" s="48">
        <f t="shared" si="2"/>
        <v>2.8304545454545454E-2</v>
      </c>
      <c r="V10" s="48">
        <f t="shared" si="3"/>
        <v>1.9088636363636363E-2</v>
      </c>
      <c r="W10" s="48">
        <f t="shared" si="4"/>
        <v>3.7652272727272729E-2</v>
      </c>
      <c r="X10" s="48">
        <f t="shared" si="5"/>
        <v>2.400227272727273E-2</v>
      </c>
      <c r="Y10" s="141">
        <f>V10</f>
        <v>1.9088636363636363E-2</v>
      </c>
      <c r="Z10" s="141">
        <f>V10</f>
        <v>1.9088636363636363E-2</v>
      </c>
      <c r="AA10" s="141">
        <f t="shared" si="6"/>
        <v>1.9088636363636363E-2</v>
      </c>
      <c r="AD10" t="s">
        <v>354</v>
      </c>
      <c r="AE10" t="s">
        <v>364</v>
      </c>
      <c r="AG10" t="s">
        <v>221</v>
      </c>
      <c r="AH10" t="s">
        <v>291</v>
      </c>
    </row>
    <row r="11" spans="1:34" x14ac:dyDescent="0.25">
      <c r="A11" s="86" t="str">
        <f>Plantilla!A9</f>
        <v>#7</v>
      </c>
      <c r="B11" s="298" t="str">
        <f>Plantilla!D9</f>
        <v>E. Romweber</v>
      </c>
      <c r="C11" s="86">
        <f>Plantilla!E9</f>
        <v>35</v>
      </c>
      <c r="D11" s="86">
        <f ca="1">Plantilla!F9</f>
        <v>104</v>
      </c>
      <c r="E11" s="49">
        <f>Plantilla!X9</f>
        <v>0</v>
      </c>
      <c r="F11" s="49">
        <f>Plantilla!Y9</f>
        <v>11.95</v>
      </c>
      <c r="G11" s="49">
        <f>Plantilla!Z9</f>
        <v>11.95</v>
      </c>
      <c r="H11" s="49">
        <f>Plantilla!AA9</f>
        <v>12.95</v>
      </c>
      <c r="I11" s="49">
        <f>Plantilla!AB9</f>
        <v>9.9499999999999993</v>
      </c>
      <c r="J11" s="49">
        <f>Plantilla!AC9</f>
        <v>5.95</v>
      </c>
      <c r="K11" s="49">
        <f>Plantilla!AD9</f>
        <v>17.529999999999998</v>
      </c>
      <c r="L11" s="114">
        <f>1/13</f>
        <v>7.6923076923076927E-2</v>
      </c>
      <c r="M11" s="114"/>
      <c r="N11" s="114">
        <f t="shared" si="0"/>
        <v>1.2820512820512822E-2</v>
      </c>
      <c r="O11" s="49">
        <v>0</v>
      </c>
      <c r="P11" s="48">
        <v>0</v>
      </c>
      <c r="Q11" s="48">
        <v>0</v>
      </c>
      <c r="R11" s="48">
        <v>0</v>
      </c>
      <c r="S11" s="48">
        <v>0</v>
      </c>
      <c r="T11" s="48">
        <f t="shared" si="1"/>
        <v>2.7935314685314686E-2</v>
      </c>
      <c r="U11" s="48">
        <f t="shared" si="2"/>
        <v>2.1772727272727273E-2</v>
      </c>
      <c r="V11" s="48">
        <f t="shared" si="3"/>
        <v>1.4683566433566433E-2</v>
      </c>
      <c r="W11" s="48">
        <f t="shared" si="4"/>
        <v>2.8963286713286719E-2</v>
      </c>
      <c r="X11" s="48">
        <f t="shared" si="5"/>
        <v>1.8463286713286717E-2</v>
      </c>
      <c r="Y11" s="141">
        <f>V11</f>
        <v>1.4683566433566433E-2</v>
      </c>
      <c r="Z11" s="141">
        <f>V11</f>
        <v>1.4683566433566433E-2</v>
      </c>
      <c r="AA11" s="141">
        <f t="shared" si="6"/>
        <v>1.4683566433566433E-2</v>
      </c>
      <c r="AD11" t="s">
        <v>354</v>
      </c>
      <c r="AE11" t="s">
        <v>107</v>
      </c>
      <c r="AG11" t="s">
        <v>354</v>
      </c>
      <c r="AH11" t="s">
        <v>107</v>
      </c>
    </row>
    <row r="12" spans="1:34" x14ac:dyDescent="0.25">
      <c r="A12" s="86" t="e">
        <f>Plantilla!#REF!</f>
        <v>#REF!</v>
      </c>
      <c r="B12" s="298" t="e">
        <f>Plantilla!#REF!</f>
        <v>#REF!</v>
      </c>
      <c r="C12" s="86" t="e">
        <f>Plantilla!#REF!</f>
        <v>#REF!</v>
      </c>
      <c r="D12" s="86" t="e">
        <f>Plantilla!#REF!</f>
        <v>#REF!</v>
      </c>
      <c r="E12" s="49" t="e">
        <f>Plantilla!#REF!</f>
        <v>#REF!</v>
      </c>
      <c r="F12" s="49" t="e">
        <f>Plantilla!#REF!</f>
        <v>#REF!</v>
      </c>
      <c r="G12" s="49" t="e">
        <f>Plantilla!#REF!</f>
        <v>#REF!</v>
      </c>
      <c r="H12" s="49" t="e">
        <f>Plantilla!#REF!</f>
        <v>#REF!</v>
      </c>
      <c r="I12" s="49" t="e">
        <f>Plantilla!#REF!</f>
        <v>#REF!</v>
      </c>
      <c r="J12" s="49" t="e">
        <f>Plantilla!#REF!</f>
        <v>#REF!</v>
      </c>
      <c r="K12" s="49" t="e">
        <f>Plantilla!#REF!</f>
        <v>#REF!</v>
      </c>
      <c r="L12" s="114">
        <f>1/26</f>
        <v>3.8461538461538464E-2</v>
      </c>
      <c r="M12" s="114"/>
      <c r="N12" s="114">
        <f t="shared" si="0"/>
        <v>6.4102564102564109E-3</v>
      </c>
      <c r="O12" s="49">
        <v>0</v>
      </c>
      <c r="P12" s="48">
        <v>0</v>
      </c>
      <c r="Q12" s="48">
        <v>0</v>
      </c>
      <c r="R12" s="48">
        <v>0</v>
      </c>
      <c r="S12" s="48">
        <v>0</v>
      </c>
      <c r="T12" s="48">
        <f t="shared" si="1"/>
        <v>1.3967657342657343E-2</v>
      </c>
      <c r="U12" s="48">
        <f t="shared" si="2"/>
        <v>1.0886363636363637E-2</v>
      </c>
      <c r="V12" s="48">
        <f t="shared" si="3"/>
        <v>7.3417832167832165E-3</v>
      </c>
      <c r="W12" s="48">
        <f t="shared" si="4"/>
        <v>1.448164335664336E-2</v>
      </c>
      <c r="X12" s="48">
        <f t="shared" si="5"/>
        <v>9.2316433566433584E-3</v>
      </c>
      <c r="Y12" s="141">
        <f>W12</f>
        <v>1.448164335664336E-2</v>
      </c>
      <c r="Z12" s="141">
        <f>W12</f>
        <v>1.448164335664336E-2</v>
      </c>
      <c r="AA12" s="141">
        <f t="shared" si="6"/>
        <v>1.448164335664336E-2</v>
      </c>
      <c r="AD12" t="s">
        <v>64</v>
      </c>
      <c r="AE12" t="s">
        <v>102</v>
      </c>
      <c r="AG12" t="s">
        <v>354</v>
      </c>
      <c r="AH12" t="s">
        <v>225</v>
      </c>
    </row>
    <row r="13" spans="1:34" x14ac:dyDescent="0.25">
      <c r="A13" s="86" t="str">
        <f>Plantilla!A27</f>
        <v>#15</v>
      </c>
      <c r="B13" s="298" t="str">
        <f>Plantilla!D27</f>
        <v>P .Trivadi</v>
      </c>
      <c r="C13" s="86">
        <f>Plantilla!E27</f>
        <v>32</v>
      </c>
      <c r="D13" s="86">
        <f ca="1">Plantilla!F27</f>
        <v>22</v>
      </c>
      <c r="E13" s="49">
        <f>Plantilla!X27</f>
        <v>0</v>
      </c>
      <c r="F13" s="49">
        <f>Plantilla!Y27</f>
        <v>4.0199999999999996</v>
      </c>
      <c r="G13" s="49">
        <f>Plantilla!Z27</f>
        <v>6</v>
      </c>
      <c r="H13" s="49">
        <f>Plantilla!AA27</f>
        <v>5.5099999999999989</v>
      </c>
      <c r="I13" s="49">
        <f>Plantilla!AB27</f>
        <v>10.95</v>
      </c>
      <c r="J13" s="49">
        <f>Plantilla!AC27</f>
        <v>7.95</v>
      </c>
      <c r="K13" s="49">
        <f>Plantilla!AD27</f>
        <v>14</v>
      </c>
      <c r="L13" s="114">
        <f>1/9</f>
        <v>0.1111111111111111</v>
      </c>
      <c r="M13" s="114"/>
      <c r="N13" s="114">
        <f t="shared" si="0"/>
        <v>1.8518518518518517E-2</v>
      </c>
      <c r="O13" s="49">
        <v>0</v>
      </c>
      <c r="P13" s="48">
        <v>0</v>
      </c>
      <c r="Q13" s="48">
        <v>0</v>
      </c>
      <c r="R13" s="48">
        <v>0</v>
      </c>
      <c r="S13" s="48">
        <v>0</v>
      </c>
      <c r="T13" s="48">
        <f t="shared" si="1"/>
        <v>4.0351010101010096E-2</v>
      </c>
      <c r="U13" s="48">
        <f t="shared" si="2"/>
        <v>3.1449494949494949E-2</v>
      </c>
      <c r="V13" s="48">
        <f t="shared" si="3"/>
        <v>2.1209595959595956E-2</v>
      </c>
      <c r="W13" s="48">
        <f t="shared" si="4"/>
        <v>4.183585858585858E-2</v>
      </c>
      <c r="X13" s="48">
        <f t="shared" si="5"/>
        <v>2.6669191919191919E-2</v>
      </c>
      <c r="Y13" s="141">
        <v>0</v>
      </c>
      <c r="Z13" s="141">
        <v>0</v>
      </c>
      <c r="AA13" s="141">
        <f t="shared" si="6"/>
        <v>0</v>
      </c>
      <c r="AD13" t="s">
        <v>64</v>
      </c>
      <c r="AE13" t="s">
        <v>225</v>
      </c>
      <c r="AG13" t="s">
        <v>64</v>
      </c>
      <c r="AH13" t="s">
        <v>102</v>
      </c>
    </row>
    <row r="14" spans="1:34" x14ac:dyDescent="0.25">
      <c r="A14" s="86" t="str">
        <f>Plantilla!A4</f>
        <v>#1</v>
      </c>
      <c r="B14" s="86" t="str">
        <f>Plantilla!D4</f>
        <v>D. Gehmacher</v>
      </c>
      <c r="C14" s="86">
        <f>Plantilla!E4</f>
        <v>35</v>
      </c>
      <c r="D14" s="86">
        <f ca="1">Plantilla!F4</f>
        <v>19</v>
      </c>
      <c r="E14" s="49">
        <f>Plantilla!X4</f>
        <v>16.666666666666668</v>
      </c>
      <c r="F14" s="49">
        <f>Plantilla!Y4</f>
        <v>11.95</v>
      </c>
      <c r="G14" s="49">
        <f>Plantilla!Z4</f>
        <v>2.0699999999999985</v>
      </c>
      <c r="H14" s="49">
        <f>Plantilla!AA4</f>
        <v>2.149999999999999</v>
      </c>
      <c r="I14" s="49">
        <f>Plantilla!AB4</f>
        <v>0.95</v>
      </c>
      <c r="J14" s="49">
        <f>Plantilla!AC4</f>
        <v>0</v>
      </c>
      <c r="K14" s="49">
        <f>Plantilla!AD4</f>
        <v>18.2</v>
      </c>
      <c r="L14" s="114">
        <v>0</v>
      </c>
      <c r="M14" s="114"/>
      <c r="N14" s="114">
        <f t="shared" si="0"/>
        <v>0</v>
      </c>
      <c r="O14" s="49">
        <v>0</v>
      </c>
      <c r="P14" s="48">
        <v>0</v>
      </c>
      <c r="Q14" s="48">
        <v>0</v>
      </c>
      <c r="R14" s="48">
        <v>0</v>
      </c>
      <c r="S14" s="48">
        <v>0</v>
      </c>
      <c r="T14" s="48">
        <f t="shared" si="1"/>
        <v>0</v>
      </c>
      <c r="U14" s="48">
        <f t="shared" si="2"/>
        <v>0</v>
      </c>
      <c r="V14" s="48">
        <f t="shared" si="3"/>
        <v>0</v>
      </c>
      <c r="W14" s="48">
        <f t="shared" si="4"/>
        <v>0</v>
      </c>
      <c r="X14" s="48">
        <f t="shared" si="5"/>
        <v>0</v>
      </c>
      <c r="Y14" s="141">
        <f>L14</f>
        <v>0</v>
      </c>
      <c r="Z14" s="141">
        <f>L14</f>
        <v>0</v>
      </c>
      <c r="AA14" s="141">
        <f t="shared" si="6"/>
        <v>0</v>
      </c>
    </row>
    <row r="15" spans="1:34" x14ac:dyDescent="0.25">
      <c r="A15" s="86" t="e">
        <f>Plantilla!#REF!</f>
        <v>#REF!</v>
      </c>
      <c r="B15" s="298" t="e">
        <f>Plantilla!#REF!</f>
        <v>#REF!</v>
      </c>
      <c r="C15" s="86" t="e">
        <f>Plantilla!#REF!</f>
        <v>#REF!</v>
      </c>
      <c r="D15" s="86" t="e">
        <f>Plantilla!#REF!</f>
        <v>#REF!</v>
      </c>
      <c r="E15" s="49" t="e">
        <f>Plantilla!#REF!</f>
        <v>#REF!</v>
      </c>
      <c r="F15" s="49" t="e">
        <f>Plantilla!#REF!</f>
        <v>#REF!</v>
      </c>
      <c r="G15" s="49" t="e">
        <f>Plantilla!#REF!</f>
        <v>#REF!</v>
      </c>
      <c r="H15" s="49" t="e">
        <f>Plantilla!#REF!</f>
        <v>#REF!</v>
      </c>
      <c r="I15" s="49" t="e">
        <f>Plantilla!#REF!</f>
        <v>#REF!</v>
      </c>
      <c r="J15" s="49" t="e">
        <f>Plantilla!#REF!</f>
        <v>#REF!</v>
      </c>
      <c r="K15" s="49" t="e">
        <f>Plantilla!#REF!</f>
        <v>#REF!</v>
      </c>
      <c r="L15" s="114">
        <f>1/10</f>
        <v>0.1</v>
      </c>
      <c r="M15" s="114"/>
      <c r="N15" s="114">
        <f t="shared" si="0"/>
        <v>1.6666666666666666E-2</v>
      </c>
      <c r="O15" s="49">
        <v>0</v>
      </c>
      <c r="P15" s="48">
        <v>0</v>
      </c>
      <c r="Q15" s="48">
        <v>0</v>
      </c>
      <c r="R15" s="48">
        <v>0</v>
      </c>
      <c r="S15" s="48">
        <v>0</v>
      </c>
      <c r="T15" s="48">
        <f t="shared" si="1"/>
        <v>3.6315909090909093E-2</v>
      </c>
      <c r="U15" s="48">
        <f t="shared" si="2"/>
        <v>2.8304545454545454E-2</v>
      </c>
      <c r="V15" s="48">
        <f t="shared" si="3"/>
        <v>1.9088636363636363E-2</v>
      </c>
      <c r="W15" s="48">
        <f t="shared" si="4"/>
        <v>3.7652272727272729E-2</v>
      </c>
      <c r="X15" s="48">
        <f t="shared" si="5"/>
        <v>2.400227272727273E-2</v>
      </c>
      <c r="Y15" s="141">
        <v>0</v>
      </c>
      <c r="Z15" s="141">
        <v>0</v>
      </c>
      <c r="AA15" s="141">
        <f t="shared" si="6"/>
        <v>0</v>
      </c>
    </row>
    <row r="16" spans="1:34" x14ac:dyDescent="0.25">
      <c r="A16" s="86" t="e">
        <f>Plantilla!#REF!</f>
        <v>#REF!</v>
      </c>
      <c r="B16" s="298" t="e">
        <f>Plantilla!#REF!</f>
        <v>#REF!</v>
      </c>
      <c r="C16" s="86" t="e">
        <f>Plantilla!#REF!</f>
        <v>#REF!</v>
      </c>
      <c r="D16" s="86" t="e">
        <f>Plantilla!#REF!</f>
        <v>#REF!</v>
      </c>
      <c r="E16" s="49" t="e">
        <f>Plantilla!#REF!</f>
        <v>#REF!</v>
      </c>
      <c r="F16" s="49" t="e">
        <f>Plantilla!#REF!</f>
        <v>#REF!</v>
      </c>
      <c r="G16" s="49" t="e">
        <f>Plantilla!#REF!</f>
        <v>#REF!</v>
      </c>
      <c r="H16" s="49" t="e">
        <f>Plantilla!#REF!</f>
        <v>#REF!</v>
      </c>
      <c r="I16" s="49" t="e">
        <f>Plantilla!#REF!</f>
        <v>#REF!</v>
      </c>
      <c r="J16" s="49" t="e">
        <f>Plantilla!#REF!</f>
        <v>#REF!</v>
      </c>
      <c r="K16" s="49" t="e">
        <f>Plantilla!#REF!</f>
        <v>#REF!</v>
      </c>
      <c r="L16" s="114">
        <f>1/8</f>
        <v>0.125</v>
      </c>
      <c r="M16" s="114"/>
      <c r="N16" s="114">
        <f t="shared" si="0"/>
        <v>2.0833333333333332E-2</v>
      </c>
      <c r="O16" s="49">
        <v>0</v>
      </c>
      <c r="P16" s="48">
        <v>0</v>
      </c>
      <c r="Q16" s="48">
        <v>0</v>
      </c>
      <c r="R16" s="48">
        <v>0</v>
      </c>
      <c r="S16" s="48">
        <v>0</v>
      </c>
      <c r="T16" s="48">
        <f t="shared" si="1"/>
        <v>4.5394886363636359E-2</v>
      </c>
      <c r="U16" s="48">
        <f t="shared" si="2"/>
        <v>3.5380681818181818E-2</v>
      </c>
      <c r="V16" s="48">
        <f t="shared" si="3"/>
        <v>2.3860795454545454E-2</v>
      </c>
      <c r="W16" s="48">
        <f>L16*(0.19*0.543+0.25*0.324)/(0.19+0.25)</f>
        <v>5.232102272727273E-2</v>
      </c>
      <c r="X16" s="48">
        <f t="shared" si="5"/>
        <v>3.0002840909090913E-2</v>
      </c>
      <c r="Y16" s="141">
        <v>0</v>
      </c>
      <c r="Z16" s="141">
        <v>0</v>
      </c>
      <c r="AA16" s="141">
        <f t="shared" si="6"/>
        <v>0</v>
      </c>
    </row>
    <row r="17" spans="1:27" x14ac:dyDescent="0.25">
      <c r="A17" s="86" t="str">
        <f>Plantilla!A6</f>
        <v>#2</v>
      </c>
      <c r="B17" s="298" t="str">
        <f>Plantilla!D6</f>
        <v>E. Toney</v>
      </c>
      <c r="C17" s="86">
        <f>Plantilla!E6</f>
        <v>36</v>
      </c>
      <c r="D17" s="86">
        <f ca="1">Plantilla!F6</f>
        <v>30</v>
      </c>
      <c r="E17" s="49">
        <f>Plantilla!X6</f>
        <v>0</v>
      </c>
      <c r="F17" s="49">
        <f>Plantilla!Y6</f>
        <v>11.95</v>
      </c>
      <c r="G17" s="49">
        <f>Plantilla!Z6</f>
        <v>12.95</v>
      </c>
      <c r="H17" s="49">
        <f>Plantilla!AA6</f>
        <v>8.9499999999999993</v>
      </c>
      <c r="I17" s="49">
        <f>Plantilla!AB6</f>
        <v>8.9499999999999993</v>
      </c>
      <c r="J17" s="49">
        <f>Plantilla!AC6</f>
        <v>0.95</v>
      </c>
      <c r="K17" s="49">
        <f>Plantilla!AD6</f>
        <v>17.177777777777774</v>
      </c>
      <c r="L17" s="114">
        <f>1/11</f>
        <v>9.0909090909090912E-2</v>
      </c>
      <c r="M17" s="114"/>
      <c r="N17" s="114">
        <f t="shared" si="0"/>
        <v>1.5151515151515152E-2</v>
      </c>
      <c r="O17" s="49">
        <v>0</v>
      </c>
      <c r="P17" s="48">
        <v>0</v>
      </c>
      <c r="Q17" s="48">
        <v>0</v>
      </c>
      <c r="R17" s="48">
        <v>0</v>
      </c>
      <c r="S17" s="48">
        <v>0</v>
      </c>
      <c r="T17" s="48">
        <f t="shared" si="1"/>
        <v>3.3014462809917357E-2</v>
      </c>
      <c r="U17" s="48">
        <f t="shared" si="2"/>
        <v>2.5731404958677685E-2</v>
      </c>
      <c r="V17" s="48">
        <f t="shared" si="3"/>
        <v>1.7353305785123965E-2</v>
      </c>
      <c r="W17" s="48">
        <f>L17*(0.19*0.543+0.25*0.324)/(0.19+0.25)</f>
        <v>3.8051652892561988E-2</v>
      </c>
      <c r="X17" s="48">
        <f t="shared" si="5"/>
        <v>2.1820247933884301E-2</v>
      </c>
      <c r="Y17" s="141">
        <f>S17</f>
        <v>0</v>
      </c>
      <c r="Z17" s="141">
        <f>S17</f>
        <v>0</v>
      </c>
      <c r="AA17" s="141">
        <f t="shared" si="6"/>
        <v>0</v>
      </c>
    </row>
    <row r="18" spans="1:27" x14ac:dyDescent="0.25">
      <c r="A18" s="86" t="str">
        <f>Plantilla!A11</f>
        <v>#12</v>
      </c>
      <c r="B18" s="298" t="str">
        <f>Plantilla!D11</f>
        <v>E. Gross</v>
      </c>
      <c r="C18" s="86">
        <f>Plantilla!E11</f>
        <v>35</v>
      </c>
      <c r="D18" s="86">
        <f ca="1">Plantilla!F11</f>
        <v>91</v>
      </c>
      <c r="E18" s="49">
        <f>Plantilla!X11</f>
        <v>0</v>
      </c>
      <c r="F18" s="49">
        <f>Plantilla!Y11</f>
        <v>10.549999999999995</v>
      </c>
      <c r="G18" s="49">
        <f>Plantilla!Z11</f>
        <v>12.95</v>
      </c>
      <c r="H18" s="49">
        <f>Plantilla!AA11</f>
        <v>3.95</v>
      </c>
      <c r="I18" s="49">
        <f>Plantilla!AB11</f>
        <v>8.9499999999999993</v>
      </c>
      <c r="J18" s="49">
        <f>Plantilla!AC11</f>
        <v>0.95</v>
      </c>
      <c r="K18" s="49">
        <f>Plantilla!AD11</f>
        <v>17.3</v>
      </c>
      <c r="L18" s="114">
        <f>1/10</f>
        <v>0.1</v>
      </c>
      <c r="M18" s="114"/>
      <c r="N18" s="114">
        <f t="shared" si="0"/>
        <v>1.6666666666666666E-2</v>
      </c>
      <c r="O18" s="49">
        <v>0</v>
      </c>
      <c r="P18" s="48">
        <v>0</v>
      </c>
      <c r="Q18" s="48">
        <v>0</v>
      </c>
      <c r="R18" s="48">
        <v>0</v>
      </c>
      <c r="S18" s="48">
        <v>0</v>
      </c>
      <c r="T18" s="48">
        <f t="shared" si="1"/>
        <v>3.6315909090909093E-2</v>
      </c>
      <c r="U18" s="48">
        <f t="shared" si="2"/>
        <v>2.8304545454545454E-2</v>
      </c>
      <c r="V18" s="48">
        <f t="shared" si="3"/>
        <v>1.9088636363636363E-2</v>
      </c>
      <c r="W18" s="48">
        <f>L18*(0.19*0.543+0.25*0.25)/(0.19+0.25)</f>
        <v>3.7652272727272729E-2</v>
      </c>
      <c r="X18" s="48">
        <f t="shared" si="5"/>
        <v>2.400227272727273E-2</v>
      </c>
      <c r="Y18" s="141">
        <v>0</v>
      </c>
      <c r="Z18" s="141">
        <v>0</v>
      </c>
      <c r="AA18" s="141">
        <f t="shared" si="6"/>
        <v>0</v>
      </c>
    </row>
    <row r="19" spans="1:27" x14ac:dyDescent="0.25">
      <c r="A19" s="86" t="str">
        <f>Plantilla!A7</f>
        <v>#24</v>
      </c>
      <c r="B19" s="298" t="str">
        <f>Plantilla!D7</f>
        <v>B. Bartolache</v>
      </c>
      <c r="C19" s="86">
        <f>Plantilla!E7</f>
        <v>36</v>
      </c>
      <c r="D19" s="86">
        <f ca="1">Plantilla!F7</f>
        <v>15</v>
      </c>
      <c r="E19" s="49">
        <f>Plantilla!X7</f>
        <v>0</v>
      </c>
      <c r="F19" s="49">
        <f>Plantilla!Y7</f>
        <v>11.95</v>
      </c>
      <c r="G19" s="49">
        <f>Plantilla!Z7</f>
        <v>5.95</v>
      </c>
      <c r="H19" s="49">
        <f>Plantilla!AA7</f>
        <v>6.95</v>
      </c>
      <c r="I19" s="49">
        <f>Plantilla!AB7</f>
        <v>7.95</v>
      </c>
      <c r="J19" s="49">
        <f>Plantilla!AC7</f>
        <v>1.95</v>
      </c>
      <c r="K19" s="49">
        <f>Plantilla!AD7</f>
        <v>16</v>
      </c>
      <c r="L19" s="114">
        <f>1/10</f>
        <v>0.1</v>
      </c>
      <c r="M19" s="114"/>
      <c r="N19" s="114">
        <f t="shared" si="0"/>
        <v>1.6666666666666666E-2</v>
      </c>
      <c r="O19" s="49">
        <v>0</v>
      </c>
      <c r="P19" s="48">
        <v>0</v>
      </c>
      <c r="Q19" s="48">
        <v>0</v>
      </c>
      <c r="R19" s="48">
        <v>0</v>
      </c>
      <c r="S19" s="48">
        <v>0</v>
      </c>
      <c r="T19" s="48">
        <f t="shared" si="1"/>
        <v>3.6315909090909093E-2</v>
      </c>
      <c r="U19" s="48">
        <f t="shared" si="2"/>
        <v>2.8304545454545454E-2</v>
      </c>
      <c r="V19" s="48">
        <f t="shared" si="3"/>
        <v>1.9088636363636363E-2</v>
      </c>
      <c r="W19" s="48">
        <f>L19*(0.19*0.543+0.25*0.324)/(0.19+0.25)</f>
        <v>4.1856818181818183E-2</v>
      </c>
      <c r="X19" s="48">
        <f t="shared" si="5"/>
        <v>2.400227272727273E-2</v>
      </c>
      <c r="Y19" s="141">
        <v>0</v>
      </c>
      <c r="Z19" s="141">
        <f>S19</f>
        <v>0</v>
      </c>
      <c r="AA19" s="141">
        <f t="shared" si="6"/>
        <v>0</v>
      </c>
    </row>
    <row r="20" spans="1:27" x14ac:dyDescent="0.25">
      <c r="A20" s="86" t="str">
        <f>Plantilla!A5</f>
        <v>#25</v>
      </c>
      <c r="B20" s="86" t="str">
        <f>Plantilla!D5</f>
        <v>T. Hammond</v>
      </c>
      <c r="C20" s="86">
        <f>Plantilla!E5</f>
        <v>39</v>
      </c>
      <c r="D20" s="86">
        <f ca="1">Plantilla!F5</f>
        <v>28</v>
      </c>
      <c r="E20" s="49">
        <f>Plantilla!X5</f>
        <v>7.95</v>
      </c>
      <c r="F20" s="49">
        <f>Plantilla!Y5</f>
        <v>6.95</v>
      </c>
      <c r="G20" s="49">
        <f>Plantilla!Z5</f>
        <v>0.95</v>
      </c>
      <c r="H20" s="49">
        <f>Plantilla!AA5</f>
        <v>0.95</v>
      </c>
      <c r="I20" s="49">
        <f>Plantilla!AB5</f>
        <v>1.95</v>
      </c>
      <c r="J20" s="49">
        <f>Plantilla!AC5</f>
        <v>0</v>
      </c>
      <c r="K20" s="49">
        <f>Plantilla!AD5</f>
        <v>14.95</v>
      </c>
      <c r="L20" s="114"/>
      <c r="M20" s="114"/>
      <c r="N20" s="114">
        <f t="shared" si="0"/>
        <v>0</v>
      </c>
      <c r="O20" s="49">
        <v>0</v>
      </c>
      <c r="P20" s="48">
        <v>0</v>
      </c>
      <c r="Q20" s="48">
        <v>0</v>
      </c>
      <c r="R20" s="48">
        <v>0</v>
      </c>
      <c r="S20" s="48">
        <v>0</v>
      </c>
      <c r="T20" s="48">
        <f t="shared" si="1"/>
        <v>0</v>
      </c>
      <c r="U20" s="48">
        <f t="shared" si="2"/>
        <v>0</v>
      </c>
      <c r="V20" s="48">
        <f t="shared" si="3"/>
        <v>0</v>
      </c>
      <c r="W20" s="48">
        <f>L20*(0.19*0.543+0.25*0.25)/(0.19+0.25)</f>
        <v>0</v>
      </c>
      <c r="X20" s="48">
        <f t="shared" si="5"/>
        <v>0</v>
      </c>
      <c r="Y20" s="141"/>
      <c r="Z20" s="141"/>
      <c r="AA20" s="141">
        <f t="shared" si="6"/>
        <v>0</v>
      </c>
    </row>
    <row r="21" spans="1:27" x14ac:dyDescent="0.25">
      <c r="A21" s="86" t="str">
        <f>Plantilla!A8</f>
        <v>#13</v>
      </c>
      <c r="B21" s="86" t="str">
        <f>Plantilla!D8</f>
        <v>F. Lasprilla</v>
      </c>
      <c r="C21" s="86">
        <f>Plantilla!E8</f>
        <v>32</v>
      </c>
      <c r="D21" s="86">
        <f ca="1">Plantilla!F8</f>
        <v>38</v>
      </c>
      <c r="E21" s="49">
        <f>Plantilla!X8</f>
        <v>0</v>
      </c>
      <c r="F21" s="49">
        <f>Plantilla!Y8</f>
        <v>9.6046666666666667</v>
      </c>
      <c r="G21" s="49">
        <f>Plantilla!Z8</f>
        <v>8</v>
      </c>
      <c r="H21" s="49">
        <f>Plantilla!AA8</f>
        <v>6.1599999999999984</v>
      </c>
      <c r="I21" s="49">
        <f>Plantilla!AB8</f>
        <v>8.8633333333333315</v>
      </c>
      <c r="J21" s="49">
        <f>Plantilla!AC8</f>
        <v>2.95</v>
      </c>
      <c r="K21" s="49">
        <f>Plantilla!AD8</f>
        <v>13.33611111111111</v>
      </c>
      <c r="L21" s="114"/>
      <c r="M21" s="114"/>
      <c r="N21" s="114">
        <f t="shared" si="0"/>
        <v>0</v>
      </c>
      <c r="O21" s="49">
        <v>0</v>
      </c>
      <c r="P21" s="48">
        <v>0</v>
      </c>
      <c r="Q21" s="48">
        <v>0</v>
      </c>
      <c r="R21" s="48">
        <v>0</v>
      </c>
      <c r="S21" s="48">
        <v>0</v>
      </c>
      <c r="T21" s="48">
        <f t="shared" si="1"/>
        <v>0</v>
      </c>
      <c r="U21" s="48">
        <f t="shared" si="2"/>
        <v>0</v>
      </c>
      <c r="V21" s="48">
        <f t="shared" si="3"/>
        <v>0</v>
      </c>
      <c r="W21" s="48">
        <f>L21*(0.19*0.543+0.25*0.25)/(0.19+0.25)</f>
        <v>0</v>
      </c>
      <c r="X21" s="48">
        <f t="shared" si="5"/>
        <v>0</v>
      </c>
      <c r="Y21" s="141"/>
      <c r="Z21" s="141"/>
      <c r="AA21" s="141">
        <f t="shared" si="6"/>
        <v>0</v>
      </c>
    </row>
    <row r="22" spans="1:27" x14ac:dyDescent="0.25">
      <c r="A22" s="86" t="str">
        <f>Plantilla!A12</f>
        <v>#23</v>
      </c>
      <c r="B22" s="86" t="str">
        <f>Plantilla!D12</f>
        <v>W. Gelifini</v>
      </c>
      <c r="C22" s="86">
        <f>Plantilla!E12</f>
        <v>34</v>
      </c>
      <c r="D22" s="86">
        <f ca="1">Plantilla!F12</f>
        <v>16</v>
      </c>
      <c r="E22" s="49">
        <f>Plantilla!X12</f>
        <v>0</v>
      </c>
      <c r="F22" s="49">
        <f>Plantilla!Y12</f>
        <v>5.6515555555555519</v>
      </c>
      <c r="G22" s="49">
        <f>Plantilla!Z12</f>
        <v>9</v>
      </c>
      <c r="H22" s="49">
        <f>Plantilla!AA12</f>
        <v>6.95</v>
      </c>
      <c r="I22" s="49">
        <f>Plantilla!AB12</f>
        <v>8.9499999999999993</v>
      </c>
      <c r="J22" s="49">
        <f>Plantilla!AC12</f>
        <v>2.95</v>
      </c>
      <c r="K22" s="49">
        <f>Plantilla!AD12</f>
        <v>12.847222222222223</v>
      </c>
      <c r="L22" s="114"/>
      <c r="M22" s="114"/>
      <c r="N22" s="114">
        <f t="shared" si="0"/>
        <v>0</v>
      </c>
      <c r="O22" s="49">
        <v>0</v>
      </c>
      <c r="P22" s="48">
        <v>0</v>
      </c>
      <c r="Q22" s="48">
        <v>0</v>
      </c>
      <c r="R22" s="48">
        <v>0</v>
      </c>
      <c r="S22" s="48">
        <v>0</v>
      </c>
      <c r="T22" s="48">
        <f t="shared" si="1"/>
        <v>0</v>
      </c>
      <c r="U22" s="48">
        <f t="shared" si="2"/>
        <v>0</v>
      </c>
      <c r="V22" s="48">
        <f t="shared" si="3"/>
        <v>0</v>
      </c>
      <c r="W22" s="48">
        <f>L22*(0.19*0.543+0.25*0.25)/(0.19+0.25)</f>
        <v>0</v>
      </c>
      <c r="X22" s="48">
        <f t="shared" si="5"/>
        <v>0</v>
      </c>
      <c r="Y22" s="141"/>
      <c r="Z22" s="141"/>
      <c r="AA22" s="141">
        <f t="shared" si="6"/>
        <v>0</v>
      </c>
    </row>
    <row r="23" spans="1:27" x14ac:dyDescent="0.25">
      <c r="A23" s="86" t="e">
        <f>Plantilla!#REF!</f>
        <v>#REF!</v>
      </c>
      <c r="B23" s="86" t="e">
        <f>Plantilla!#REF!</f>
        <v>#REF!</v>
      </c>
      <c r="C23" s="86" t="e">
        <f>Plantilla!#REF!</f>
        <v>#REF!</v>
      </c>
      <c r="D23" s="86" t="e">
        <f>Plantilla!#REF!</f>
        <v>#REF!</v>
      </c>
      <c r="E23" s="49" t="e">
        <f>Plantilla!#REF!</f>
        <v>#REF!</v>
      </c>
      <c r="F23" s="49" t="e">
        <f>Plantilla!#REF!</f>
        <v>#REF!</v>
      </c>
      <c r="G23" s="49" t="e">
        <f>Plantilla!#REF!</f>
        <v>#REF!</v>
      </c>
      <c r="H23" s="49" t="e">
        <f>Plantilla!#REF!</f>
        <v>#REF!</v>
      </c>
      <c r="I23" s="49" t="e">
        <f>Plantilla!#REF!</f>
        <v>#REF!</v>
      </c>
      <c r="J23" s="49" t="e">
        <f>Plantilla!#REF!</f>
        <v>#REF!</v>
      </c>
      <c r="K23" s="49" t="e">
        <f>Plantilla!#REF!</f>
        <v>#REF!</v>
      </c>
      <c r="L23" s="114"/>
      <c r="M23" s="114"/>
      <c r="N23" s="114">
        <f t="shared" si="0"/>
        <v>0</v>
      </c>
      <c r="O23" s="49">
        <v>0</v>
      </c>
      <c r="P23" s="48">
        <v>0</v>
      </c>
      <c r="Q23" s="48">
        <v>0</v>
      </c>
      <c r="R23" s="48">
        <v>0</v>
      </c>
      <c r="S23" s="48">
        <v>0</v>
      </c>
      <c r="T23" s="48">
        <f t="shared" si="1"/>
        <v>0</v>
      </c>
      <c r="U23" s="48">
        <f t="shared" si="2"/>
        <v>0</v>
      </c>
      <c r="V23" s="48">
        <f t="shared" si="3"/>
        <v>0</v>
      </c>
      <c r="W23" s="48">
        <f>L23*(0.19*0.543+0.25*0.25)/(0.19+0.25)</f>
        <v>0</v>
      </c>
      <c r="X23" s="48">
        <f t="shared" si="5"/>
        <v>0</v>
      </c>
      <c r="Y23" s="141"/>
      <c r="Z23" s="141"/>
      <c r="AA23" s="141">
        <f t="shared" si="6"/>
        <v>0</v>
      </c>
    </row>
    <row r="26" spans="1:27" x14ac:dyDescent="0.25">
      <c r="B26" s="87"/>
    </row>
  </sheetData>
  <sortState ref="A4:AA23">
    <sortCondition descending="1" ref="AA4:AA23"/>
    <sortCondition descending="1" ref="Y4:Y23"/>
    <sortCondition descending="1" ref="Z4:Z23"/>
  </sortState>
  <conditionalFormatting sqref="L4:X23">
    <cfRule type="colorScale" priority="2965">
      <colorScale>
        <cfvo type="min"/>
        <cfvo type="max"/>
        <color rgb="FFFFEF9C"/>
        <color rgb="FF63BE7B"/>
      </colorScale>
    </cfRule>
  </conditionalFormatting>
  <conditionalFormatting sqref="Y4:Y23">
    <cfRule type="dataBar" priority="2966">
      <dataBar>
        <cfvo type="min"/>
        <cfvo type="max"/>
        <color rgb="FF008AEF"/>
      </dataBar>
      <extLst>
        <ext xmlns:x14="http://schemas.microsoft.com/office/spreadsheetml/2009/9/main" uri="{B025F937-C7B1-47D3-B67F-A62EFF666E3E}">
          <x14:id>{9426DB89-85FD-4792-83EF-D61D488930F2}</x14:id>
        </ext>
      </extLst>
    </cfRule>
  </conditionalFormatting>
  <conditionalFormatting sqref="Z4:AA23">
    <cfRule type="dataBar" priority="2967">
      <dataBar>
        <cfvo type="min"/>
        <cfvo type="max"/>
        <color rgb="FF008AEF"/>
      </dataBar>
      <extLst>
        <ext xmlns:x14="http://schemas.microsoft.com/office/spreadsheetml/2009/9/main" uri="{B025F937-C7B1-47D3-B67F-A62EFF666E3E}">
          <x14:id>{C23476FD-F522-405C-9B9C-54EF35DAB9BC}</x14:id>
        </ext>
      </extLst>
    </cfRule>
  </conditionalFormatting>
  <conditionalFormatting sqref="E4:K23">
    <cfRule type="colorScale" priority="2968">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9426DB89-85FD-4792-83EF-D61D488930F2}">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23476FD-F522-405C-9B9C-54EF35DAB9BC}">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5" tint="0.39997558519241921"/>
  </sheetPr>
  <dimension ref="A1:AH25"/>
  <sheetViews>
    <sheetView workbookViewId="0">
      <selection activeCell="L3" sqref="L3:AA3"/>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262" bestFit="1" customWidth="1"/>
    <col min="13" max="13" width="6.5703125" style="262" customWidth="1"/>
    <col min="14" max="14" width="8.28515625" style="262" bestFit="1" customWidth="1"/>
    <col min="15" max="15" width="4.5703125" style="262"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6.42578125" bestFit="1" customWidth="1"/>
    <col min="27" max="27" width="7.7109375" bestFit="1" customWidth="1"/>
    <col min="30" max="30" width="6" bestFit="1" customWidth="1"/>
    <col min="31" max="31" width="13.7109375" bestFit="1" customWidth="1"/>
    <col min="33" max="33" width="5.7109375" bestFit="1" customWidth="1"/>
    <col min="34" max="34" width="13.7109375" bestFit="1" customWidth="1"/>
  </cols>
  <sheetData>
    <row r="1" spans="1:34" x14ac:dyDescent="0.25">
      <c r="B1" t="s">
        <v>372</v>
      </c>
      <c r="AD1" t="s">
        <v>373</v>
      </c>
      <c r="AG1" t="s">
        <v>374</v>
      </c>
    </row>
    <row r="2" spans="1:34" x14ac:dyDescent="0.25">
      <c r="B2" s="87">
        <v>43060</v>
      </c>
      <c r="Y2" s="264">
        <f>SUM(Y4:Y22)</f>
        <v>0.35961805555555554</v>
      </c>
      <c r="Z2" s="264">
        <f>SUM(Z4:Z22)</f>
        <v>0.49770896464646464</v>
      </c>
      <c r="AA2" s="264"/>
      <c r="AD2" s="191" t="s">
        <v>100</v>
      </c>
      <c r="AE2" s="191" t="s">
        <v>71</v>
      </c>
      <c r="AG2" s="191" t="s">
        <v>100</v>
      </c>
      <c r="AH2" s="191" t="s">
        <v>71</v>
      </c>
    </row>
    <row r="3" spans="1:34" x14ac:dyDescent="0.25">
      <c r="A3" s="94" t="s">
        <v>391</v>
      </c>
      <c r="B3" s="94" t="str">
        <f>Plantilla!D3</f>
        <v>Jugador</v>
      </c>
      <c r="C3" s="94" t="str">
        <f>Plantilla!E3</f>
        <v>Anys</v>
      </c>
      <c r="D3" s="94" t="str">
        <f>Plantilla!F3</f>
        <v>Dias</v>
      </c>
      <c r="E3" s="94" t="str">
        <f>Plantilla!X3</f>
        <v>Po</v>
      </c>
      <c r="F3" s="94" t="str">
        <f>Plantilla!Y3</f>
        <v>De</v>
      </c>
      <c r="G3" s="94" t="str">
        <f>Plantilla!Z3</f>
        <v>Cr</v>
      </c>
      <c r="H3" s="94" t="str">
        <f>Plantilla!AA3</f>
        <v>Ex</v>
      </c>
      <c r="I3" s="94" t="str">
        <f>Plantilla!AB3</f>
        <v>Ps</v>
      </c>
      <c r="J3" s="94" t="str">
        <f>Plantilla!AC3</f>
        <v>An</v>
      </c>
      <c r="K3" s="94" t="str">
        <f>Plantilla!AD3</f>
        <v>PA</v>
      </c>
      <c r="L3" s="257">
        <v>1</v>
      </c>
      <c r="M3" s="257">
        <v>0.5</v>
      </c>
      <c r="N3" s="94" t="s">
        <v>377</v>
      </c>
      <c r="O3" s="259" t="s">
        <v>1</v>
      </c>
      <c r="P3" s="259" t="s">
        <v>352</v>
      </c>
      <c r="Q3" s="258" t="s">
        <v>370</v>
      </c>
      <c r="R3" s="258" t="s">
        <v>376</v>
      </c>
      <c r="S3" s="258" t="s">
        <v>371</v>
      </c>
      <c r="T3" s="258" t="s">
        <v>353</v>
      </c>
      <c r="U3" s="258" t="s">
        <v>221</v>
      </c>
      <c r="V3" s="258" t="s">
        <v>375</v>
      </c>
      <c r="W3" s="259" t="s">
        <v>277</v>
      </c>
      <c r="X3" s="259" t="s">
        <v>64</v>
      </c>
      <c r="Y3" s="261" t="s">
        <v>373</v>
      </c>
      <c r="Z3" s="261" t="s">
        <v>374</v>
      </c>
      <c r="AA3" s="261" t="s">
        <v>378</v>
      </c>
      <c r="AD3" t="s">
        <v>1</v>
      </c>
      <c r="AE3" t="s">
        <v>344</v>
      </c>
      <c r="AG3" t="s">
        <v>1</v>
      </c>
      <c r="AH3" t="s">
        <v>344</v>
      </c>
    </row>
    <row r="4" spans="1:34" x14ac:dyDescent="0.25">
      <c r="A4" s="86" t="e">
        <f>Plantilla!#REF!</f>
        <v>#REF!</v>
      </c>
      <c r="B4" s="298" t="e">
        <f>Plantilla!#REF!</f>
        <v>#REF!</v>
      </c>
      <c r="C4" s="86" t="e">
        <f>Plantilla!#REF!</f>
        <v>#REF!</v>
      </c>
      <c r="D4" s="86" t="e">
        <f>Plantilla!#REF!</f>
        <v>#REF!</v>
      </c>
      <c r="E4" s="49" t="e">
        <f>Plantilla!#REF!</f>
        <v>#REF!</v>
      </c>
      <c r="F4" s="49" t="e">
        <f>Plantilla!#REF!</f>
        <v>#REF!</v>
      </c>
      <c r="G4" s="49" t="e">
        <f>Plantilla!#REF!</f>
        <v>#REF!</v>
      </c>
      <c r="H4" s="49" t="e">
        <f>Plantilla!#REF!</f>
        <v>#REF!</v>
      </c>
      <c r="I4" s="49" t="e">
        <f>Plantilla!#REF!</f>
        <v>#REF!</v>
      </c>
      <c r="J4" s="49" t="e">
        <f>Plantilla!#REF!</f>
        <v>#REF!</v>
      </c>
      <c r="K4" s="49" t="e">
        <f>Plantilla!#REF!</f>
        <v>#REF!</v>
      </c>
      <c r="L4" s="114">
        <f>1/4</f>
        <v>0.25</v>
      </c>
      <c r="M4" s="114">
        <f t="shared" ref="M4:M23" si="0">L4/2</f>
        <v>0.125</v>
      </c>
      <c r="N4" s="114">
        <f t="shared" ref="N4:N23" si="1">L4/8</f>
        <v>3.125E-2</v>
      </c>
      <c r="O4" s="49">
        <v>0</v>
      </c>
      <c r="P4" s="48">
        <v>0</v>
      </c>
      <c r="Q4" s="48">
        <v>0</v>
      </c>
      <c r="R4" s="48">
        <f t="shared" ref="R4:R23" si="2">L4*0.286</f>
        <v>7.1499999999999994E-2</v>
      </c>
      <c r="S4" s="48">
        <f t="shared" ref="S4:S23" si="3">L4*(0.588*0.25+0.19*0)/(0.25+0.19)</f>
        <v>8.3522727272727262E-2</v>
      </c>
      <c r="T4" s="48">
        <v>0</v>
      </c>
      <c r="U4" s="48">
        <f t="shared" ref="U4:U23" si="4">L4*(0.574*0.25+0.19*0)/(0.25+0.19)</f>
        <v>8.1534090909090903E-2</v>
      </c>
      <c r="V4" s="48">
        <f t="shared" ref="V4:V23" si="5">L4*(0.864*0.25+0.19*0)/(0.25+0.19)</f>
        <v>0.12272727272727273</v>
      </c>
      <c r="W4" s="48">
        <f t="shared" ref="W4:W23" si="6">L4*(0.144*0.25+0.19*0)/(0.25+0.19)</f>
        <v>2.0454545454545454E-2</v>
      </c>
      <c r="X4" s="48">
        <f t="shared" ref="X4:X23" si="7">L4*(0.221*0.25+0.19*0)/(0.25+0.19)</f>
        <v>3.1392045454545457E-2</v>
      </c>
      <c r="Y4" s="141"/>
      <c r="Z4" s="141">
        <f>R4</f>
        <v>7.1499999999999994E-2</v>
      </c>
      <c r="AA4" s="141">
        <f t="shared" ref="AA4:AA23" si="8">MAX(Z4,Y4)</f>
        <v>7.1499999999999994E-2</v>
      </c>
      <c r="AD4" t="s">
        <v>351</v>
      </c>
      <c r="AE4" s="273" t="s">
        <v>381</v>
      </c>
      <c r="AG4" t="s">
        <v>351</v>
      </c>
      <c r="AH4" s="273" t="str">
        <f>AE4</f>
        <v>B. Pinczehelyi</v>
      </c>
    </row>
    <row r="5" spans="1:34" x14ac:dyDescent="0.25">
      <c r="A5" s="86" t="str">
        <f>Plantilla!A7</f>
        <v>#24</v>
      </c>
      <c r="B5" s="298" t="str">
        <f>Plantilla!D7</f>
        <v>B. Bartolache</v>
      </c>
      <c r="C5" s="86">
        <f>Plantilla!E7</f>
        <v>36</v>
      </c>
      <c r="D5" s="86">
        <f ca="1">Plantilla!F7</f>
        <v>15</v>
      </c>
      <c r="E5" s="49">
        <f>Plantilla!X7</f>
        <v>0</v>
      </c>
      <c r="F5" s="49">
        <f>Plantilla!Y7</f>
        <v>11.95</v>
      </c>
      <c r="G5" s="49">
        <f>Plantilla!Z7</f>
        <v>5.95</v>
      </c>
      <c r="H5" s="49">
        <f>Plantilla!AA7</f>
        <v>6.95</v>
      </c>
      <c r="I5" s="49">
        <f>Plantilla!AB7</f>
        <v>7.95</v>
      </c>
      <c r="J5" s="49">
        <f>Plantilla!AC7</f>
        <v>1.95</v>
      </c>
      <c r="K5" s="49">
        <f>Plantilla!AD7</f>
        <v>16</v>
      </c>
      <c r="L5" s="114">
        <f>1/6</f>
        <v>0.16666666666666666</v>
      </c>
      <c r="M5" s="114">
        <f t="shared" si="0"/>
        <v>8.3333333333333329E-2</v>
      </c>
      <c r="N5" s="114">
        <f t="shared" si="1"/>
        <v>2.0833333333333332E-2</v>
      </c>
      <c r="O5" s="49">
        <v>0</v>
      </c>
      <c r="P5" s="48">
        <v>0</v>
      </c>
      <c r="Q5" s="48">
        <v>0</v>
      </c>
      <c r="R5" s="48">
        <f t="shared" si="2"/>
        <v>4.7666666666666663E-2</v>
      </c>
      <c r="S5" s="48">
        <f t="shared" si="3"/>
        <v>5.5681818181818173E-2</v>
      </c>
      <c r="T5" s="48">
        <v>0</v>
      </c>
      <c r="U5" s="48">
        <f t="shared" si="4"/>
        <v>5.4356060606060595E-2</v>
      </c>
      <c r="V5" s="48">
        <f t="shared" si="5"/>
        <v>8.1818181818181818E-2</v>
      </c>
      <c r="W5" s="48">
        <f t="shared" si="6"/>
        <v>1.3636363636363634E-2</v>
      </c>
      <c r="X5" s="48">
        <f t="shared" si="7"/>
        <v>2.0928030303030299E-2</v>
      </c>
      <c r="Y5" s="141"/>
      <c r="Z5" s="141">
        <f>S5</f>
        <v>5.5681818181818173E-2</v>
      </c>
      <c r="AA5" s="141">
        <f t="shared" si="8"/>
        <v>5.5681818181818173E-2</v>
      </c>
      <c r="AD5" t="s">
        <v>352</v>
      </c>
      <c r="AE5" t="s">
        <v>97</v>
      </c>
      <c r="AG5" t="s">
        <v>363</v>
      </c>
      <c r="AH5" t="s">
        <v>98</v>
      </c>
    </row>
    <row r="6" spans="1:34" x14ac:dyDescent="0.25">
      <c r="A6" s="86" t="str">
        <f>Plantilla!A24</f>
        <v>#10</v>
      </c>
      <c r="B6" s="298" t="str">
        <f>Plantilla!D24</f>
        <v>S. Zobbe</v>
      </c>
      <c r="C6" s="86">
        <f>Plantilla!E24</f>
        <v>32</v>
      </c>
      <c r="D6" s="86">
        <f ca="1">Plantilla!F24</f>
        <v>66</v>
      </c>
      <c r="E6" s="49">
        <f>Plantilla!X24</f>
        <v>0</v>
      </c>
      <c r="F6" s="49">
        <f>Plantilla!Y24</f>
        <v>8.3599999999999977</v>
      </c>
      <c r="G6" s="49">
        <f>Plantilla!Z24</f>
        <v>12.253412698412699</v>
      </c>
      <c r="H6" s="49">
        <f>Plantilla!AA24</f>
        <v>12.95</v>
      </c>
      <c r="I6" s="49">
        <f>Plantilla!AB24</f>
        <v>10.24</v>
      </c>
      <c r="J6" s="49">
        <f>Plantilla!AC24</f>
        <v>6.95</v>
      </c>
      <c r="K6" s="49">
        <f>Plantilla!AD24</f>
        <v>16</v>
      </c>
      <c r="L6" s="114">
        <f>1/9</f>
        <v>0.1111111111111111</v>
      </c>
      <c r="M6" s="114">
        <f t="shared" si="0"/>
        <v>5.5555555555555552E-2</v>
      </c>
      <c r="N6" s="114">
        <f t="shared" si="1"/>
        <v>1.3888888888888888E-2</v>
      </c>
      <c r="O6" s="49">
        <v>0</v>
      </c>
      <c r="P6" s="48">
        <v>0</v>
      </c>
      <c r="Q6" s="48">
        <v>0</v>
      </c>
      <c r="R6" s="48">
        <f t="shared" si="2"/>
        <v>3.1777777777777773E-2</v>
      </c>
      <c r="S6" s="48">
        <f t="shared" si="3"/>
        <v>3.7121212121212117E-2</v>
      </c>
      <c r="T6" s="48">
        <v>0</v>
      </c>
      <c r="U6" s="48">
        <f t="shared" si="4"/>
        <v>3.6237373737373728E-2</v>
      </c>
      <c r="V6" s="48">
        <f t="shared" si="5"/>
        <v>5.4545454545454536E-2</v>
      </c>
      <c r="W6" s="48">
        <f t="shared" si="6"/>
        <v>9.0909090909090887E-3</v>
      </c>
      <c r="X6" s="48">
        <f t="shared" si="7"/>
        <v>1.39520202020202E-2</v>
      </c>
      <c r="Y6" s="141">
        <f>V6</f>
        <v>5.4545454545454536E-2</v>
      </c>
      <c r="Z6" s="141">
        <f>V6</f>
        <v>5.4545454545454536E-2</v>
      </c>
      <c r="AA6" s="141">
        <f t="shared" si="8"/>
        <v>5.4545454545454536E-2</v>
      </c>
      <c r="AD6" t="s">
        <v>351</v>
      </c>
      <c r="AE6" t="s">
        <v>95</v>
      </c>
      <c r="AG6" t="s">
        <v>362</v>
      </c>
      <c r="AH6" t="s">
        <v>95</v>
      </c>
    </row>
    <row r="7" spans="1:34" x14ac:dyDescent="0.25">
      <c r="A7" s="86" t="str">
        <f>Plantilla!A6</f>
        <v>#2</v>
      </c>
      <c r="B7" s="298" t="str">
        <f>Plantilla!D6</f>
        <v>E. Toney</v>
      </c>
      <c r="C7" s="86">
        <f>Plantilla!E6</f>
        <v>36</v>
      </c>
      <c r="D7" s="86">
        <f ca="1">Plantilla!F6</f>
        <v>30</v>
      </c>
      <c r="E7" s="49">
        <f>Plantilla!X6</f>
        <v>0</v>
      </c>
      <c r="F7" s="49">
        <f>Plantilla!Y6</f>
        <v>11.95</v>
      </c>
      <c r="G7" s="49">
        <f>Plantilla!Z6</f>
        <v>12.95</v>
      </c>
      <c r="H7" s="49">
        <f>Plantilla!AA6</f>
        <v>8.9499999999999993</v>
      </c>
      <c r="I7" s="49">
        <f>Plantilla!AB6</f>
        <v>8.9499999999999993</v>
      </c>
      <c r="J7" s="49">
        <f>Plantilla!AC6</f>
        <v>0.95</v>
      </c>
      <c r="K7" s="49">
        <f>Plantilla!AD6</f>
        <v>17.177777777777774</v>
      </c>
      <c r="L7" s="114">
        <f>1/7</f>
        <v>0.14285714285714285</v>
      </c>
      <c r="M7" s="114">
        <f t="shared" si="0"/>
        <v>7.1428571428571425E-2</v>
      </c>
      <c r="N7" s="114">
        <f t="shared" si="1"/>
        <v>1.7857142857142856E-2</v>
      </c>
      <c r="O7" s="49">
        <v>0</v>
      </c>
      <c r="P7" s="48">
        <v>0</v>
      </c>
      <c r="Q7" s="48">
        <v>0</v>
      </c>
      <c r="R7" s="48">
        <f t="shared" si="2"/>
        <v>4.0857142857142849E-2</v>
      </c>
      <c r="S7" s="48">
        <f t="shared" si="3"/>
        <v>4.7727272727272722E-2</v>
      </c>
      <c r="T7" s="48">
        <v>0</v>
      </c>
      <c r="U7" s="48">
        <f t="shared" si="4"/>
        <v>4.6590909090909086E-2</v>
      </c>
      <c r="V7" s="48">
        <f t="shared" si="5"/>
        <v>7.0129870129870125E-2</v>
      </c>
      <c r="W7" s="48">
        <f t="shared" si="6"/>
        <v>1.1688311688311687E-2</v>
      </c>
      <c r="X7" s="48">
        <f t="shared" si="7"/>
        <v>1.7938311688311687E-2</v>
      </c>
      <c r="Y7" s="141">
        <f>S7</f>
        <v>4.7727272727272722E-2</v>
      </c>
      <c r="Z7" s="141">
        <f>S7</f>
        <v>4.7727272727272722E-2</v>
      </c>
      <c r="AA7" s="141">
        <f t="shared" si="8"/>
        <v>4.7727272727272722E-2</v>
      </c>
      <c r="AD7" t="s">
        <v>221</v>
      </c>
      <c r="AE7" t="s">
        <v>291</v>
      </c>
      <c r="AG7" t="s">
        <v>363</v>
      </c>
      <c r="AH7" t="s">
        <v>99</v>
      </c>
    </row>
    <row r="8" spans="1:34" x14ac:dyDescent="0.25">
      <c r="A8" s="86" t="str">
        <f>Plantilla!A9</f>
        <v>#7</v>
      </c>
      <c r="B8" s="299" t="str">
        <f>Plantilla!D9</f>
        <v>E. Romweber</v>
      </c>
      <c r="C8" s="86">
        <f>Plantilla!E9</f>
        <v>35</v>
      </c>
      <c r="D8" s="86">
        <f ca="1">Plantilla!F9</f>
        <v>104</v>
      </c>
      <c r="E8" s="49">
        <f>Plantilla!X9</f>
        <v>0</v>
      </c>
      <c r="F8" s="49">
        <f>Plantilla!Y9</f>
        <v>11.95</v>
      </c>
      <c r="G8" s="49">
        <f>Plantilla!Z9</f>
        <v>11.95</v>
      </c>
      <c r="H8" s="49">
        <f>Plantilla!AA9</f>
        <v>12.95</v>
      </c>
      <c r="I8" s="49">
        <f>Plantilla!AB9</f>
        <v>9.9499999999999993</v>
      </c>
      <c r="J8" s="49">
        <f>Plantilla!AC9</f>
        <v>5.95</v>
      </c>
      <c r="K8" s="49">
        <f>Plantilla!AD9</f>
        <v>17.529999999999998</v>
      </c>
      <c r="L8" s="114">
        <f>1/12</f>
        <v>8.3333333333333329E-2</v>
      </c>
      <c r="M8" s="114">
        <f t="shared" si="0"/>
        <v>4.1666666666666664E-2</v>
      </c>
      <c r="N8" s="114">
        <f t="shared" si="1"/>
        <v>1.0416666666666666E-2</v>
      </c>
      <c r="O8" s="49">
        <v>0</v>
      </c>
      <c r="P8" s="48">
        <v>0</v>
      </c>
      <c r="Q8" s="48">
        <v>0</v>
      </c>
      <c r="R8" s="48">
        <f t="shared" si="2"/>
        <v>2.3833333333333331E-2</v>
      </c>
      <c r="S8" s="48">
        <f t="shared" si="3"/>
        <v>2.7840909090909086E-2</v>
      </c>
      <c r="T8" s="48">
        <v>0</v>
      </c>
      <c r="U8" s="48">
        <f t="shared" si="4"/>
        <v>2.7178030303030298E-2</v>
      </c>
      <c r="V8" s="48">
        <f t="shared" si="5"/>
        <v>4.0909090909090909E-2</v>
      </c>
      <c r="W8" s="48">
        <f t="shared" si="6"/>
        <v>6.818181818181817E-3</v>
      </c>
      <c r="X8" s="48">
        <f t="shared" si="7"/>
        <v>1.046401515151515E-2</v>
      </c>
      <c r="Y8" s="141">
        <f>V8</f>
        <v>4.0909090909090909E-2</v>
      </c>
      <c r="Z8" s="141">
        <f>V8</f>
        <v>4.0909090909090909E-2</v>
      </c>
      <c r="AA8" s="141">
        <f t="shared" si="8"/>
        <v>4.0909090909090909E-2</v>
      </c>
      <c r="AD8" t="s">
        <v>353</v>
      </c>
      <c r="AE8" t="s">
        <v>169</v>
      </c>
      <c r="AG8" t="s">
        <v>351</v>
      </c>
      <c r="AH8" t="s">
        <v>364</v>
      </c>
    </row>
    <row r="9" spans="1:34" x14ac:dyDescent="0.25">
      <c r="A9" s="86" t="str">
        <f>Plantilla!A23</f>
        <v>#11</v>
      </c>
      <c r="B9" s="299" t="str">
        <f>Plantilla!D23</f>
        <v>K. Helms</v>
      </c>
      <c r="C9" s="86">
        <f>Plantilla!E23</f>
        <v>35</v>
      </c>
      <c r="D9" s="86">
        <f ca="1">Plantilla!F23</f>
        <v>51</v>
      </c>
      <c r="E9" s="49">
        <f>Plantilla!X23</f>
        <v>0</v>
      </c>
      <c r="F9" s="49">
        <f>Plantilla!Y23</f>
        <v>7.2503030303030309</v>
      </c>
      <c r="G9" s="49">
        <f>Plantilla!Z23</f>
        <v>10.600000000000005</v>
      </c>
      <c r="H9" s="49">
        <f>Plantilla!AA23</f>
        <v>12.95</v>
      </c>
      <c r="I9" s="49">
        <f>Plantilla!AB23</f>
        <v>9.9499999999999993</v>
      </c>
      <c r="J9" s="49">
        <f>Plantilla!AC23</f>
        <v>3.95</v>
      </c>
      <c r="K9" s="49">
        <f>Plantilla!AD23</f>
        <v>18</v>
      </c>
      <c r="L9" s="114">
        <f>1/12</f>
        <v>8.3333333333333329E-2</v>
      </c>
      <c r="M9" s="114">
        <f t="shared" si="0"/>
        <v>4.1666666666666664E-2</v>
      </c>
      <c r="N9" s="114">
        <f t="shared" si="1"/>
        <v>1.0416666666666666E-2</v>
      </c>
      <c r="O9" s="49">
        <v>0</v>
      </c>
      <c r="P9" s="48">
        <v>0</v>
      </c>
      <c r="Q9" s="48">
        <v>0</v>
      </c>
      <c r="R9" s="48">
        <f t="shared" si="2"/>
        <v>2.3833333333333331E-2</v>
      </c>
      <c r="S9" s="48">
        <f t="shared" si="3"/>
        <v>2.7840909090909086E-2</v>
      </c>
      <c r="T9" s="48">
        <v>0</v>
      </c>
      <c r="U9" s="48">
        <f t="shared" si="4"/>
        <v>2.7178030303030298E-2</v>
      </c>
      <c r="V9" s="48">
        <f t="shared" si="5"/>
        <v>4.0909090909090909E-2</v>
      </c>
      <c r="W9" s="48">
        <f t="shared" si="6"/>
        <v>6.818181818181817E-3</v>
      </c>
      <c r="X9" s="48">
        <f t="shared" si="7"/>
        <v>1.046401515151515E-2</v>
      </c>
      <c r="Y9" s="141">
        <f>V9</f>
        <v>4.0909090909090909E-2</v>
      </c>
      <c r="Z9" s="141">
        <f>V9</f>
        <v>4.0909090909090909E-2</v>
      </c>
      <c r="AA9" s="141">
        <f t="shared" si="8"/>
        <v>4.0909090909090909E-2</v>
      </c>
      <c r="AD9" t="s">
        <v>221</v>
      </c>
      <c r="AE9" t="s">
        <v>101</v>
      </c>
      <c r="AG9" t="s">
        <v>221</v>
      </c>
      <c r="AH9" t="s">
        <v>101</v>
      </c>
    </row>
    <row r="10" spans="1:34" x14ac:dyDescent="0.25">
      <c r="A10" s="86" t="e">
        <f>Plantilla!#REF!</f>
        <v>#REF!</v>
      </c>
      <c r="B10" s="299" t="e">
        <f>Plantilla!#REF!</f>
        <v>#REF!</v>
      </c>
      <c r="C10" s="86" t="e">
        <f>Plantilla!#REF!</f>
        <v>#REF!</v>
      </c>
      <c r="D10" s="86" t="e">
        <f>Plantilla!#REF!</f>
        <v>#REF!</v>
      </c>
      <c r="E10" s="49" t="e">
        <f>Plantilla!#REF!</f>
        <v>#REF!</v>
      </c>
      <c r="F10" s="49" t="e">
        <f>Plantilla!#REF!</f>
        <v>#REF!</v>
      </c>
      <c r="G10" s="49" t="e">
        <f>Plantilla!#REF!</f>
        <v>#REF!</v>
      </c>
      <c r="H10" s="49" t="e">
        <f>Plantilla!#REF!</f>
        <v>#REF!</v>
      </c>
      <c r="I10" s="49" t="e">
        <f>Plantilla!#REF!</f>
        <v>#REF!</v>
      </c>
      <c r="J10" s="49" t="e">
        <f>Plantilla!#REF!</f>
        <v>#REF!</v>
      </c>
      <c r="K10" s="49" t="e">
        <f>Plantilla!#REF!</f>
        <v>#REF!</v>
      </c>
      <c r="L10" s="114">
        <f>1/8</f>
        <v>0.125</v>
      </c>
      <c r="M10" s="114">
        <f t="shared" si="0"/>
        <v>6.25E-2</v>
      </c>
      <c r="N10" s="114">
        <f t="shared" si="1"/>
        <v>1.5625E-2</v>
      </c>
      <c r="O10" s="49">
        <v>0</v>
      </c>
      <c r="P10" s="48">
        <v>0</v>
      </c>
      <c r="Q10" s="48">
        <v>0</v>
      </c>
      <c r="R10" s="48">
        <f t="shared" si="2"/>
        <v>3.5749999999999997E-2</v>
      </c>
      <c r="S10" s="48">
        <f t="shared" si="3"/>
        <v>4.1761363636363631E-2</v>
      </c>
      <c r="T10" s="48">
        <v>0</v>
      </c>
      <c r="U10" s="48">
        <f t="shared" si="4"/>
        <v>4.0767045454545452E-2</v>
      </c>
      <c r="V10" s="48">
        <f t="shared" si="5"/>
        <v>6.1363636363636363E-2</v>
      </c>
      <c r="W10" s="48">
        <f t="shared" si="6"/>
        <v>1.0227272727272727E-2</v>
      </c>
      <c r="X10" s="48">
        <f t="shared" si="7"/>
        <v>1.5696022727272729E-2</v>
      </c>
      <c r="Y10" s="141">
        <f>U10</f>
        <v>4.0767045454545452E-2</v>
      </c>
      <c r="Z10" s="141">
        <f>U10</f>
        <v>4.0767045454545452E-2</v>
      </c>
      <c r="AA10" s="141">
        <f t="shared" si="8"/>
        <v>4.0767045454545452E-2</v>
      </c>
      <c r="AD10" t="s">
        <v>354</v>
      </c>
      <c r="AE10" t="s">
        <v>364</v>
      </c>
      <c r="AG10" t="s">
        <v>221</v>
      </c>
      <c r="AH10" t="s">
        <v>291</v>
      </c>
    </row>
    <row r="11" spans="1:34" x14ac:dyDescent="0.25">
      <c r="A11" s="86" t="str">
        <f>Plantilla!A10</f>
        <v>#6</v>
      </c>
      <c r="B11" s="299" t="str">
        <f>Plantilla!D10</f>
        <v>S. Buschelman</v>
      </c>
      <c r="C11" s="86">
        <f>Plantilla!E10</f>
        <v>34</v>
      </c>
      <c r="D11" s="86">
        <f ca="1">Plantilla!F10</f>
        <v>63</v>
      </c>
      <c r="E11" s="49">
        <f>Plantilla!X10</f>
        <v>0</v>
      </c>
      <c r="F11" s="49">
        <f>Plantilla!Y10</f>
        <v>9.3036666666666648</v>
      </c>
      <c r="G11" s="49">
        <f>Plantilla!Z10</f>
        <v>14</v>
      </c>
      <c r="H11" s="49">
        <f>Plantilla!AA10</f>
        <v>12.945</v>
      </c>
      <c r="I11" s="49">
        <f>Plantilla!AB10</f>
        <v>9.9499999999999993</v>
      </c>
      <c r="J11" s="49">
        <f>Plantilla!AC10</f>
        <v>3.95</v>
      </c>
      <c r="K11" s="49">
        <f>Plantilla!AD10</f>
        <v>16</v>
      </c>
      <c r="L11" s="114">
        <f>1/9</f>
        <v>0.1111111111111111</v>
      </c>
      <c r="M11" s="114">
        <f t="shared" si="0"/>
        <v>5.5555555555555552E-2</v>
      </c>
      <c r="N11" s="114">
        <f t="shared" si="1"/>
        <v>1.3888888888888888E-2</v>
      </c>
      <c r="O11" s="49">
        <v>0</v>
      </c>
      <c r="P11" s="48">
        <v>0</v>
      </c>
      <c r="Q11" s="48">
        <v>0</v>
      </c>
      <c r="R11" s="48">
        <f t="shared" si="2"/>
        <v>3.1777777777777773E-2</v>
      </c>
      <c r="S11" s="48">
        <f t="shared" si="3"/>
        <v>3.7121212121212117E-2</v>
      </c>
      <c r="T11" s="48">
        <v>0</v>
      </c>
      <c r="U11" s="48">
        <f t="shared" si="4"/>
        <v>3.6237373737373728E-2</v>
      </c>
      <c r="V11" s="48">
        <f t="shared" si="5"/>
        <v>5.4545454545454536E-2</v>
      </c>
      <c r="W11" s="48">
        <f t="shared" si="6"/>
        <v>9.0909090909090887E-3</v>
      </c>
      <c r="X11" s="48">
        <f t="shared" si="7"/>
        <v>1.39520202020202E-2</v>
      </c>
      <c r="Y11" s="141">
        <f>U11</f>
        <v>3.6237373737373728E-2</v>
      </c>
      <c r="Z11" s="141">
        <f>U11</f>
        <v>3.6237373737373728E-2</v>
      </c>
      <c r="AA11" s="141">
        <f t="shared" si="8"/>
        <v>3.6237373737373728E-2</v>
      </c>
      <c r="AD11" t="s">
        <v>354</v>
      </c>
      <c r="AE11" t="s">
        <v>107</v>
      </c>
      <c r="AG11" t="s">
        <v>354</v>
      </c>
      <c r="AH11" t="s">
        <v>107</v>
      </c>
    </row>
    <row r="12" spans="1:34" x14ac:dyDescent="0.25">
      <c r="A12" s="86" t="e">
        <f>Plantilla!#REF!</f>
        <v>#REF!</v>
      </c>
      <c r="B12" s="62" t="e">
        <f>Plantilla!#REF!</f>
        <v>#REF!</v>
      </c>
      <c r="C12" s="86" t="e">
        <f>Plantilla!#REF!</f>
        <v>#REF!</v>
      </c>
      <c r="D12" s="86" t="e">
        <f>Plantilla!#REF!</f>
        <v>#REF!</v>
      </c>
      <c r="E12" s="49" t="e">
        <f>Plantilla!#REF!</f>
        <v>#REF!</v>
      </c>
      <c r="F12" s="49" t="e">
        <f>Plantilla!#REF!</f>
        <v>#REF!</v>
      </c>
      <c r="G12" s="49" t="e">
        <f>Plantilla!#REF!</f>
        <v>#REF!</v>
      </c>
      <c r="H12" s="49" t="e">
        <f>Plantilla!#REF!</f>
        <v>#REF!</v>
      </c>
      <c r="I12" s="49" t="e">
        <f>Plantilla!#REF!</f>
        <v>#REF!</v>
      </c>
      <c r="J12" s="49" t="e">
        <f>Plantilla!#REF!</f>
        <v>#REF!</v>
      </c>
      <c r="K12" s="49" t="e">
        <f>Plantilla!#REF!</f>
        <v>#REF!</v>
      </c>
      <c r="L12" s="114">
        <f>1/10</f>
        <v>0.1</v>
      </c>
      <c r="M12" s="114">
        <f t="shared" si="0"/>
        <v>0.05</v>
      </c>
      <c r="N12" s="114">
        <f t="shared" si="1"/>
        <v>1.2500000000000001E-2</v>
      </c>
      <c r="O12" s="49">
        <v>0</v>
      </c>
      <c r="P12" s="48">
        <v>0</v>
      </c>
      <c r="Q12" s="48">
        <v>0</v>
      </c>
      <c r="R12" s="48">
        <f t="shared" si="2"/>
        <v>2.86E-2</v>
      </c>
      <c r="S12" s="48">
        <f t="shared" si="3"/>
        <v>3.3409090909090909E-2</v>
      </c>
      <c r="T12" s="48">
        <v>0</v>
      </c>
      <c r="U12" s="48">
        <f t="shared" si="4"/>
        <v>3.2613636363636365E-2</v>
      </c>
      <c r="V12" s="48">
        <f t="shared" si="5"/>
        <v>4.9090909090909095E-2</v>
      </c>
      <c r="W12" s="48">
        <f t="shared" si="6"/>
        <v>8.1818181818181807E-3</v>
      </c>
      <c r="X12" s="48">
        <f t="shared" si="7"/>
        <v>1.2556818181818183E-2</v>
      </c>
      <c r="Y12" s="141">
        <f>U12</f>
        <v>3.2613636363636365E-2</v>
      </c>
      <c r="Z12" s="141">
        <f>U12</f>
        <v>3.2613636363636365E-2</v>
      </c>
      <c r="AA12" s="141">
        <f t="shared" si="8"/>
        <v>3.2613636363636365E-2</v>
      </c>
      <c r="AD12" t="s">
        <v>64</v>
      </c>
      <c r="AE12" t="s">
        <v>102</v>
      </c>
      <c r="AG12" t="s">
        <v>354</v>
      </c>
      <c r="AH12" t="s">
        <v>225</v>
      </c>
    </row>
    <row r="13" spans="1:34" x14ac:dyDescent="0.25">
      <c r="A13" s="86" t="e">
        <f>Plantilla!#REF!</f>
        <v>#REF!</v>
      </c>
      <c r="B13" s="62" t="e">
        <f>Plantilla!#REF!</f>
        <v>#REF!</v>
      </c>
      <c r="C13" s="86" t="e">
        <f>Plantilla!#REF!</f>
        <v>#REF!</v>
      </c>
      <c r="D13" s="86" t="e">
        <f>Plantilla!#REF!</f>
        <v>#REF!</v>
      </c>
      <c r="E13" s="49" t="e">
        <f>Plantilla!#REF!</f>
        <v>#REF!</v>
      </c>
      <c r="F13" s="49" t="e">
        <f>Plantilla!#REF!</f>
        <v>#REF!</v>
      </c>
      <c r="G13" s="49" t="e">
        <f>Plantilla!#REF!</f>
        <v>#REF!</v>
      </c>
      <c r="H13" s="49" t="e">
        <f>Plantilla!#REF!</f>
        <v>#REF!</v>
      </c>
      <c r="I13" s="49" t="e">
        <f>Plantilla!#REF!</f>
        <v>#REF!</v>
      </c>
      <c r="J13" s="49" t="e">
        <f>Plantilla!#REF!</f>
        <v>#REF!</v>
      </c>
      <c r="K13" s="49" t="e">
        <f>Plantilla!#REF!</f>
        <v>#REF!</v>
      </c>
      <c r="L13" s="114">
        <f>1/3</f>
        <v>0.33333333333333331</v>
      </c>
      <c r="M13" s="114">
        <f t="shared" si="0"/>
        <v>0.16666666666666666</v>
      </c>
      <c r="N13" s="114">
        <f t="shared" si="1"/>
        <v>4.1666666666666664E-2</v>
      </c>
      <c r="O13" s="49">
        <v>0</v>
      </c>
      <c r="P13" s="48">
        <v>0</v>
      </c>
      <c r="Q13" s="48">
        <v>0</v>
      </c>
      <c r="R13" s="48">
        <f t="shared" si="2"/>
        <v>9.5333333333333325E-2</v>
      </c>
      <c r="S13" s="48">
        <f t="shared" si="3"/>
        <v>0.11136363636363635</v>
      </c>
      <c r="T13" s="48">
        <v>0</v>
      </c>
      <c r="U13" s="48">
        <f t="shared" si="4"/>
        <v>0.10871212121212119</v>
      </c>
      <c r="V13" s="48">
        <f t="shared" si="5"/>
        <v>0.16363636363636364</v>
      </c>
      <c r="W13" s="48">
        <f t="shared" si="6"/>
        <v>2.7272727272727268E-2</v>
      </c>
      <c r="X13" s="48">
        <f t="shared" si="7"/>
        <v>4.1856060606060598E-2</v>
      </c>
      <c r="Y13" s="141">
        <f>W13</f>
        <v>2.7272727272727268E-2</v>
      </c>
      <c r="Z13" s="141">
        <f>W13</f>
        <v>2.7272727272727268E-2</v>
      </c>
      <c r="AA13" s="141">
        <f t="shared" si="8"/>
        <v>2.7272727272727268E-2</v>
      </c>
      <c r="AD13" t="s">
        <v>64</v>
      </c>
      <c r="AE13" t="s">
        <v>225</v>
      </c>
      <c r="AG13" t="s">
        <v>64</v>
      </c>
      <c r="AH13" t="s">
        <v>102</v>
      </c>
    </row>
    <row r="14" spans="1:34" x14ac:dyDescent="0.25">
      <c r="A14" s="86" t="str">
        <f>Plantilla!A25</f>
        <v>#5</v>
      </c>
      <c r="B14" s="62" t="str">
        <f>Plantilla!D25</f>
        <v>L. Bauman</v>
      </c>
      <c r="C14" s="86">
        <f>Plantilla!E25</f>
        <v>35</v>
      </c>
      <c r="D14" s="86">
        <f ca="1">Plantilla!F25</f>
        <v>66</v>
      </c>
      <c r="E14" s="49">
        <f>Plantilla!X25</f>
        <v>0</v>
      </c>
      <c r="F14" s="49">
        <f>Plantilla!Y25</f>
        <v>5.95</v>
      </c>
      <c r="G14" s="49">
        <f>Plantilla!Z25</f>
        <v>14.1</v>
      </c>
      <c r="H14" s="49">
        <f>Plantilla!AA25</f>
        <v>2.95</v>
      </c>
      <c r="I14" s="49">
        <f>Plantilla!AB25</f>
        <v>8.9499999999999993</v>
      </c>
      <c r="J14" s="49">
        <f>Plantilla!AC25</f>
        <v>5.95</v>
      </c>
      <c r="K14" s="49">
        <f>Plantilla!AD25</f>
        <v>16.95</v>
      </c>
      <c r="L14" s="114">
        <f>1/3</f>
        <v>0.33333333333333331</v>
      </c>
      <c r="M14" s="114">
        <f t="shared" si="0"/>
        <v>0.16666666666666666</v>
      </c>
      <c r="N14" s="114">
        <f t="shared" si="1"/>
        <v>4.1666666666666664E-2</v>
      </c>
      <c r="O14" s="49">
        <v>0</v>
      </c>
      <c r="P14" s="48">
        <v>0</v>
      </c>
      <c r="Q14" s="48">
        <v>0</v>
      </c>
      <c r="R14" s="48">
        <f t="shared" si="2"/>
        <v>9.5333333333333325E-2</v>
      </c>
      <c r="S14" s="48">
        <f t="shared" si="3"/>
        <v>0.11136363636363635</v>
      </c>
      <c r="T14" s="48">
        <v>0</v>
      </c>
      <c r="U14" s="48">
        <f t="shared" si="4"/>
        <v>0.10871212121212119</v>
      </c>
      <c r="V14" s="48">
        <f t="shared" si="5"/>
        <v>0.16363636363636364</v>
      </c>
      <c r="W14" s="48">
        <f t="shared" si="6"/>
        <v>2.7272727272727268E-2</v>
      </c>
      <c r="X14" s="48">
        <f t="shared" si="7"/>
        <v>4.1856060606060598E-2</v>
      </c>
      <c r="Y14" s="141">
        <f>T14</f>
        <v>0</v>
      </c>
      <c r="Z14" s="141">
        <f>W14</f>
        <v>2.7272727272727268E-2</v>
      </c>
      <c r="AA14" s="141">
        <f t="shared" si="8"/>
        <v>2.7272727272727268E-2</v>
      </c>
    </row>
    <row r="15" spans="1:34" x14ac:dyDescent="0.25">
      <c r="A15" s="86" t="e">
        <f>Plantilla!#REF!</f>
        <v>#REF!</v>
      </c>
      <c r="B15" s="62" t="e">
        <f>Plantilla!#REF!</f>
        <v>#REF!</v>
      </c>
      <c r="C15" s="86" t="e">
        <f>Plantilla!#REF!</f>
        <v>#REF!</v>
      </c>
      <c r="D15" s="86" t="e">
        <f>Plantilla!#REF!</f>
        <v>#REF!</v>
      </c>
      <c r="E15" s="49" t="e">
        <f>Plantilla!#REF!</f>
        <v>#REF!</v>
      </c>
      <c r="F15" s="49" t="e">
        <f>Plantilla!#REF!</f>
        <v>#REF!</v>
      </c>
      <c r="G15" s="49" t="e">
        <f>Plantilla!#REF!</f>
        <v>#REF!</v>
      </c>
      <c r="H15" s="49" t="e">
        <f>Plantilla!#REF!</f>
        <v>#REF!</v>
      </c>
      <c r="I15" s="49" t="e">
        <f>Plantilla!#REF!</f>
        <v>#REF!</v>
      </c>
      <c r="J15" s="49" t="e">
        <f>Plantilla!#REF!</f>
        <v>#REF!</v>
      </c>
      <c r="K15" s="49" t="e">
        <f>Plantilla!#REF!</f>
        <v>#REF!</v>
      </c>
      <c r="L15" s="114">
        <f>1/15</f>
        <v>6.6666666666666666E-2</v>
      </c>
      <c r="M15" s="114">
        <f t="shared" si="0"/>
        <v>3.3333333333333333E-2</v>
      </c>
      <c r="N15" s="114">
        <f t="shared" si="1"/>
        <v>8.3333333333333332E-3</v>
      </c>
      <c r="O15" s="49">
        <v>0</v>
      </c>
      <c r="P15" s="48">
        <v>0</v>
      </c>
      <c r="Q15" s="48">
        <v>0</v>
      </c>
      <c r="R15" s="48">
        <f t="shared" si="2"/>
        <v>1.9066666666666666E-2</v>
      </c>
      <c r="S15" s="48">
        <f t="shared" si="3"/>
        <v>2.227272727272727E-2</v>
      </c>
      <c r="T15" s="48">
        <v>0</v>
      </c>
      <c r="U15" s="48">
        <f t="shared" si="4"/>
        <v>2.174242424242424E-2</v>
      </c>
      <c r="V15" s="48">
        <f t="shared" si="5"/>
        <v>3.2727272727272723E-2</v>
      </c>
      <c r="W15" s="48">
        <f t="shared" si="6"/>
        <v>5.4545454545454541E-3</v>
      </c>
      <c r="X15" s="48">
        <f t="shared" si="7"/>
        <v>8.3712121212121213E-3</v>
      </c>
      <c r="Y15" s="141">
        <f>S15</f>
        <v>2.227272727272727E-2</v>
      </c>
      <c r="Z15" s="141">
        <f>S15</f>
        <v>2.227272727272727E-2</v>
      </c>
      <c r="AA15" s="141">
        <f t="shared" si="8"/>
        <v>2.227272727272727E-2</v>
      </c>
    </row>
    <row r="16" spans="1:34" x14ac:dyDescent="0.25">
      <c r="A16" s="86" t="str">
        <f>Plantilla!A26</f>
        <v>#9</v>
      </c>
      <c r="B16" s="62" t="str">
        <f>Plantilla!D26</f>
        <v>J. Limon</v>
      </c>
      <c r="C16" s="86">
        <f>Plantilla!E26</f>
        <v>34</v>
      </c>
      <c r="D16" s="86">
        <f ca="1">Plantilla!F26</f>
        <v>103</v>
      </c>
      <c r="E16" s="49">
        <f>Plantilla!X26</f>
        <v>0</v>
      </c>
      <c r="F16" s="49">
        <f>Plantilla!Y26</f>
        <v>6.8376190476190493</v>
      </c>
      <c r="G16" s="49">
        <f>Plantilla!Z26</f>
        <v>8.9499999999999993</v>
      </c>
      <c r="H16" s="49">
        <f>Plantilla!AA26</f>
        <v>8.7399999999999967</v>
      </c>
      <c r="I16" s="49">
        <f>Plantilla!AB26</f>
        <v>9.9499999999999993</v>
      </c>
      <c r="J16" s="49">
        <f>Plantilla!AC26</f>
        <v>6.95</v>
      </c>
      <c r="K16" s="49">
        <f>Plantilla!AD26</f>
        <v>18.999999999999993</v>
      </c>
      <c r="L16" s="114">
        <f>1/5</f>
        <v>0.2</v>
      </c>
      <c r="M16" s="114">
        <f t="shared" si="0"/>
        <v>0.1</v>
      </c>
      <c r="N16" s="114">
        <f t="shared" si="1"/>
        <v>2.5000000000000001E-2</v>
      </c>
      <c r="O16" s="49">
        <v>0</v>
      </c>
      <c r="P16" s="48">
        <v>0</v>
      </c>
      <c r="Q16" s="48">
        <v>0</v>
      </c>
      <c r="R16" s="48">
        <f t="shared" si="2"/>
        <v>5.7200000000000001E-2</v>
      </c>
      <c r="S16" s="48">
        <f t="shared" si="3"/>
        <v>6.6818181818181818E-2</v>
      </c>
      <c r="T16" s="48">
        <v>0</v>
      </c>
      <c r="U16" s="48">
        <f t="shared" si="4"/>
        <v>6.5227272727272731E-2</v>
      </c>
      <c r="V16" s="48">
        <f t="shared" si="5"/>
        <v>9.818181818181819E-2</v>
      </c>
      <c r="W16" s="48">
        <f t="shared" si="6"/>
        <v>1.6363636363636361E-2</v>
      </c>
      <c r="X16" s="48">
        <f t="shared" si="7"/>
        <v>2.5113636363636366E-2</v>
      </c>
      <c r="Y16" s="141">
        <f>W16</f>
        <v>1.6363636363636361E-2</v>
      </c>
      <c r="Z16" s="141"/>
      <c r="AA16" s="141">
        <f t="shared" si="8"/>
        <v>1.6363636363636361E-2</v>
      </c>
    </row>
    <row r="17" spans="1:27" x14ac:dyDescent="0.25">
      <c r="A17" s="86" t="str">
        <f>Plantilla!A27</f>
        <v>#15</v>
      </c>
      <c r="B17" s="62" t="str">
        <f>Plantilla!D27</f>
        <v>P .Trivadi</v>
      </c>
      <c r="C17" s="86">
        <f>Plantilla!E27</f>
        <v>32</v>
      </c>
      <c r="D17" s="86">
        <f ca="1">Plantilla!F27</f>
        <v>22</v>
      </c>
      <c r="E17" s="49">
        <f>Plantilla!X27</f>
        <v>0</v>
      </c>
      <c r="F17" s="49">
        <f>Plantilla!Y27</f>
        <v>4.0199999999999996</v>
      </c>
      <c r="G17" s="49">
        <f>Plantilla!Z27</f>
        <v>6</v>
      </c>
      <c r="H17" s="49">
        <f>Plantilla!AA27</f>
        <v>5.5099999999999989</v>
      </c>
      <c r="I17" s="49">
        <f>Plantilla!AB27</f>
        <v>10.95</v>
      </c>
      <c r="J17" s="49">
        <f>Plantilla!AC27</f>
        <v>7.95</v>
      </c>
      <c r="K17" s="49">
        <f>Plantilla!AD27</f>
        <v>14</v>
      </c>
      <c r="L17" s="114">
        <f>1/5</f>
        <v>0.2</v>
      </c>
      <c r="M17" s="114">
        <f t="shared" si="0"/>
        <v>0.1</v>
      </c>
      <c r="N17" s="114">
        <f t="shared" si="1"/>
        <v>2.5000000000000001E-2</v>
      </c>
      <c r="O17" s="49">
        <v>0</v>
      </c>
      <c r="P17" s="48">
        <v>0</v>
      </c>
      <c r="Q17" s="48">
        <v>0</v>
      </c>
      <c r="R17" s="48">
        <f t="shared" si="2"/>
        <v>5.7200000000000001E-2</v>
      </c>
      <c r="S17" s="48">
        <f t="shared" si="3"/>
        <v>6.6818181818181818E-2</v>
      </c>
      <c r="T17" s="48">
        <v>0</v>
      </c>
      <c r="U17" s="48">
        <f t="shared" si="4"/>
        <v>6.5227272727272731E-2</v>
      </c>
      <c r="V17" s="48">
        <f t="shared" si="5"/>
        <v>9.818181818181819E-2</v>
      </c>
      <c r="W17" s="48">
        <f t="shared" si="6"/>
        <v>1.6363636363636361E-2</v>
      </c>
      <c r="X17" s="48">
        <f t="shared" si="7"/>
        <v>2.5113636363636366E-2</v>
      </c>
      <c r="Y17" s="141">
        <v>0</v>
      </c>
      <c r="Z17" s="141">
        <v>0</v>
      </c>
      <c r="AA17" s="141">
        <f t="shared" si="8"/>
        <v>0</v>
      </c>
    </row>
    <row r="18" spans="1:27" x14ac:dyDescent="0.25">
      <c r="A18" s="86" t="str">
        <f>Plantilla!A4</f>
        <v>#1</v>
      </c>
      <c r="B18" s="86" t="str">
        <f>Plantilla!D4</f>
        <v>D. Gehmacher</v>
      </c>
      <c r="C18" s="86">
        <f>Plantilla!E4</f>
        <v>35</v>
      </c>
      <c r="D18" s="86">
        <f ca="1">Plantilla!F4</f>
        <v>19</v>
      </c>
      <c r="E18" s="49">
        <f>Plantilla!X4</f>
        <v>16.666666666666668</v>
      </c>
      <c r="F18" s="49">
        <f>Plantilla!Y4</f>
        <v>11.95</v>
      </c>
      <c r="G18" s="49">
        <f>Plantilla!Z4</f>
        <v>2.0699999999999985</v>
      </c>
      <c r="H18" s="49">
        <f>Plantilla!AA4</f>
        <v>2.149999999999999</v>
      </c>
      <c r="I18" s="49">
        <f>Plantilla!AB4</f>
        <v>0.95</v>
      </c>
      <c r="J18" s="49">
        <f>Plantilla!AC4</f>
        <v>0</v>
      </c>
      <c r="K18" s="49">
        <f>Plantilla!AD4</f>
        <v>18.2</v>
      </c>
      <c r="L18" s="114">
        <f>0</f>
        <v>0</v>
      </c>
      <c r="M18" s="114">
        <f t="shared" si="0"/>
        <v>0</v>
      </c>
      <c r="N18" s="114">
        <f t="shared" si="1"/>
        <v>0</v>
      </c>
      <c r="O18" s="49">
        <v>0</v>
      </c>
      <c r="P18" s="48">
        <v>0</v>
      </c>
      <c r="Q18" s="48">
        <v>0</v>
      </c>
      <c r="R18" s="48">
        <f t="shared" si="2"/>
        <v>0</v>
      </c>
      <c r="S18" s="48">
        <f t="shared" si="3"/>
        <v>0</v>
      </c>
      <c r="T18" s="48">
        <v>0</v>
      </c>
      <c r="U18" s="48">
        <f t="shared" si="4"/>
        <v>0</v>
      </c>
      <c r="V18" s="48">
        <f t="shared" si="5"/>
        <v>0</v>
      </c>
      <c r="W18" s="48">
        <f t="shared" si="6"/>
        <v>0</v>
      </c>
      <c r="X18" s="48">
        <f t="shared" si="7"/>
        <v>0</v>
      </c>
      <c r="Y18" s="141">
        <f>L18</f>
        <v>0</v>
      </c>
      <c r="Z18" s="141">
        <f>L18</f>
        <v>0</v>
      </c>
      <c r="AA18" s="141">
        <f t="shared" si="8"/>
        <v>0</v>
      </c>
    </row>
    <row r="19" spans="1:27" x14ac:dyDescent="0.25">
      <c r="A19" s="86" t="str">
        <f>Plantilla!A11</f>
        <v>#12</v>
      </c>
      <c r="B19" s="86" t="str">
        <f>Plantilla!D11</f>
        <v>E. Gross</v>
      </c>
      <c r="C19" s="86">
        <f>Plantilla!E11</f>
        <v>35</v>
      </c>
      <c r="D19" s="86">
        <f ca="1">Plantilla!F11</f>
        <v>91</v>
      </c>
      <c r="E19" s="49">
        <f>Plantilla!X11</f>
        <v>0</v>
      </c>
      <c r="F19" s="49">
        <f>Plantilla!Y11</f>
        <v>10.549999999999995</v>
      </c>
      <c r="G19" s="49">
        <f>Plantilla!Z11</f>
        <v>12.95</v>
      </c>
      <c r="H19" s="49">
        <f>Plantilla!AA11</f>
        <v>3.95</v>
      </c>
      <c r="I19" s="49">
        <f>Plantilla!AB11</f>
        <v>8.9499999999999993</v>
      </c>
      <c r="J19" s="49">
        <f>Plantilla!AC11</f>
        <v>0.95</v>
      </c>
      <c r="K19" s="49">
        <f>Plantilla!AD11</f>
        <v>17.3</v>
      </c>
      <c r="L19" s="114">
        <f>1/4</f>
        <v>0.25</v>
      </c>
      <c r="M19" s="114">
        <f t="shared" si="0"/>
        <v>0.125</v>
      </c>
      <c r="N19" s="114">
        <f t="shared" si="1"/>
        <v>3.125E-2</v>
      </c>
      <c r="O19" s="49">
        <v>0</v>
      </c>
      <c r="P19" s="48">
        <v>0</v>
      </c>
      <c r="Q19" s="48">
        <v>0</v>
      </c>
      <c r="R19" s="48">
        <f t="shared" si="2"/>
        <v>7.1499999999999994E-2</v>
      </c>
      <c r="S19" s="48">
        <f t="shared" si="3"/>
        <v>8.3522727272727262E-2</v>
      </c>
      <c r="T19" s="48">
        <v>0</v>
      </c>
      <c r="U19" s="48">
        <f t="shared" si="4"/>
        <v>8.1534090909090903E-2</v>
      </c>
      <c r="V19" s="48">
        <f t="shared" si="5"/>
        <v>0.12272727272727273</v>
      </c>
      <c r="W19" s="48">
        <f t="shared" si="6"/>
        <v>2.0454545454545454E-2</v>
      </c>
      <c r="X19" s="48">
        <f t="shared" si="7"/>
        <v>3.1392045454545457E-2</v>
      </c>
      <c r="Y19" s="141">
        <v>0</v>
      </c>
      <c r="Z19" s="141">
        <v>0</v>
      </c>
      <c r="AA19" s="141">
        <f t="shared" si="8"/>
        <v>0</v>
      </c>
    </row>
    <row r="20" spans="1:27" x14ac:dyDescent="0.25">
      <c r="A20" s="86" t="str">
        <f>Plantilla!A5</f>
        <v>#25</v>
      </c>
      <c r="B20" s="86" t="str">
        <f>Plantilla!D5</f>
        <v>T. Hammond</v>
      </c>
      <c r="C20" s="86">
        <f>Plantilla!E5</f>
        <v>39</v>
      </c>
      <c r="D20" s="86">
        <f ca="1">Plantilla!F5</f>
        <v>28</v>
      </c>
      <c r="E20" s="49">
        <f>Plantilla!X5</f>
        <v>7.95</v>
      </c>
      <c r="F20" s="49">
        <f>Plantilla!Y5</f>
        <v>6.95</v>
      </c>
      <c r="G20" s="49">
        <f>Plantilla!Z5</f>
        <v>0.95</v>
      </c>
      <c r="H20" s="49">
        <f>Plantilla!AA5</f>
        <v>0.95</v>
      </c>
      <c r="I20" s="49">
        <f>Plantilla!AB5</f>
        <v>1.95</v>
      </c>
      <c r="J20" s="49">
        <f>Plantilla!AC5</f>
        <v>0</v>
      </c>
      <c r="K20" s="49">
        <f>Plantilla!AD5</f>
        <v>14.95</v>
      </c>
      <c r="L20" s="114"/>
      <c r="M20" s="114">
        <f t="shared" si="0"/>
        <v>0</v>
      </c>
      <c r="N20" s="114">
        <f t="shared" si="1"/>
        <v>0</v>
      </c>
      <c r="O20" s="49">
        <v>0</v>
      </c>
      <c r="P20" s="48">
        <v>0</v>
      </c>
      <c r="Q20" s="48">
        <v>0</v>
      </c>
      <c r="R20" s="48">
        <f t="shared" si="2"/>
        <v>0</v>
      </c>
      <c r="S20" s="48">
        <f t="shared" si="3"/>
        <v>0</v>
      </c>
      <c r="T20" s="48">
        <v>0</v>
      </c>
      <c r="U20" s="48">
        <f t="shared" si="4"/>
        <v>0</v>
      </c>
      <c r="V20" s="48">
        <f t="shared" si="5"/>
        <v>0</v>
      </c>
      <c r="W20" s="48">
        <f t="shared" si="6"/>
        <v>0</v>
      </c>
      <c r="X20" s="48">
        <f t="shared" si="7"/>
        <v>0</v>
      </c>
      <c r="Y20" s="141"/>
      <c r="Z20" s="141"/>
      <c r="AA20" s="141">
        <f t="shared" si="8"/>
        <v>0</v>
      </c>
    </row>
    <row r="21" spans="1:27" x14ac:dyDescent="0.25">
      <c r="A21" s="86" t="str">
        <f>Plantilla!A8</f>
        <v>#13</v>
      </c>
      <c r="B21" s="86" t="str">
        <f>Plantilla!D8</f>
        <v>F. Lasprilla</v>
      </c>
      <c r="C21" s="86">
        <f>Plantilla!E8</f>
        <v>32</v>
      </c>
      <c r="D21" s="86">
        <f ca="1">Plantilla!F8</f>
        <v>38</v>
      </c>
      <c r="E21" s="49">
        <f>Plantilla!X8</f>
        <v>0</v>
      </c>
      <c r="F21" s="49">
        <f>Plantilla!Y8</f>
        <v>9.6046666666666667</v>
      </c>
      <c r="G21" s="49">
        <f>Plantilla!Z8</f>
        <v>8</v>
      </c>
      <c r="H21" s="49">
        <f>Plantilla!AA8</f>
        <v>6.1599999999999984</v>
      </c>
      <c r="I21" s="49">
        <f>Plantilla!AB8</f>
        <v>8.8633333333333315</v>
      </c>
      <c r="J21" s="49">
        <f>Plantilla!AC8</f>
        <v>2.95</v>
      </c>
      <c r="K21" s="49">
        <f>Plantilla!AD8</f>
        <v>13.33611111111111</v>
      </c>
      <c r="L21" s="114"/>
      <c r="M21" s="114">
        <f t="shared" si="0"/>
        <v>0</v>
      </c>
      <c r="N21" s="114">
        <f t="shared" si="1"/>
        <v>0</v>
      </c>
      <c r="O21" s="49">
        <v>0</v>
      </c>
      <c r="P21" s="48">
        <v>0</v>
      </c>
      <c r="Q21" s="48">
        <v>0</v>
      </c>
      <c r="R21" s="48">
        <f t="shared" si="2"/>
        <v>0</v>
      </c>
      <c r="S21" s="48">
        <f t="shared" si="3"/>
        <v>0</v>
      </c>
      <c r="T21" s="48">
        <v>0</v>
      </c>
      <c r="U21" s="48">
        <f t="shared" si="4"/>
        <v>0</v>
      </c>
      <c r="V21" s="48">
        <f t="shared" si="5"/>
        <v>0</v>
      </c>
      <c r="W21" s="48">
        <f t="shared" si="6"/>
        <v>0</v>
      </c>
      <c r="X21" s="48">
        <f t="shared" si="7"/>
        <v>0</v>
      </c>
      <c r="Y21" s="141"/>
      <c r="Z21" s="141"/>
      <c r="AA21" s="141">
        <f t="shared" si="8"/>
        <v>0</v>
      </c>
    </row>
    <row r="22" spans="1:27" x14ac:dyDescent="0.25">
      <c r="A22" s="86" t="str">
        <f>Plantilla!A12</f>
        <v>#23</v>
      </c>
      <c r="B22" s="86" t="str">
        <f>Plantilla!D12</f>
        <v>W. Gelifini</v>
      </c>
      <c r="C22" s="86">
        <f>Plantilla!E12</f>
        <v>34</v>
      </c>
      <c r="D22" s="86">
        <f ca="1">Plantilla!F12</f>
        <v>16</v>
      </c>
      <c r="E22" s="49">
        <f>Plantilla!X12</f>
        <v>0</v>
      </c>
      <c r="F22" s="49">
        <f>Plantilla!Y12</f>
        <v>5.6515555555555519</v>
      </c>
      <c r="G22" s="49">
        <f>Plantilla!Z12</f>
        <v>9</v>
      </c>
      <c r="H22" s="49">
        <f>Plantilla!AA12</f>
        <v>6.95</v>
      </c>
      <c r="I22" s="49">
        <f>Plantilla!AB12</f>
        <v>8.9499999999999993</v>
      </c>
      <c r="J22" s="49">
        <f>Plantilla!AC12</f>
        <v>2.95</v>
      </c>
      <c r="K22" s="49">
        <f>Plantilla!AD12</f>
        <v>12.847222222222223</v>
      </c>
      <c r="L22" s="114"/>
      <c r="M22" s="114">
        <f t="shared" si="0"/>
        <v>0</v>
      </c>
      <c r="N22" s="114">
        <f t="shared" si="1"/>
        <v>0</v>
      </c>
      <c r="O22" s="49">
        <v>0</v>
      </c>
      <c r="P22" s="48">
        <v>0</v>
      </c>
      <c r="Q22" s="48">
        <v>0</v>
      </c>
      <c r="R22" s="48">
        <f t="shared" si="2"/>
        <v>0</v>
      </c>
      <c r="S22" s="48">
        <f t="shared" si="3"/>
        <v>0</v>
      </c>
      <c r="T22" s="48">
        <v>0</v>
      </c>
      <c r="U22" s="48">
        <f t="shared" si="4"/>
        <v>0</v>
      </c>
      <c r="V22" s="48">
        <f t="shared" si="5"/>
        <v>0</v>
      </c>
      <c r="W22" s="48">
        <f t="shared" si="6"/>
        <v>0</v>
      </c>
      <c r="X22" s="48">
        <f t="shared" si="7"/>
        <v>0</v>
      </c>
      <c r="Y22" s="141"/>
      <c r="Z22" s="141"/>
      <c r="AA22" s="141">
        <f t="shared" si="8"/>
        <v>0</v>
      </c>
    </row>
    <row r="23" spans="1:27" x14ac:dyDescent="0.25">
      <c r="A23" s="86" t="e">
        <f>Plantilla!#REF!</f>
        <v>#REF!</v>
      </c>
      <c r="B23" s="86" t="e">
        <f>Plantilla!#REF!</f>
        <v>#REF!</v>
      </c>
      <c r="C23" s="86" t="e">
        <f>Plantilla!#REF!</f>
        <v>#REF!</v>
      </c>
      <c r="D23" s="86" t="e">
        <f>Plantilla!#REF!</f>
        <v>#REF!</v>
      </c>
      <c r="E23" s="49" t="e">
        <f>Plantilla!#REF!</f>
        <v>#REF!</v>
      </c>
      <c r="F23" s="49" t="e">
        <f>Plantilla!#REF!</f>
        <v>#REF!</v>
      </c>
      <c r="G23" s="49" t="e">
        <f>Plantilla!#REF!</f>
        <v>#REF!</v>
      </c>
      <c r="H23" s="49" t="e">
        <f>Plantilla!#REF!</f>
        <v>#REF!</v>
      </c>
      <c r="I23" s="49" t="e">
        <f>Plantilla!#REF!</f>
        <v>#REF!</v>
      </c>
      <c r="J23" s="49" t="e">
        <f>Plantilla!#REF!</f>
        <v>#REF!</v>
      </c>
      <c r="K23" s="49" t="e">
        <f>Plantilla!#REF!</f>
        <v>#REF!</v>
      </c>
      <c r="L23" s="114"/>
      <c r="M23" s="114">
        <f t="shared" si="0"/>
        <v>0</v>
      </c>
      <c r="N23" s="114">
        <f t="shared" si="1"/>
        <v>0</v>
      </c>
      <c r="O23" s="49">
        <v>0</v>
      </c>
      <c r="P23" s="48">
        <v>0</v>
      </c>
      <c r="Q23" s="48">
        <v>0</v>
      </c>
      <c r="R23" s="48">
        <f t="shared" si="2"/>
        <v>0</v>
      </c>
      <c r="S23" s="48">
        <f t="shared" si="3"/>
        <v>0</v>
      </c>
      <c r="T23" s="48">
        <v>0</v>
      </c>
      <c r="U23" s="48">
        <f t="shared" si="4"/>
        <v>0</v>
      </c>
      <c r="V23" s="48">
        <f t="shared" si="5"/>
        <v>0</v>
      </c>
      <c r="W23" s="48">
        <f t="shared" si="6"/>
        <v>0</v>
      </c>
      <c r="X23" s="48">
        <f t="shared" si="7"/>
        <v>0</v>
      </c>
      <c r="Y23" s="141"/>
      <c r="Z23" s="141"/>
      <c r="AA23" s="141">
        <f t="shared" si="8"/>
        <v>0</v>
      </c>
    </row>
    <row r="25" spans="1:27" x14ac:dyDescent="0.25">
      <c r="B25" s="87"/>
    </row>
  </sheetData>
  <sortState ref="A4:AA23">
    <sortCondition descending="1" ref="AA4:AA23"/>
    <sortCondition descending="1" ref="Y4:Y23"/>
    <sortCondition descending="1" ref="Z4:Z23"/>
  </sortState>
  <conditionalFormatting sqref="L4:X23">
    <cfRule type="colorScale" priority="2969">
      <colorScale>
        <cfvo type="min"/>
        <cfvo type="max"/>
        <color rgb="FFFFEF9C"/>
        <color rgb="FF63BE7B"/>
      </colorScale>
    </cfRule>
  </conditionalFormatting>
  <conditionalFormatting sqref="Y4:Y23">
    <cfRule type="dataBar" priority="2971">
      <dataBar>
        <cfvo type="min"/>
        <cfvo type="max"/>
        <color rgb="FF008AEF"/>
      </dataBar>
      <extLst>
        <ext xmlns:x14="http://schemas.microsoft.com/office/spreadsheetml/2009/9/main" uri="{B025F937-C7B1-47D3-B67F-A62EFF666E3E}">
          <x14:id>{FD1C2556-6FED-4C28-B9EB-8DE0847A7688}</x14:id>
        </ext>
      </extLst>
    </cfRule>
  </conditionalFormatting>
  <conditionalFormatting sqref="Z4:AA23">
    <cfRule type="dataBar" priority="2972">
      <dataBar>
        <cfvo type="min"/>
        <cfvo type="max"/>
        <color rgb="FF008AEF"/>
      </dataBar>
      <extLst>
        <ext xmlns:x14="http://schemas.microsoft.com/office/spreadsheetml/2009/9/main" uri="{B025F937-C7B1-47D3-B67F-A62EFF666E3E}">
          <x14:id>{CC0AC70E-A365-4662-A596-E0B21FDF8860}</x14:id>
        </ext>
      </extLst>
    </cfRule>
  </conditionalFormatting>
  <conditionalFormatting sqref="E4:K23">
    <cfRule type="colorScale" priority="2973">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FD1C2556-6FED-4C28-B9EB-8DE0847A7688}">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C0AC70E-A365-4662-A596-E0B21FDF886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6" tint="0.39997558519241921"/>
  </sheetPr>
  <dimension ref="A1:AD47"/>
  <sheetViews>
    <sheetView zoomScale="80" zoomScaleNormal="80" workbookViewId="0">
      <selection activeCell="F24" sqref="F24"/>
    </sheetView>
  </sheetViews>
  <sheetFormatPr baseColWidth="10" defaultColWidth="11.42578125" defaultRowHeight="15" x14ac:dyDescent="0.25"/>
  <cols>
    <col min="1" max="1" width="31" bestFit="1" customWidth="1"/>
    <col min="2" max="2" width="15.5703125" bestFit="1" customWidth="1"/>
    <col min="3" max="6" width="13.85546875" bestFit="1" customWidth="1"/>
    <col min="7" max="7" width="15.140625" bestFit="1" customWidth="1"/>
    <col min="8" max="12" width="13.85546875" bestFit="1" customWidth="1"/>
    <col min="13" max="13" width="17.28515625" bestFit="1" customWidth="1"/>
    <col min="14" max="16" width="13.85546875" bestFit="1" customWidth="1"/>
    <col min="17" max="17" width="12.85546875" bestFit="1" customWidth="1"/>
    <col min="18" max="19" width="13.85546875" bestFit="1" customWidth="1"/>
    <col min="20" max="30" width="12.85546875" bestFit="1" customWidth="1"/>
  </cols>
  <sheetData>
    <row r="1" spans="1:30" ht="30.75" x14ac:dyDescent="0.25">
      <c r="M1" s="6" t="s">
        <v>3</v>
      </c>
      <c r="N1" s="6" t="s">
        <v>4</v>
      </c>
      <c r="O1" s="6" t="s">
        <v>5</v>
      </c>
      <c r="P1" s="6" t="s">
        <v>6</v>
      </c>
      <c r="Q1" s="6" t="s">
        <v>7</v>
      </c>
      <c r="R1" s="6" t="s">
        <v>8</v>
      </c>
      <c r="S1" s="6" t="s">
        <v>9</v>
      </c>
      <c r="T1" s="7"/>
      <c r="U1" s="7"/>
      <c r="V1" s="7"/>
      <c r="W1" s="7"/>
      <c r="X1" s="7"/>
      <c r="Y1" s="7"/>
      <c r="Z1" s="7"/>
      <c r="AA1" s="7"/>
      <c r="AB1" s="7"/>
      <c r="AC1" s="7"/>
      <c r="AD1" s="7"/>
    </row>
    <row r="2" spans="1:30" x14ac:dyDescent="0.25">
      <c r="C2" s="8" t="s">
        <v>10</v>
      </c>
      <c r="D2" s="699" t="s">
        <v>11</v>
      </c>
      <c r="E2" s="699"/>
      <c r="F2" s="700" t="s">
        <v>12</v>
      </c>
      <c r="G2" s="700"/>
      <c r="H2" s="701" t="s">
        <v>13</v>
      </c>
      <c r="I2" s="701"/>
      <c r="K2" t="s">
        <v>14</v>
      </c>
      <c r="M2" s="9">
        <v>11</v>
      </c>
      <c r="N2" s="10">
        <v>14.98</v>
      </c>
      <c r="O2" s="10">
        <v>5.95</v>
      </c>
      <c r="P2" s="10">
        <v>5.49</v>
      </c>
      <c r="Q2" s="10">
        <v>0.68</v>
      </c>
      <c r="R2" s="11">
        <v>27.09</v>
      </c>
      <c r="S2" s="7"/>
      <c r="T2" s="7"/>
      <c r="U2" s="7"/>
      <c r="V2" s="7"/>
      <c r="W2" s="7"/>
      <c r="X2" s="7"/>
      <c r="Y2" s="7"/>
      <c r="Z2" s="7"/>
      <c r="AA2" s="7"/>
      <c r="AB2" s="7"/>
      <c r="AC2" s="7"/>
      <c r="AD2" s="7"/>
    </row>
    <row r="3" spans="1:30" ht="15.75" thickBot="1" x14ac:dyDescent="0.3">
      <c r="A3" s="12" t="s">
        <v>15</v>
      </c>
      <c r="B3" s="13">
        <f>B4+B5+B6+B7</f>
        <v>71304</v>
      </c>
      <c r="C3" s="14">
        <f>C4+C5+C6+C7</f>
        <v>71472.679999999993</v>
      </c>
      <c r="D3" s="3" t="s">
        <v>16</v>
      </c>
      <c r="E3" s="3" t="s">
        <v>17</v>
      </c>
      <c r="F3" s="3" t="s">
        <v>16</v>
      </c>
      <c r="G3" s="3" t="s">
        <v>18</v>
      </c>
      <c r="H3" s="3" t="s">
        <v>16</v>
      </c>
      <c r="I3" s="4" t="s">
        <v>19</v>
      </c>
      <c r="J3" s="15" t="s">
        <v>20</v>
      </c>
      <c r="K3" s="5">
        <v>14480</v>
      </c>
      <c r="M3" s="9">
        <v>10</v>
      </c>
      <c r="N3" s="16">
        <v>14.23</v>
      </c>
      <c r="O3" s="16">
        <v>5.59</v>
      </c>
      <c r="P3" s="16">
        <v>5.07</v>
      </c>
      <c r="Q3" s="16">
        <v>0.62</v>
      </c>
      <c r="R3" s="17">
        <v>25.52</v>
      </c>
      <c r="S3" s="7"/>
      <c r="T3" s="7"/>
      <c r="U3" s="7"/>
      <c r="V3" s="7"/>
      <c r="W3" s="7"/>
      <c r="X3" s="7"/>
      <c r="Y3" s="7"/>
      <c r="Z3" s="7"/>
      <c r="AA3" s="7"/>
      <c r="AB3" s="7"/>
      <c r="AC3" s="7"/>
      <c r="AD3" s="7"/>
    </row>
    <row r="4" spans="1:30" x14ac:dyDescent="0.25">
      <c r="A4" s="12" t="s">
        <v>21</v>
      </c>
      <c r="B4" s="13">
        <v>40146</v>
      </c>
      <c r="C4" s="76">
        <v>40240.67</v>
      </c>
      <c r="D4" s="18">
        <v>45</v>
      </c>
      <c r="E4" s="3">
        <f>D4*(C4-B4)</f>
        <v>4260.1499999999214</v>
      </c>
      <c r="F4" s="19">
        <v>0.5</v>
      </c>
      <c r="G4" s="3">
        <f>(C4-B4)*F4</f>
        <v>47.334999999999127</v>
      </c>
      <c r="H4" s="19">
        <v>7</v>
      </c>
      <c r="I4" s="4">
        <f>(C4-B4)*H4</f>
        <v>662.68999999998778</v>
      </c>
      <c r="J4" s="3">
        <f>H4*C4</f>
        <v>281684.69</v>
      </c>
      <c r="K4">
        <f>K3*0.59</f>
        <v>8543.1999999999989</v>
      </c>
      <c r="M4" s="9">
        <v>9</v>
      </c>
      <c r="N4" s="10">
        <v>13.49</v>
      </c>
      <c r="O4" s="10">
        <v>5.24</v>
      </c>
      <c r="P4" s="10">
        <v>4.66</v>
      </c>
      <c r="Q4" s="10">
        <v>0.56999999999999995</v>
      </c>
      <c r="R4" s="11">
        <v>23.95</v>
      </c>
      <c r="S4" s="7"/>
      <c r="T4" s="7"/>
      <c r="U4" s="7"/>
      <c r="V4" s="7"/>
      <c r="W4" s="7"/>
      <c r="X4" s="7"/>
      <c r="Y4" s="7"/>
      <c r="Z4" s="7"/>
      <c r="AA4" s="7"/>
      <c r="AB4" s="7"/>
      <c r="AC4" s="7"/>
      <c r="AD4" s="7"/>
    </row>
    <row r="5" spans="1:30" x14ac:dyDescent="0.25">
      <c r="A5" s="12" t="s">
        <v>22</v>
      </c>
      <c r="B5" s="13">
        <v>15594</v>
      </c>
      <c r="C5" s="22">
        <v>15630.92</v>
      </c>
      <c r="D5" s="20">
        <v>75</v>
      </c>
      <c r="E5" s="3">
        <f>D5*(C5-B5)</f>
        <v>2769.0000000000055</v>
      </c>
      <c r="F5" s="21">
        <v>0.7</v>
      </c>
      <c r="G5" s="3">
        <f>(C5-B5)*F5</f>
        <v>25.844000000000051</v>
      </c>
      <c r="H5" s="21">
        <v>10</v>
      </c>
      <c r="I5" s="4">
        <f>(C5-B5)*H5</f>
        <v>369.20000000000073</v>
      </c>
      <c r="J5" s="3">
        <f>H5*C5</f>
        <v>156309.20000000001</v>
      </c>
      <c r="K5">
        <f>K3*0.21</f>
        <v>3040.7999999999997</v>
      </c>
      <c r="M5" s="9">
        <v>8</v>
      </c>
      <c r="N5" s="16">
        <v>12.74</v>
      </c>
      <c r="O5" s="16">
        <v>4.8899999999999997</v>
      </c>
      <c r="P5" s="16">
        <v>4.25</v>
      </c>
      <c r="Q5" s="16">
        <v>0.51</v>
      </c>
      <c r="R5" s="17">
        <v>22.39</v>
      </c>
      <c r="S5" s="7"/>
      <c r="T5" s="7"/>
      <c r="U5" s="7"/>
      <c r="V5" s="7"/>
      <c r="W5" s="7"/>
      <c r="X5" s="7"/>
      <c r="Y5" s="7"/>
      <c r="Z5" s="7"/>
      <c r="AA5" s="7"/>
      <c r="AB5" s="7"/>
      <c r="AC5" s="7"/>
      <c r="AD5" s="7"/>
    </row>
    <row r="6" spans="1:30" x14ac:dyDescent="0.25">
      <c r="A6" s="12" t="s">
        <v>23</v>
      </c>
      <c r="B6" s="13">
        <v>13868</v>
      </c>
      <c r="C6" s="22">
        <v>13900.78</v>
      </c>
      <c r="D6" s="18">
        <v>90</v>
      </c>
      <c r="E6" s="3">
        <f>D6*(C6-B6)</f>
        <v>2950.2000000000589</v>
      </c>
      <c r="F6" s="19">
        <v>1</v>
      </c>
      <c r="G6" s="3">
        <f>(C6-B6)*F6</f>
        <v>32.780000000000655</v>
      </c>
      <c r="H6" s="19">
        <v>19</v>
      </c>
      <c r="I6" s="4">
        <f>(C6-B6)*H6</f>
        <v>622.82000000001244</v>
      </c>
      <c r="J6" s="3">
        <f>H6*C6</f>
        <v>264114.82</v>
      </c>
      <c r="K6">
        <f>K3*0.18</f>
        <v>2606.4</v>
      </c>
      <c r="M6" s="9">
        <v>7</v>
      </c>
      <c r="N6" s="10">
        <v>12</v>
      </c>
      <c r="O6" s="10">
        <v>4.53</v>
      </c>
      <c r="P6" s="10">
        <v>3.84</v>
      </c>
      <c r="Q6" s="10">
        <v>0.46</v>
      </c>
      <c r="R6" s="11">
        <v>20.83</v>
      </c>
      <c r="S6" s="7"/>
      <c r="T6" s="7"/>
      <c r="U6" s="7"/>
      <c r="V6" s="7"/>
      <c r="W6" s="7"/>
      <c r="X6" s="7"/>
      <c r="Y6" s="7"/>
      <c r="Z6" s="7"/>
      <c r="AA6" s="7"/>
      <c r="AB6" s="7"/>
      <c r="AC6" s="7"/>
      <c r="AD6" s="7"/>
    </row>
    <row r="7" spans="1:30" ht="15.75" thickBot="1" x14ac:dyDescent="0.3">
      <c r="A7" s="12" t="s">
        <v>24</v>
      </c>
      <c r="B7" s="13">
        <v>1696</v>
      </c>
      <c r="C7" s="23">
        <v>1700.31</v>
      </c>
      <c r="D7" s="20">
        <v>300</v>
      </c>
      <c r="E7" s="3">
        <f>D7*(C7-B7)</f>
        <v>1292.9999999999836</v>
      </c>
      <c r="F7" s="21">
        <v>2.5</v>
      </c>
      <c r="G7" s="3">
        <f>(C7-B7)*F7</f>
        <v>10.774999999999864</v>
      </c>
      <c r="H7" s="21">
        <v>35</v>
      </c>
      <c r="I7" s="4">
        <f>(C7-B7)*H7</f>
        <v>150.84999999999809</v>
      </c>
      <c r="J7" s="3">
        <f>H7*C7</f>
        <v>59510.85</v>
      </c>
      <c r="K7">
        <f>K3*0.02</f>
        <v>289.60000000000002</v>
      </c>
      <c r="M7" s="9">
        <v>6</v>
      </c>
      <c r="N7" s="16">
        <v>11.26</v>
      </c>
      <c r="O7" s="16">
        <v>4.17</v>
      </c>
      <c r="P7" s="16">
        <v>3.44</v>
      </c>
      <c r="Q7" s="16">
        <v>0.41</v>
      </c>
      <c r="R7" s="17">
        <v>19.27</v>
      </c>
      <c r="S7" s="7"/>
      <c r="T7" s="7"/>
      <c r="U7" s="7"/>
      <c r="V7" s="7"/>
      <c r="W7" s="7"/>
      <c r="X7" s="7"/>
      <c r="Y7" s="7"/>
      <c r="Z7" s="7"/>
      <c r="AA7" s="7"/>
      <c r="AB7" s="7"/>
      <c r="AC7" s="7"/>
      <c r="AD7" s="7"/>
    </row>
    <row r="8" spans="1:30" x14ac:dyDescent="0.25">
      <c r="C8" s="24">
        <f>C4/$C$3</f>
        <v>0.56302170283806352</v>
      </c>
      <c r="J8" s="25">
        <f>J7+J6+J5+J4</f>
        <v>761619.56</v>
      </c>
      <c r="M8" s="9">
        <v>5</v>
      </c>
      <c r="N8" s="10">
        <v>10.52</v>
      </c>
      <c r="O8" s="10">
        <v>3.81</v>
      </c>
      <c r="P8" s="10">
        <v>3.03</v>
      </c>
      <c r="Q8" s="10">
        <v>0.35</v>
      </c>
      <c r="R8" s="11">
        <v>17.72</v>
      </c>
      <c r="S8" s="7"/>
      <c r="T8" s="7"/>
      <c r="U8" s="7"/>
      <c r="V8" s="7"/>
      <c r="W8" s="7"/>
      <c r="X8" s="7"/>
      <c r="Y8" s="7"/>
      <c r="Z8" s="7"/>
      <c r="AA8" s="7"/>
      <c r="AB8" s="7"/>
      <c r="AC8" s="7"/>
      <c r="AD8" s="7"/>
    </row>
    <row r="9" spans="1:30" x14ac:dyDescent="0.25">
      <c r="C9" s="26">
        <f>C5/$C$3</f>
        <v>0.21869782971619367</v>
      </c>
      <c r="E9" s="51">
        <f>C4-B4</f>
        <v>94.669999999998254</v>
      </c>
      <c r="G9">
        <f>45*(24422-8000)</f>
        <v>738990</v>
      </c>
      <c r="M9" s="9">
        <v>4</v>
      </c>
      <c r="N9" s="16">
        <v>9.8000000000000007</v>
      </c>
      <c r="O9" s="16">
        <v>3.46</v>
      </c>
      <c r="P9" s="16">
        <v>2.63</v>
      </c>
      <c r="Q9" s="16">
        <v>0.3</v>
      </c>
      <c r="R9" s="17">
        <v>16.170000000000002</v>
      </c>
      <c r="S9" s="7"/>
      <c r="T9" s="7"/>
      <c r="U9" s="7"/>
      <c r="V9" s="7"/>
      <c r="W9" s="7"/>
      <c r="X9" s="7"/>
      <c r="Y9" s="7"/>
      <c r="Z9" s="7"/>
      <c r="AA9" s="7"/>
      <c r="AB9" s="7"/>
      <c r="AC9" s="7"/>
      <c r="AD9" s="7"/>
    </row>
    <row r="10" spans="1:30" x14ac:dyDescent="0.25">
      <c r="B10" s="27">
        <f>B11/B13</f>
        <v>0.47009380721923127</v>
      </c>
      <c r="C10" s="26">
        <f>C6/$C$3</f>
        <v>0.19449081803005011</v>
      </c>
      <c r="E10" s="51">
        <f>C5-B5</f>
        <v>36.920000000000073</v>
      </c>
      <c r="G10">
        <f>75*(9374-3000)</f>
        <v>478050</v>
      </c>
      <c r="M10" s="9">
        <v>3</v>
      </c>
      <c r="N10" s="10">
        <v>9.09</v>
      </c>
      <c r="O10" s="10">
        <v>3.1</v>
      </c>
      <c r="P10" s="10">
        <v>2.21</v>
      </c>
      <c r="Q10" s="10">
        <v>0.24</v>
      </c>
      <c r="R10" s="11">
        <v>14.63</v>
      </c>
      <c r="S10" s="7"/>
      <c r="T10" s="7"/>
      <c r="U10" s="7"/>
      <c r="V10" s="7"/>
      <c r="W10" s="7"/>
      <c r="X10" s="7"/>
      <c r="Y10" s="7"/>
      <c r="Z10" s="7"/>
      <c r="AA10" s="7"/>
      <c r="AB10" s="7"/>
      <c r="AC10" s="7"/>
      <c r="AD10" s="7"/>
    </row>
    <row r="11" spans="1:30" x14ac:dyDescent="0.25">
      <c r="A11" s="28" t="s">
        <v>25</v>
      </c>
      <c r="B11" s="29">
        <v>10000</v>
      </c>
      <c r="C11" s="26">
        <f>C7/$C$3</f>
        <v>2.3789649415692823E-2</v>
      </c>
      <c r="E11" s="51">
        <f>C6-B6</f>
        <v>32.780000000000655</v>
      </c>
      <c r="G11">
        <f>90*(7902-1000)</f>
        <v>621180</v>
      </c>
      <c r="M11" s="9">
        <v>2</v>
      </c>
      <c r="N11" s="16">
        <v>8.42</v>
      </c>
      <c r="O11" s="16">
        <v>2.73</v>
      </c>
      <c r="P11" s="16">
        <v>1.77</v>
      </c>
      <c r="Q11" s="16">
        <v>0.18</v>
      </c>
      <c r="R11" s="17">
        <v>13.09</v>
      </c>
      <c r="S11" s="7"/>
      <c r="T11" s="7"/>
      <c r="U11" s="7"/>
      <c r="V11" s="7"/>
      <c r="W11" s="7"/>
      <c r="X11" s="7"/>
      <c r="Y11" s="7"/>
      <c r="Z11" s="7"/>
      <c r="AA11" s="7"/>
      <c r="AB11" s="7"/>
      <c r="AC11" s="7"/>
      <c r="AD11" s="7"/>
    </row>
    <row r="12" spans="1:30" ht="15.75" thickBot="1" x14ac:dyDescent="0.3">
      <c r="A12" s="28" t="s">
        <v>26</v>
      </c>
      <c r="B12" s="30">
        <f>E7+E6+E5+E4</f>
        <v>11272.349999999969</v>
      </c>
      <c r="E12" s="51">
        <f>C7-B7</f>
        <v>4.3099999999999454</v>
      </c>
      <c r="G12">
        <f>300*978</f>
        <v>293400</v>
      </c>
      <c r="M12" s="9">
        <v>1</v>
      </c>
      <c r="N12" s="10">
        <v>7.85</v>
      </c>
      <c r="O12" s="10">
        <v>2.34</v>
      </c>
      <c r="P12" s="10">
        <v>1.23</v>
      </c>
      <c r="Q12" s="10">
        <v>0.1</v>
      </c>
      <c r="R12" s="11">
        <v>11.53</v>
      </c>
      <c r="S12" s="7"/>
      <c r="T12" s="7"/>
      <c r="U12" s="7"/>
      <c r="V12" s="7"/>
      <c r="W12" s="7"/>
      <c r="X12" s="7"/>
      <c r="Y12" s="7"/>
      <c r="Z12" s="7"/>
      <c r="AA12" s="7"/>
      <c r="AB12" s="7"/>
      <c r="AC12" s="7"/>
      <c r="AD12" s="7"/>
    </row>
    <row r="13" spans="1:30" ht="15.75" thickBot="1" x14ac:dyDescent="0.3">
      <c r="A13" s="31" t="s">
        <v>27</v>
      </c>
      <c r="B13" s="32">
        <f>B11+B12</f>
        <v>21272.349999999969</v>
      </c>
      <c r="G13">
        <f>10000*10</f>
        <v>100000</v>
      </c>
      <c r="P13" s="7"/>
      <c r="Q13" s="7"/>
      <c r="R13" s="7"/>
      <c r="S13" s="7"/>
      <c r="T13" s="7"/>
      <c r="U13" s="7"/>
      <c r="V13" s="7"/>
      <c r="W13" s="7"/>
      <c r="X13" s="7"/>
      <c r="Y13" s="7"/>
      <c r="Z13" s="7"/>
      <c r="AA13" s="7"/>
      <c r="AB13" s="7"/>
      <c r="AC13" s="7"/>
      <c r="AD13" s="7"/>
    </row>
    <row r="14" spans="1:30" x14ac:dyDescent="0.25">
      <c r="P14" s="7"/>
      <c r="Q14" s="7"/>
      <c r="R14" s="7"/>
      <c r="S14" s="7"/>
      <c r="T14" s="7"/>
      <c r="U14" s="7"/>
      <c r="V14" s="7"/>
      <c r="W14" s="7"/>
      <c r="X14" s="7"/>
      <c r="Y14" s="7"/>
      <c r="Z14" s="7"/>
      <c r="AA14" s="7"/>
      <c r="AB14" s="7"/>
      <c r="AC14" s="7"/>
      <c r="AD14" s="7"/>
    </row>
    <row r="15" spans="1:30" x14ac:dyDescent="0.25">
      <c r="A15" s="1"/>
      <c r="B15" s="33" t="s">
        <v>28</v>
      </c>
      <c r="C15" s="33" t="s">
        <v>29</v>
      </c>
      <c r="D15" s="33" t="s">
        <v>30</v>
      </c>
      <c r="E15" s="33" t="s">
        <v>31</v>
      </c>
      <c r="F15" s="33" t="s">
        <v>32</v>
      </c>
      <c r="G15" s="33" t="s">
        <v>33</v>
      </c>
      <c r="H15" s="33" t="s">
        <v>34</v>
      </c>
      <c r="I15" s="33" t="s">
        <v>35</v>
      </c>
      <c r="J15" s="33" t="s">
        <v>36</v>
      </c>
      <c r="K15" s="33" t="s">
        <v>37</v>
      </c>
      <c r="L15" s="33" t="s">
        <v>38</v>
      </c>
      <c r="M15" s="33" t="s">
        <v>39</v>
      </c>
      <c r="N15" s="33" t="s">
        <v>40</v>
      </c>
      <c r="O15" s="33" t="s">
        <v>41</v>
      </c>
      <c r="P15" s="33" t="s">
        <v>42</v>
      </c>
      <c r="Q15" s="33" t="s">
        <v>43</v>
      </c>
      <c r="R15" s="33" t="s">
        <v>28</v>
      </c>
      <c r="S15" s="33" t="s">
        <v>29</v>
      </c>
      <c r="T15" s="33" t="s">
        <v>30</v>
      </c>
      <c r="U15" s="33" t="s">
        <v>31</v>
      </c>
      <c r="V15" s="33" t="s">
        <v>32</v>
      </c>
      <c r="W15" s="33" t="s">
        <v>33</v>
      </c>
      <c r="X15" s="33" t="s">
        <v>34</v>
      </c>
      <c r="Y15" s="33" t="s">
        <v>35</v>
      </c>
      <c r="Z15" s="33" t="s">
        <v>36</v>
      </c>
      <c r="AA15" s="33" t="s">
        <v>37</v>
      </c>
      <c r="AB15" s="33" t="s">
        <v>38</v>
      </c>
      <c r="AC15" s="33" t="s">
        <v>39</v>
      </c>
      <c r="AD15" s="33" t="s">
        <v>40</v>
      </c>
    </row>
    <row r="16" spans="1:30" x14ac:dyDescent="0.25">
      <c r="A16" s="34" t="s">
        <v>44</v>
      </c>
      <c r="B16" s="34">
        <v>3396</v>
      </c>
      <c r="C16" s="34">
        <f>B16+1</f>
        <v>3397</v>
      </c>
      <c r="D16" s="34">
        <f t="shared" ref="D16:AD16" si="0">C16+1</f>
        <v>3398</v>
      </c>
      <c r="E16" s="34">
        <f t="shared" si="0"/>
        <v>3399</v>
      </c>
      <c r="F16" s="34">
        <f t="shared" si="0"/>
        <v>3400</v>
      </c>
      <c r="G16" s="34">
        <f t="shared" si="0"/>
        <v>3401</v>
      </c>
      <c r="H16" s="34">
        <f t="shared" si="0"/>
        <v>3402</v>
      </c>
      <c r="I16" s="34">
        <f t="shared" si="0"/>
        <v>3403</v>
      </c>
      <c r="J16" s="34">
        <f t="shared" si="0"/>
        <v>3404</v>
      </c>
      <c r="K16" s="34">
        <f t="shared" si="0"/>
        <v>3405</v>
      </c>
      <c r="L16" s="34">
        <f t="shared" si="0"/>
        <v>3406</v>
      </c>
      <c r="M16" s="34">
        <f t="shared" si="0"/>
        <v>3407</v>
      </c>
      <c r="N16" s="34">
        <f t="shared" si="0"/>
        <v>3408</v>
      </c>
      <c r="O16" s="34">
        <f t="shared" si="0"/>
        <v>3409</v>
      </c>
      <c r="P16" s="34">
        <f t="shared" si="0"/>
        <v>3410</v>
      </c>
      <c r="Q16" s="34">
        <f t="shared" si="0"/>
        <v>3411</v>
      </c>
      <c r="R16" s="34">
        <f t="shared" si="0"/>
        <v>3412</v>
      </c>
      <c r="S16" s="34">
        <f t="shared" si="0"/>
        <v>3413</v>
      </c>
      <c r="T16" s="34">
        <f t="shared" si="0"/>
        <v>3414</v>
      </c>
      <c r="U16" s="34">
        <f t="shared" si="0"/>
        <v>3415</v>
      </c>
      <c r="V16" s="34">
        <f t="shared" si="0"/>
        <v>3416</v>
      </c>
      <c r="W16" s="34">
        <f t="shared" si="0"/>
        <v>3417</v>
      </c>
      <c r="X16" s="34">
        <f t="shared" si="0"/>
        <v>3418</v>
      </c>
      <c r="Y16" s="34">
        <f t="shared" si="0"/>
        <v>3419</v>
      </c>
      <c r="Z16" s="34">
        <f t="shared" si="0"/>
        <v>3420</v>
      </c>
      <c r="AA16" s="34">
        <f t="shared" si="0"/>
        <v>3421</v>
      </c>
      <c r="AB16" s="34">
        <f t="shared" si="0"/>
        <v>3422</v>
      </c>
      <c r="AC16" s="34">
        <f t="shared" si="0"/>
        <v>3423</v>
      </c>
      <c r="AD16" s="34">
        <f t="shared" si="0"/>
        <v>3424</v>
      </c>
    </row>
    <row r="17" spans="1:30" x14ac:dyDescent="0.25">
      <c r="A17" s="34"/>
      <c r="B17" s="35">
        <f>B18+B19+B20+B21</f>
        <v>70738.680000000008</v>
      </c>
      <c r="C17" s="35">
        <f t="shared" ref="C17:AD17" si="1">C18+C19+C20+C21</f>
        <v>70759.509999999995</v>
      </c>
      <c r="D17" s="35">
        <f t="shared" si="1"/>
        <v>70780.340000000011</v>
      </c>
      <c r="E17" s="35">
        <f t="shared" si="1"/>
        <v>70801.17</v>
      </c>
      <c r="F17" s="35">
        <f t="shared" si="1"/>
        <v>70822</v>
      </c>
      <c r="G17" s="35">
        <f t="shared" si="1"/>
        <v>70842.83</v>
      </c>
      <c r="H17" s="35">
        <f t="shared" si="1"/>
        <v>70863.659999999989</v>
      </c>
      <c r="I17" s="35">
        <f t="shared" si="1"/>
        <v>70884.490000000005</v>
      </c>
      <c r="J17" s="35">
        <f t="shared" si="1"/>
        <v>70905.319999999992</v>
      </c>
      <c r="K17" s="35">
        <f t="shared" si="1"/>
        <v>70926.150000000009</v>
      </c>
      <c r="L17" s="35">
        <f t="shared" si="1"/>
        <v>70946.98</v>
      </c>
      <c r="M17" s="35">
        <f t="shared" si="1"/>
        <v>70967.81</v>
      </c>
      <c r="N17" s="35">
        <f t="shared" si="1"/>
        <v>70988.639999999999</v>
      </c>
      <c r="O17" s="35">
        <f t="shared" si="1"/>
        <v>71009.47</v>
      </c>
      <c r="P17" s="35">
        <f t="shared" si="1"/>
        <v>71030.3</v>
      </c>
      <c r="Q17" s="35">
        <f t="shared" si="1"/>
        <v>71051.13</v>
      </c>
      <c r="R17" s="35">
        <f t="shared" si="1"/>
        <v>71071.960000000006</v>
      </c>
      <c r="S17" s="35">
        <f t="shared" si="1"/>
        <v>71092.789999999994</v>
      </c>
      <c r="T17" s="35">
        <f t="shared" si="1"/>
        <v>71113.62</v>
      </c>
      <c r="U17" s="35">
        <f t="shared" si="1"/>
        <v>71134.45</v>
      </c>
      <c r="V17" s="35">
        <f t="shared" si="1"/>
        <v>71155.28</v>
      </c>
      <c r="W17" s="35">
        <f t="shared" si="1"/>
        <v>71176.110000000015</v>
      </c>
      <c r="X17" s="35">
        <f t="shared" si="1"/>
        <v>71196.94</v>
      </c>
      <c r="Y17" s="35">
        <f t="shared" si="1"/>
        <v>71217.77</v>
      </c>
      <c r="Z17" s="35">
        <f t="shared" si="1"/>
        <v>71238.599999999991</v>
      </c>
      <c r="AA17" s="35">
        <f t="shared" si="1"/>
        <v>71259.430000000008</v>
      </c>
      <c r="AB17" s="35">
        <f t="shared" si="1"/>
        <v>71280.259999999995</v>
      </c>
      <c r="AC17" s="35">
        <f t="shared" si="1"/>
        <v>71301.090000000011</v>
      </c>
      <c r="AD17" s="35">
        <f t="shared" si="1"/>
        <v>71321.919999999998</v>
      </c>
    </row>
    <row r="18" spans="1:30" x14ac:dyDescent="0.25">
      <c r="A18" s="36" t="s">
        <v>45</v>
      </c>
      <c r="B18" s="37">
        <f>B16*$N$6</f>
        <v>40752</v>
      </c>
      <c r="C18" s="37">
        <f t="shared" ref="C18:AD18" si="2">C16*$N$6</f>
        <v>40764</v>
      </c>
      <c r="D18" s="37">
        <f t="shared" si="2"/>
        <v>40776</v>
      </c>
      <c r="E18" s="37">
        <f t="shared" si="2"/>
        <v>40788</v>
      </c>
      <c r="F18" s="37">
        <f t="shared" si="2"/>
        <v>40800</v>
      </c>
      <c r="G18" s="37">
        <f t="shared" si="2"/>
        <v>40812</v>
      </c>
      <c r="H18" s="37">
        <f t="shared" si="2"/>
        <v>40824</v>
      </c>
      <c r="I18" s="37">
        <f t="shared" si="2"/>
        <v>40836</v>
      </c>
      <c r="J18" s="37">
        <f t="shared" si="2"/>
        <v>40848</v>
      </c>
      <c r="K18" s="37">
        <f t="shared" si="2"/>
        <v>40860</v>
      </c>
      <c r="L18" s="37">
        <f t="shared" si="2"/>
        <v>40872</v>
      </c>
      <c r="M18" s="37">
        <f t="shared" si="2"/>
        <v>40884</v>
      </c>
      <c r="N18" s="37">
        <f t="shared" si="2"/>
        <v>40896</v>
      </c>
      <c r="O18" s="37">
        <f t="shared" si="2"/>
        <v>40908</v>
      </c>
      <c r="P18" s="37">
        <f t="shared" si="2"/>
        <v>40920</v>
      </c>
      <c r="Q18" s="37">
        <f t="shared" si="2"/>
        <v>40932</v>
      </c>
      <c r="R18" s="37">
        <f t="shared" si="2"/>
        <v>40944</v>
      </c>
      <c r="S18" s="37">
        <f t="shared" si="2"/>
        <v>40956</v>
      </c>
      <c r="T18" s="37">
        <f t="shared" si="2"/>
        <v>40968</v>
      </c>
      <c r="U18" s="37">
        <f t="shared" si="2"/>
        <v>40980</v>
      </c>
      <c r="V18" s="37">
        <f t="shared" si="2"/>
        <v>40992</v>
      </c>
      <c r="W18" s="37">
        <f t="shared" si="2"/>
        <v>41004</v>
      </c>
      <c r="X18" s="37">
        <f t="shared" si="2"/>
        <v>41016</v>
      </c>
      <c r="Y18" s="37">
        <f t="shared" si="2"/>
        <v>41028</v>
      </c>
      <c r="Z18" s="37">
        <f t="shared" si="2"/>
        <v>41040</v>
      </c>
      <c r="AA18" s="37">
        <f t="shared" si="2"/>
        <v>41052</v>
      </c>
      <c r="AB18" s="37">
        <f t="shared" si="2"/>
        <v>41064</v>
      </c>
      <c r="AC18" s="37">
        <f t="shared" si="2"/>
        <v>41076</v>
      </c>
      <c r="AD18" s="37">
        <f t="shared" si="2"/>
        <v>41088</v>
      </c>
    </row>
    <row r="19" spans="1:30" x14ac:dyDescent="0.25">
      <c r="A19" s="36" t="s">
        <v>46</v>
      </c>
      <c r="B19" s="37">
        <f>B16*$O$6</f>
        <v>15383.880000000001</v>
      </c>
      <c r="C19" s="37">
        <f t="shared" ref="C19:AD19" si="3">C16*$O$6</f>
        <v>15388.410000000002</v>
      </c>
      <c r="D19" s="37">
        <f t="shared" si="3"/>
        <v>15392.94</v>
      </c>
      <c r="E19" s="37">
        <f t="shared" si="3"/>
        <v>15397.470000000001</v>
      </c>
      <c r="F19" s="37">
        <f t="shared" si="3"/>
        <v>15402</v>
      </c>
      <c r="G19" s="37">
        <f t="shared" si="3"/>
        <v>15406.53</v>
      </c>
      <c r="H19" s="37">
        <f t="shared" si="3"/>
        <v>15411.060000000001</v>
      </c>
      <c r="I19" s="37">
        <f t="shared" si="3"/>
        <v>15415.59</v>
      </c>
      <c r="J19" s="37">
        <f t="shared" si="3"/>
        <v>15420.12</v>
      </c>
      <c r="K19" s="37">
        <f t="shared" si="3"/>
        <v>15424.650000000001</v>
      </c>
      <c r="L19" s="37">
        <f t="shared" si="3"/>
        <v>15429.18</v>
      </c>
      <c r="M19" s="37">
        <f t="shared" si="3"/>
        <v>15433.710000000001</v>
      </c>
      <c r="N19" s="37">
        <f t="shared" si="3"/>
        <v>15438.240000000002</v>
      </c>
      <c r="O19" s="37">
        <f t="shared" si="3"/>
        <v>15442.77</v>
      </c>
      <c r="P19" s="37">
        <f t="shared" si="3"/>
        <v>15447.300000000001</v>
      </c>
      <c r="Q19" s="37">
        <f t="shared" si="3"/>
        <v>15451.830000000002</v>
      </c>
      <c r="R19" s="37">
        <f t="shared" si="3"/>
        <v>15456.36</v>
      </c>
      <c r="S19" s="37">
        <f t="shared" si="3"/>
        <v>15460.890000000001</v>
      </c>
      <c r="T19" s="37">
        <f t="shared" si="3"/>
        <v>15465.42</v>
      </c>
      <c r="U19" s="37">
        <f t="shared" si="3"/>
        <v>15469.95</v>
      </c>
      <c r="V19" s="37">
        <f t="shared" si="3"/>
        <v>15474.480000000001</v>
      </c>
      <c r="W19" s="37">
        <f t="shared" si="3"/>
        <v>15479.01</v>
      </c>
      <c r="X19" s="37">
        <f t="shared" si="3"/>
        <v>15483.54</v>
      </c>
      <c r="Y19" s="37">
        <f t="shared" si="3"/>
        <v>15488.070000000002</v>
      </c>
      <c r="Z19" s="37">
        <f t="shared" si="3"/>
        <v>15492.6</v>
      </c>
      <c r="AA19" s="37">
        <f t="shared" si="3"/>
        <v>15497.130000000001</v>
      </c>
      <c r="AB19" s="37">
        <f t="shared" si="3"/>
        <v>15501.660000000002</v>
      </c>
      <c r="AC19" s="37">
        <f t="shared" si="3"/>
        <v>15506.19</v>
      </c>
      <c r="AD19" s="37">
        <f t="shared" si="3"/>
        <v>15510.720000000001</v>
      </c>
    </row>
    <row r="20" spans="1:30" x14ac:dyDescent="0.25">
      <c r="A20" s="36" t="s">
        <v>47</v>
      </c>
      <c r="B20" s="37">
        <f>B16*$P$6</f>
        <v>13040.64</v>
      </c>
      <c r="C20" s="37">
        <f t="shared" ref="C20:AD20" si="4">C16*$P$6</f>
        <v>13044.48</v>
      </c>
      <c r="D20" s="37">
        <f t="shared" si="4"/>
        <v>13048.32</v>
      </c>
      <c r="E20" s="37">
        <f t="shared" si="4"/>
        <v>13052.16</v>
      </c>
      <c r="F20" s="37">
        <f t="shared" si="4"/>
        <v>13056</v>
      </c>
      <c r="G20" s="37">
        <f t="shared" si="4"/>
        <v>13059.84</v>
      </c>
      <c r="H20" s="37">
        <f t="shared" si="4"/>
        <v>13063.68</v>
      </c>
      <c r="I20" s="37">
        <f t="shared" si="4"/>
        <v>13067.519999999999</v>
      </c>
      <c r="J20" s="37">
        <f t="shared" si="4"/>
        <v>13071.359999999999</v>
      </c>
      <c r="K20" s="37">
        <f t="shared" si="4"/>
        <v>13075.199999999999</v>
      </c>
      <c r="L20" s="37">
        <f t="shared" si="4"/>
        <v>13079.039999999999</v>
      </c>
      <c r="M20" s="37">
        <f t="shared" si="4"/>
        <v>13082.88</v>
      </c>
      <c r="N20" s="37">
        <f t="shared" si="4"/>
        <v>13086.72</v>
      </c>
      <c r="O20" s="37">
        <f t="shared" si="4"/>
        <v>13090.56</v>
      </c>
      <c r="P20" s="37">
        <f t="shared" si="4"/>
        <v>13094.4</v>
      </c>
      <c r="Q20" s="37">
        <f t="shared" si="4"/>
        <v>13098.24</v>
      </c>
      <c r="R20" s="37">
        <f t="shared" si="4"/>
        <v>13102.08</v>
      </c>
      <c r="S20" s="37">
        <f t="shared" si="4"/>
        <v>13105.92</v>
      </c>
      <c r="T20" s="37">
        <f t="shared" si="4"/>
        <v>13109.76</v>
      </c>
      <c r="U20" s="37">
        <f t="shared" si="4"/>
        <v>13113.6</v>
      </c>
      <c r="V20" s="37">
        <f t="shared" si="4"/>
        <v>13117.439999999999</v>
      </c>
      <c r="W20" s="37">
        <f t="shared" si="4"/>
        <v>13121.279999999999</v>
      </c>
      <c r="X20" s="37">
        <f t="shared" si="4"/>
        <v>13125.119999999999</v>
      </c>
      <c r="Y20" s="37">
        <f t="shared" si="4"/>
        <v>13128.96</v>
      </c>
      <c r="Z20" s="37">
        <f t="shared" si="4"/>
        <v>13132.8</v>
      </c>
      <c r="AA20" s="37">
        <f t="shared" si="4"/>
        <v>13136.64</v>
      </c>
      <c r="AB20" s="37">
        <f t="shared" si="4"/>
        <v>13140.48</v>
      </c>
      <c r="AC20" s="37">
        <f t="shared" si="4"/>
        <v>13144.32</v>
      </c>
      <c r="AD20" s="37">
        <f t="shared" si="4"/>
        <v>13148.16</v>
      </c>
    </row>
    <row r="21" spans="1:30" x14ac:dyDescent="0.25">
      <c r="A21" s="36" t="s">
        <v>48</v>
      </c>
      <c r="B21" s="37">
        <f>B16*$Q$6</f>
        <v>1562.16</v>
      </c>
      <c r="C21" s="37">
        <f t="shared" ref="C21:AD21" si="5">C16*$Q$6</f>
        <v>1562.6200000000001</v>
      </c>
      <c r="D21" s="37">
        <f t="shared" si="5"/>
        <v>1563.0800000000002</v>
      </c>
      <c r="E21" s="37">
        <f t="shared" si="5"/>
        <v>1563.54</v>
      </c>
      <c r="F21" s="37">
        <f t="shared" si="5"/>
        <v>1564</v>
      </c>
      <c r="G21" s="37">
        <f t="shared" si="5"/>
        <v>1564.46</v>
      </c>
      <c r="H21" s="37">
        <f t="shared" si="5"/>
        <v>1564.92</v>
      </c>
      <c r="I21" s="37">
        <f t="shared" si="5"/>
        <v>1565.38</v>
      </c>
      <c r="J21" s="37">
        <f t="shared" si="5"/>
        <v>1565.8400000000001</v>
      </c>
      <c r="K21" s="37">
        <f t="shared" si="5"/>
        <v>1566.3</v>
      </c>
      <c r="L21" s="37">
        <f t="shared" si="5"/>
        <v>1566.76</v>
      </c>
      <c r="M21" s="37">
        <f t="shared" si="5"/>
        <v>1567.22</v>
      </c>
      <c r="N21" s="37">
        <f t="shared" si="5"/>
        <v>1567.68</v>
      </c>
      <c r="O21" s="37">
        <f t="shared" si="5"/>
        <v>1568.14</v>
      </c>
      <c r="P21" s="37">
        <f t="shared" si="5"/>
        <v>1568.6000000000001</v>
      </c>
      <c r="Q21" s="37">
        <f t="shared" si="5"/>
        <v>1569.0600000000002</v>
      </c>
      <c r="R21" s="37">
        <f t="shared" si="5"/>
        <v>1569.52</v>
      </c>
      <c r="S21" s="37">
        <f t="shared" si="5"/>
        <v>1569.98</v>
      </c>
      <c r="T21" s="37">
        <f t="shared" si="5"/>
        <v>1570.44</v>
      </c>
      <c r="U21" s="37">
        <f t="shared" si="5"/>
        <v>1570.9</v>
      </c>
      <c r="V21" s="37">
        <f t="shared" si="5"/>
        <v>1571.3600000000001</v>
      </c>
      <c r="W21" s="37">
        <f t="shared" si="5"/>
        <v>1571.8200000000002</v>
      </c>
      <c r="X21" s="37">
        <f t="shared" si="5"/>
        <v>1572.28</v>
      </c>
      <c r="Y21" s="37">
        <f t="shared" si="5"/>
        <v>1572.74</v>
      </c>
      <c r="Z21" s="37">
        <f t="shared" si="5"/>
        <v>1573.2</v>
      </c>
      <c r="AA21" s="37">
        <f t="shared" si="5"/>
        <v>1573.66</v>
      </c>
      <c r="AB21" s="37">
        <f t="shared" si="5"/>
        <v>1574.1200000000001</v>
      </c>
      <c r="AC21" s="37">
        <f t="shared" si="5"/>
        <v>1574.5800000000002</v>
      </c>
      <c r="AD21" s="37">
        <f t="shared" si="5"/>
        <v>1575.04</v>
      </c>
    </row>
    <row r="22" spans="1:30" x14ac:dyDescent="0.25">
      <c r="A22" s="36" t="s">
        <v>49</v>
      </c>
      <c r="B22" s="37">
        <f>MIN(B$18,$C$4)</f>
        <v>40240.67</v>
      </c>
      <c r="C22" s="37">
        <f t="shared" ref="C22:AD22" si="6">MIN(C$18,$C$4)</f>
        <v>40240.67</v>
      </c>
      <c r="D22" s="37">
        <f t="shared" si="6"/>
        <v>40240.67</v>
      </c>
      <c r="E22" s="37">
        <f t="shared" si="6"/>
        <v>40240.67</v>
      </c>
      <c r="F22" s="37">
        <f t="shared" si="6"/>
        <v>40240.67</v>
      </c>
      <c r="G22" s="37">
        <f t="shared" si="6"/>
        <v>40240.67</v>
      </c>
      <c r="H22" s="37">
        <f t="shared" si="6"/>
        <v>40240.67</v>
      </c>
      <c r="I22" s="37">
        <f t="shared" si="6"/>
        <v>40240.67</v>
      </c>
      <c r="J22" s="37">
        <f t="shared" si="6"/>
        <v>40240.67</v>
      </c>
      <c r="K22" s="37">
        <f t="shared" si="6"/>
        <v>40240.67</v>
      </c>
      <c r="L22" s="37">
        <f t="shared" si="6"/>
        <v>40240.67</v>
      </c>
      <c r="M22" s="37">
        <f t="shared" si="6"/>
        <v>40240.67</v>
      </c>
      <c r="N22" s="37">
        <f t="shared" si="6"/>
        <v>40240.67</v>
      </c>
      <c r="O22" s="37">
        <f t="shared" si="6"/>
        <v>40240.67</v>
      </c>
      <c r="P22" s="37">
        <f t="shared" si="6"/>
        <v>40240.67</v>
      </c>
      <c r="Q22" s="37">
        <f t="shared" si="6"/>
        <v>40240.67</v>
      </c>
      <c r="R22" s="37">
        <f t="shared" si="6"/>
        <v>40240.67</v>
      </c>
      <c r="S22" s="37">
        <f t="shared" si="6"/>
        <v>40240.67</v>
      </c>
      <c r="T22" s="37">
        <f t="shared" si="6"/>
        <v>40240.67</v>
      </c>
      <c r="U22" s="37">
        <f t="shared" si="6"/>
        <v>40240.67</v>
      </c>
      <c r="V22" s="37">
        <f t="shared" si="6"/>
        <v>40240.67</v>
      </c>
      <c r="W22" s="37">
        <f t="shared" si="6"/>
        <v>40240.67</v>
      </c>
      <c r="X22" s="37">
        <f t="shared" si="6"/>
        <v>40240.67</v>
      </c>
      <c r="Y22" s="37">
        <f t="shared" si="6"/>
        <v>40240.67</v>
      </c>
      <c r="Z22" s="37">
        <f t="shared" si="6"/>
        <v>40240.67</v>
      </c>
      <c r="AA22" s="37">
        <f t="shared" si="6"/>
        <v>40240.67</v>
      </c>
      <c r="AB22" s="37">
        <f t="shared" si="6"/>
        <v>40240.67</v>
      </c>
      <c r="AC22" s="37">
        <f t="shared" si="6"/>
        <v>40240.67</v>
      </c>
      <c r="AD22" s="37">
        <f t="shared" si="6"/>
        <v>40240.67</v>
      </c>
    </row>
    <row r="23" spans="1:30" x14ac:dyDescent="0.25">
      <c r="A23" s="36" t="s">
        <v>50</v>
      </c>
      <c r="B23" s="37">
        <f>MIN(B$19,$C$5)</f>
        <v>15383.880000000001</v>
      </c>
      <c r="C23" s="37">
        <f t="shared" ref="C23:AD23" si="7">MIN(C$19,$C$5)</f>
        <v>15388.410000000002</v>
      </c>
      <c r="D23" s="37">
        <f t="shared" si="7"/>
        <v>15392.94</v>
      </c>
      <c r="E23" s="37">
        <f t="shared" si="7"/>
        <v>15397.470000000001</v>
      </c>
      <c r="F23" s="37">
        <f t="shared" si="7"/>
        <v>15402</v>
      </c>
      <c r="G23" s="37">
        <f t="shared" si="7"/>
        <v>15406.53</v>
      </c>
      <c r="H23" s="37">
        <f t="shared" si="7"/>
        <v>15411.060000000001</v>
      </c>
      <c r="I23" s="37">
        <f t="shared" si="7"/>
        <v>15415.59</v>
      </c>
      <c r="J23" s="37">
        <f t="shared" si="7"/>
        <v>15420.12</v>
      </c>
      <c r="K23" s="37">
        <f t="shared" si="7"/>
        <v>15424.650000000001</v>
      </c>
      <c r="L23" s="37">
        <f t="shared" si="7"/>
        <v>15429.18</v>
      </c>
      <c r="M23" s="37">
        <f t="shared" si="7"/>
        <v>15433.710000000001</v>
      </c>
      <c r="N23" s="37">
        <f t="shared" si="7"/>
        <v>15438.240000000002</v>
      </c>
      <c r="O23" s="37">
        <f t="shared" si="7"/>
        <v>15442.77</v>
      </c>
      <c r="P23" s="37">
        <f t="shared" si="7"/>
        <v>15447.300000000001</v>
      </c>
      <c r="Q23" s="37">
        <f t="shared" si="7"/>
        <v>15451.830000000002</v>
      </c>
      <c r="R23" s="37">
        <f t="shared" si="7"/>
        <v>15456.36</v>
      </c>
      <c r="S23" s="37">
        <f t="shared" si="7"/>
        <v>15460.890000000001</v>
      </c>
      <c r="T23" s="37">
        <f t="shared" si="7"/>
        <v>15465.42</v>
      </c>
      <c r="U23" s="37">
        <f t="shared" si="7"/>
        <v>15469.95</v>
      </c>
      <c r="V23" s="37">
        <f t="shared" si="7"/>
        <v>15474.480000000001</v>
      </c>
      <c r="W23" s="37">
        <f t="shared" si="7"/>
        <v>15479.01</v>
      </c>
      <c r="X23" s="37">
        <f t="shared" si="7"/>
        <v>15483.54</v>
      </c>
      <c r="Y23" s="37">
        <f t="shared" si="7"/>
        <v>15488.070000000002</v>
      </c>
      <c r="Z23" s="37">
        <f t="shared" si="7"/>
        <v>15492.6</v>
      </c>
      <c r="AA23" s="37">
        <f t="shared" si="7"/>
        <v>15497.130000000001</v>
      </c>
      <c r="AB23" s="37">
        <f t="shared" si="7"/>
        <v>15501.660000000002</v>
      </c>
      <c r="AC23" s="37">
        <f t="shared" si="7"/>
        <v>15506.19</v>
      </c>
      <c r="AD23" s="37">
        <f t="shared" si="7"/>
        <v>15510.720000000001</v>
      </c>
    </row>
    <row r="24" spans="1:30" x14ac:dyDescent="0.25">
      <c r="A24" s="36" t="s">
        <v>51</v>
      </c>
      <c r="B24" s="37">
        <f>MIN(B$20,$C$6)</f>
        <v>13040.64</v>
      </c>
      <c r="C24" s="37">
        <f t="shared" ref="C24:AD24" si="8">MIN(C$20,$C$6)</f>
        <v>13044.48</v>
      </c>
      <c r="D24" s="37">
        <f t="shared" si="8"/>
        <v>13048.32</v>
      </c>
      <c r="E24" s="37">
        <f t="shared" si="8"/>
        <v>13052.16</v>
      </c>
      <c r="F24" s="37">
        <f t="shared" si="8"/>
        <v>13056</v>
      </c>
      <c r="G24" s="37">
        <f t="shared" si="8"/>
        <v>13059.84</v>
      </c>
      <c r="H24" s="37">
        <f t="shared" si="8"/>
        <v>13063.68</v>
      </c>
      <c r="I24" s="37">
        <f t="shared" si="8"/>
        <v>13067.519999999999</v>
      </c>
      <c r="J24" s="37">
        <f t="shared" si="8"/>
        <v>13071.359999999999</v>
      </c>
      <c r="K24" s="37">
        <f t="shared" si="8"/>
        <v>13075.199999999999</v>
      </c>
      <c r="L24" s="37">
        <f t="shared" si="8"/>
        <v>13079.039999999999</v>
      </c>
      <c r="M24" s="37">
        <f t="shared" si="8"/>
        <v>13082.88</v>
      </c>
      <c r="N24" s="37">
        <f t="shared" si="8"/>
        <v>13086.72</v>
      </c>
      <c r="O24" s="37">
        <f t="shared" si="8"/>
        <v>13090.56</v>
      </c>
      <c r="P24" s="37">
        <f t="shared" si="8"/>
        <v>13094.4</v>
      </c>
      <c r="Q24" s="37">
        <f t="shared" si="8"/>
        <v>13098.24</v>
      </c>
      <c r="R24" s="37">
        <f t="shared" si="8"/>
        <v>13102.08</v>
      </c>
      <c r="S24" s="37">
        <f t="shared" si="8"/>
        <v>13105.92</v>
      </c>
      <c r="T24" s="37">
        <f t="shared" si="8"/>
        <v>13109.76</v>
      </c>
      <c r="U24" s="37">
        <f t="shared" si="8"/>
        <v>13113.6</v>
      </c>
      <c r="V24" s="37">
        <f t="shared" si="8"/>
        <v>13117.439999999999</v>
      </c>
      <c r="W24" s="37">
        <f t="shared" si="8"/>
        <v>13121.279999999999</v>
      </c>
      <c r="X24" s="37">
        <f t="shared" si="8"/>
        <v>13125.119999999999</v>
      </c>
      <c r="Y24" s="37">
        <f t="shared" si="8"/>
        <v>13128.96</v>
      </c>
      <c r="Z24" s="37">
        <f t="shared" si="8"/>
        <v>13132.8</v>
      </c>
      <c r="AA24" s="37">
        <f t="shared" si="8"/>
        <v>13136.64</v>
      </c>
      <c r="AB24" s="37">
        <f t="shared" si="8"/>
        <v>13140.48</v>
      </c>
      <c r="AC24" s="37">
        <f t="shared" si="8"/>
        <v>13144.32</v>
      </c>
      <c r="AD24" s="37">
        <f t="shared" si="8"/>
        <v>13148.16</v>
      </c>
    </row>
    <row r="25" spans="1:30" x14ac:dyDescent="0.25">
      <c r="A25" s="36" t="s">
        <v>52</v>
      </c>
      <c r="B25" s="37">
        <f>MIN(B$21,$C$7)</f>
        <v>1562.16</v>
      </c>
      <c r="C25" s="37">
        <f t="shared" ref="C25:AD25" si="9">MIN(C$21,$C$7)</f>
        <v>1562.6200000000001</v>
      </c>
      <c r="D25" s="37">
        <f t="shared" si="9"/>
        <v>1563.0800000000002</v>
      </c>
      <c r="E25" s="37">
        <f t="shared" si="9"/>
        <v>1563.54</v>
      </c>
      <c r="F25" s="37">
        <f t="shared" si="9"/>
        <v>1564</v>
      </c>
      <c r="G25" s="37">
        <f t="shared" si="9"/>
        <v>1564.46</v>
      </c>
      <c r="H25" s="37">
        <f t="shared" si="9"/>
        <v>1564.92</v>
      </c>
      <c r="I25" s="37">
        <f t="shared" si="9"/>
        <v>1565.38</v>
      </c>
      <c r="J25" s="37">
        <f t="shared" si="9"/>
        <v>1565.8400000000001</v>
      </c>
      <c r="K25" s="37">
        <f t="shared" si="9"/>
        <v>1566.3</v>
      </c>
      <c r="L25" s="37">
        <f t="shared" si="9"/>
        <v>1566.76</v>
      </c>
      <c r="M25" s="37">
        <f t="shared" si="9"/>
        <v>1567.22</v>
      </c>
      <c r="N25" s="37">
        <f t="shared" si="9"/>
        <v>1567.68</v>
      </c>
      <c r="O25" s="37">
        <f t="shared" si="9"/>
        <v>1568.14</v>
      </c>
      <c r="P25" s="37">
        <f t="shared" si="9"/>
        <v>1568.6000000000001</v>
      </c>
      <c r="Q25" s="37">
        <f t="shared" si="9"/>
        <v>1569.0600000000002</v>
      </c>
      <c r="R25" s="37">
        <f t="shared" si="9"/>
        <v>1569.52</v>
      </c>
      <c r="S25" s="37">
        <f t="shared" si="9"/>
        <v>1569.98</v>
      </c>
      <c r="T25" s="37">
        <f t="shared" si="9"/>
        <v>1570.44</v>
      </c>
      <c r="U25" s="37">
        <f t="shared" si="9"/>
        <v>1570.9</v>
      </c>
      <c r="V25" s="37">
        <f t="shared" si="9"/>
        <v>1571.3600000000001</v>
      </c>
      <c r="W25" s="37">
        <f t="shared" si="9"/>
        <v>1571.8200000000002</v>
      </c>
      <c r="X25" s="37">
        <f t="shared" si="9"/>
        <v>1572.28</v>
      </c>
      <c r="Y25" s="37">
        <f t="shared" si="9"/>
        <v>1572.74</v>
      </c>
      <c r="Z25" s="37">
        <f t="shared" si="9"/>
        <v>1573.2</v>
      </c>
      <c r="AA25" s="37">
        <f t="shared" si="9"/>
        <v>1573.66</v>
      </c>
      <c r="AB25" s="37">
        <f t="shared" si="9"/>
        <v>1574.1200000000001</v>
      </c>
      <c r="AC25" s="37">
        <f t="shared" si="9"/>
        <v>1574.5800000000002</v>
      </c>
      <c r="AD25" s="37">
        <f t="shared" si="9"/>
        <v>1575.04</v>
      </c>
    </row>
    <row r="26" spans="1:30" x14ac:dyDescent="0.25">
      <c r="A26" s="38" t="s">
        <v>53</v>
      </c>
      <c r="B26" s="39">
        <v>0</v>
      </c>
      <c r="C26" s="39">
        <f>IF(C22&gt;$B$4,(C22-$B$4)*$H$4,0)</f>
        <v>662.68999999998778</v>
      </c>
      <c r="D26" s="39">
        <v>0</v>
      </c>
      <c r="E26" s="39">
        <f>IF(E22&gt;$B$4,(E22-$B$4)*$H$4,0)</f>
        <v>662.68999999998778</v>
      </c>
      <c r="F26" s="39">
        <v>0</v>
      </c>
      <c r="G26" s="39">
        <f>IF(G22&gt;$B$4,(G22-$B$4)*$H$4,0)</f>
        <v>662.68999999998778</v>
      </c>
      <c r="H26" s="39">
        <v>0</v>
      </c>
      <c r="I26" s="39">
        <v>0</v>
      </c>
      <c r="J26" s="39">
        <f>IF(J22&gt;$B$4,(J22-$B$4)*$H$4,0)</f>
        <v>662.68999999998778</v>
      </c>
      <c r="K26" s="39">
        <v>0</v>
      </c>
      <c r="L26" s="39">
        <f>IF(L22&gt;$B$4,(L22-$B$4)*$H$4,0)</f>
        <v>662.68999999998778</v>
      </c>
      <c r="M26" s="39">
        <v>0</v>
      </c>
      <c r="N26" s="39">
        <f>IF(N22&gt;$B$4,(N22-$B$4)*$H$4,0)</f>
        <v>662.68999999998778</v>
      </c>
      <c r="O26" s="39">
        <v>0</v>
      </c>
      <c r="P26" s="39">
        <f>IF(P22&gt;$B$4,(P22-$B$4)*$H$4,0)</f>
        <v>662.68999999998778</v>
      </c>
      <c r="Q26" s="39">
        <v>0</v>
      </c>
      <c r="R26" s="39">
        <f>IF(R22&gt;$B$4,(R22-$B$4)*$H$4,0)</f>
        <v>662.68999999998778</v>
      </c>
      <c r="S26" s="39">
        <v>0</v>
      </c>
      <c r="T26" s="39">
        <f>IF(T22&gt;$B$4,(T22-$B$4)*$H$4,0)</f>
        <v>662.68999999998778</v>
      </c>
      <c r="U26" s="39">
        <v>0</v>
      </c>
      <c r="V26" s="39">
        <f>IF(V22&gt;$B$4,(V22-$B$4)*$H$4,0)</f>
        <v>662.68999999998778</v>
      </c>
      <c r="W26" s="39">
        <v>0</v>
      </c>
      <c r="X26" s="39">
        <f>IF(X22&gt;$B$4,(X22-$B$4)*$H$4,0)</f>
        <v>662.68999999998778</v>
      </c>
      <c r="Y26" s="39">
        <v>0</v>
      </c>
      <c r="Z26" s="39">
        <f>IF(Z22&gt;$B$4,(Z22-$B$4)*$H$4,0)</f>
        <v>662.68999999998778</v>
      </c>
      <c r="AA26" s="39">
        <v>0</v>
      </c>
      <c r="AB26" s="39">
        <f>IF(AB22&gt;$B$4,(AB22-$B$4)*$H$4,0)</f>
        <v>662.68999999998778</v>
      </c>
      <c r="AC26" s="39">
        <v>0</v>
      </c>
      <c r="AD26" s="39">
        <f>IF(AD22&gt;$B$4,(AD22-$B$4)*$H$4,0)</f>
        <v>662.68999999998778</v>
      </c>
    </row>
    <row r="27" spans="1:30" x14ac:dyDescent="0.25">
      <c r="A27" s="38" t="s">
        <v>54</v>
      </c>
      <c r="B27" s="39">
        <v>0</v>
      </c>
      <c r="C27" s="39">
        <f>IF(C23&gt;$B$5,(C23-$B$5)*$H$5,0)</f>
        <v>0</v>
      </c>
      <c r="D27" s="39">
        <v>0</v>
      </c>
      <c r="E27" s="39">
        <f>IF(E23&gt;$B$5,(E23-$B$5)*$H$5,0)</f>
        <v>0</v>
      </c>
      <c r="F27" s="39">
        <v>0</v>
      </c>
      <c r="G27" s="39">
        <f>IF(G23&gt;$B$5,(G23-$B$5)*$H$5,0)</f>
        <v>0</v>
      </c>
      <c r="H27" s="39">
        <v>0</v>
      </c>
      <c r="I27" s="39">
        <v>0</v>
      </c>
      <c r="J27" s="39">
        <f>IF(J23&gt;$B$5,(J23-$B$5)*$H$5,0)</f>
        <v>0</v>
      </c>
      <c r="K27" s="39">
        <v>0</v>
      </c>
      <c r="L27" s="39">
        <f>IF(L23&gt;$B$5,(L23-$B$5)*$H$5,0)</f>
        <v>0</v>
      </c>
      <c r="M27" s="39">
        <v>0</v>
      </c>
      <c r="N27" s="39">
        <f>IF(N23&gt;$B$5,(N23-$B$5)*$H$5,0)</f>
        <v>0</v>
      </c>
      <c r="O27" s="39">
        <v>0</v>
      </c>
      <c r="P27" s="39">
        <f>IF(P23&gt;$B$5,(P23-$B$5)*$H$5,0)</f>
        <v>0</v>
      </c>
      <c r="Q27" s="39">
        <v>0</v>
      </c>
      <c r="R27" s="39">
        <f>IF(R23&gt;$B$5,(R23-$B$5)*$H$5,0)</f>
        <v>0</v>
      </c>
      <c r="S27" s="39">
        <v>0</v>
      </c>
      <c r="T27" s="39">
        <f>IF(T23&gt;$B$5,(T23-$B$5)*$H$5,0)</f>
        <v>0</v>
      </c>
      <c r="U27" s="39">
        <v>0</v>
      </c>
      <c r="V27" s="39">
        <f>IF(V23&gt;$B$5,(V23-$B$5)*$H$5,0)</f>
        <v>0</v>
      </c>
      <c r="W27" s="39">
        <v>0</v>
      </c>
      <c r="X27" s="39">
        <f>IF(X23&gt;$B$5,(X23-$B$5)*$H$5,0)</f>
        <v>0</v>
      </c>
      <c r="Y27" s="39">
        <v>0</v>
      </c>
      <c r="Z27" s="39">
        <f>IF(Z23&gt;$B$5,(Z23-$B$5)*$H$5,0)</f>
        <v>0</v>
      </c>
      <c r="AA27" s="39">
        <v>0</v>
      </c>
      <c r="AB27" s="39">
        <f>IF(AB23&gt;$B$5,(AB23-$B$5)*$H$5,0)</f>
        <v>0</v>
      </c>
      <c r="AC27" s="39">
        <v>0</v>
      </c>
      <c r="AD27" s="39">
        <f>IF(AD23&gt;$B$5,(AD23-$B$5)*$H$5,0)</f>
        <v>0</v>
      </c>
    </row>
    <row r="28" spans="1:30" x14ac:dyDescent="0.25">
      <c r="A28" s="38" t="s">
        <v>55</v>
      </c>
      <c r="B28" s="39">
        <v>0</v>
      </c>
      <c r="C28" s="39">
        <f>IF(C24&gt;$B$6,(C24-$B$6)*$H$6,0)</f>
        <v>0</v>
      </c>
      <c r="D28" s="39">
        <v>0</v>
      </c>
      <c r="E28" s="39">
        <f>IF(E24&gt;$B$6,(E24-$B$6)*$H$6,0)</f>
        <v>0</v>
      </c>
      <c r="F28" s="39">
        <v>0</v>
      </c>
      <c r="G28" s="39">
        <f>IF(G24&gt;$B$6,(G24-$B$6)*$H$6,0)</f>
        <v>0</v>
      </c>
      <c r="H28" s="39">
        <v>0</v>
      </c>
      <c r="I28" s="39">
        <v>0</v>
      </c>
      <c r="J28" s="39">
        <f>IF(J24&gt;$B$6,(J24-$B$6)*$H$6,0)</f>
        <v>0</v>
      </c>
      <c r="K28" s="39">
        <v>0</v>
      </c>
      <c r="L28" s="39">
        <f>IF(L24&gt;$B$6,(L24-$B$6)*$H$6,0)</f>
        <v>0</v>
      </c>
      <c r="M28" s="39">
        <v>0</v>
      </c>
      <c r="N28" s="39">
        <f>IF(N24&gt;$B$6,(N24-$B$6)*$H$6,0)</f>
        <v>0</v>
      </c>
      <c r="O28" s="39">
        <v>0</v>
      </c>
      <c r="P28" s="39">
        <f>IF(P24&gt;$B$6,(P24-$B$6)*$H$6,0)</f>
        <v>0</v>
      </c>
      <c r="Q28" s="39">
        <v>0</v>
      </c>
      <c r="R28" s="39">
        <f>IF(R24&gt;$B$6,(R24-$B$6)*$H$6,0)</f>
        <v>0</v>
      </c>
      <c r="S28" s="39">
        <v>0</v>
      </c>
      <c r="T28" s="39">
        <f>IF(T24&gt;$B$6,(T24-$B$6)*$H$6,0)</f>
        <v>0</v>
      </c>
      <c r="U28" s="39">
        <v>0</v>
      </c>
      <c r="V28" s="39">
        <f>IF(V24&gt;$B$6,(V24-$B$6)*$H$6,0)</f>
        <v>0</v>
      </c>
      <c r="W28" s="39">
        <v>0</v>
      </c>
      <c r="X28" s="39">
        <f>IF(X24&gt;$B$6,(X24-$B$6)*$H$6,0)</f>
        <v>0</v>
      </c>
      <c r="Y28" s="39">
        <v>0</v>
      </c>
      <c r="Z28" s="39">
        <f>IF(Z24&gt;$B$6,(Z24-$B$6)*$H$6,0)</f>
        <v>0</v>
      </c>
      <c r="AA28" s="39">
        <v>0</v>
      </c>
      <c r="AB28" s="39">
        <f>IF(AB24&gt;$B$6,(AB24-$B$6)*$H$6,0)</f>
        <v>0</v>
      </c>
      <c r="AC28" s="39">
        <v>0</v>
      </c>
      <c r="AD28" s="39">
        <f>IF(AD24&gt;$B$6,(AD24-$B$6)*$H$6,0)</f>
        <v>0</v>
      </c>
    </row>
    <row r="29" spans="1:30" x14ac:dyDescent="0.25">
      <c r="A29" s="38" t="s">
        <v>56</v>
      </c>
      <c r="B29" s="39">
        <v>0</v>
      </c>
      <c r="C29" s="39">
        <f>IF(C25&gt;$B$7,(C25-$B$7)*$H$7,0)</f>
        <v>0</v>
      </c>
      <c r="D29" s="39">
        <v>0</v>
      </c>
      <c r="E29" s="39">
        <f>IF(E25&gt;$B$7,(E25-$B$7)*$H$7,0)</f>
        <v>0</v>
      </c>
      <c r="F29" s="39">
        <v>0</v>
      </c>
      <c r="G29" s="39">
        <f>IF(G25&gt;$B$7,(G25-$B$7)*$H$7,0)</f>
        <v>0</v>
      </c>
      <c r="H29" s="39">
        <v>0</v>
      </c>
      <c r="I29" s="39">
        <v>0</v>
      </c>
      <c r="J29" s="39">
        <f>IF(J25&gt;$B$7,(J25-$B$7)*$H$7,0)</f>
        <v>0</v>
      </c>
      <c r="K29" s="39">
        <v>0</v>
      </c>
      <c r="L29" s="39">
        <f>IF(L25&gt;$B$7,(L25-$B$7)*$H$7,0)</f>
        <v>0</v>
      </c>
      <c r="M29" s="39">
        <v>0</v>
      </c>
      <c r="N29" s="39">
        <f>IF(N25&gt;$B$7,(N25-$B$7)*$H$7,0)</f>
        <v>0</v>
      </c>
      <c r="O29" s="39">
        <v>0</v>
      </c>
      <c r="P29" s="39">
        <f>IF(P25&gt;$B$7,(P25-$B$7)*$H$7,0)</f>
        <v>0</v>
      </c>
      <c r="Q29" s="39">
        <v>0</v>
      </c>
      <c r="R29" s="39">
        <f>IF(R25&gt;$B$7,(R25-$B$7)*$H$7,0)</f>
        <v>0</v>
      </c>
      <c r="S29" s="39">
        <v>0</v>
      </c>
      <c r="T29" s="39">
        <f>IF(T25&gt;$B$7,(T25-$B$7)*$H$7,0)</f>
        <v>0</v>
      </c>
      <c r="U29" s="39">
        <v>0</v>
      </c>
      <c r="V29" s="39">
        <f>IF(V25&gt;$B$7,(V25-$B$7)*$H$7,0)</f>
        <v>0</v>
      </c>
      <c r="W29" s="39">
        <v>0</v>
      </c>
      <c r="X29" s="39">
        <f>IF(X25&gt;$B$7,(X25-$B$7)*$H$7,0)</f>
        <v>0</v>
      </c>
      <c r="Y29" s="39">
        <v>0</v>
      </c>
      <c r="Z29" s="39">
        <f>IF(Z25&gt;$B$7,(Z25-$B$7)*$H$7,0)</f>
        <v>0</v>
      </c>
      <c r="AA29" s="39">
        <v>0</v>
      </c>
      <c r="AB29" s="39">
        <f>IF(AB25&gt;$B$7,(AB25-$B$7)*$H$7,0)</f>
        <v>0</v>
      </c>
      <c r="AC29" s="39">
        <v>0</v>
      </c>
      <c r="AD29" s="39">
        <f>IF(AD25&gt;$B$7,(AD25-$B$7)*$H$7,0)</f>
        <v>0</v>
      </c>
    </row>
    <row r="30" spans="1:30" x14ac:dyDescent="0.25">
      <c r="A30" s="40" t="s">
        <v>57</v>
      </c>
      <c r="B30" s="41">
        <f>G4+G5+G6+G7</f>
        <v>116.7339999999997</v>
      </c>
      <c r="C30" s="41">
        <f t="shared" ref="C30:AD30" si="10">B30</f>
        <v>116.7339999999997</v>
      </c>
      <c r="D30" s="41">
        <f t="shared" si="10"/>
        <v>116.7339999999997</v>
      </c>
      <c r="E30" s="41">
        <f t="shared" si="10"/>
        <v>116.7339999999997</v>
      </c>
      <c r="F30" s="41">
        <f t="shared" si="10"/>
        <v>116.7339999999997</v>
      </c>
      <c r="G30" s="41">
        <f t="shared" si="10"/>
        <v>116.7339999999997</v>
      </c>
      <c r="H30" s="41">
        <f t="shared" si="10"/>
        <v>116.7339999999997</v>
      </c>
      <c r="I30" s="41">
        <f t="shared" si="10"/>
        <v>116.7339999999997</v>
      </c>
      <c r="J30" s="41">
        <f t="shared" si="10"/>
        <v>116.7339999999997</v>
      </c>
      <c r="K30" s="41">
        <f t="shared" si="10"/>
        <v>116.7339999999997</v>
      </c>
      <c r="L30" s="41">
        <f t="shared" si="10"/>
        <v>116.7339999999997</v>
      </c>
      <c r="M30" s="41">
        <f t="shared" si="10"/>
        <v>116.7339999999997</v>
      </c>
      <c r="N30" s="41">
        <f t="shared" si="10"/>
        <v>116.7339999999997</v>
      </c>
      <c r="O30" s="41">
        <f t="shared" si="10"/>
        <v>116.7339999999997</v>
      </c>
      <c r="P30" s="41">
        <f t="shared" si="10"/>
        <v>116.7339999999997</v>
      </c>
      <c r="Q30" s="41">
        <f t="shared" si="10"/>
        <v>116.7339999999997</v>
      </c>
      <c r="R30" s="41">
        <f t="shared" si="10"/>
        <v>116.7339999999997</v>
      </c>
      <c r="S30" s="41">
        <f t="shared" si="10"/>
        <v>116.7339999999997</v>
      </c>
      <c r="T30" s="41">
        <f t="shared" si="10"/>
        <v>116.7339999999997</v>
      </c>
      <c r="U30" s="41">
        <f t="shared" si="10"/>
        <v>116.7339999999997</v>
      </c>
      <c r="V30" s="41">
        <f t="shared" si="10"/>
        <v>116.7339999999997</v>
      </c>
      <c r="W30" s="41">
        <f t="shared" si="10"/>
        <v>116.7339999999997</v>
      </c>
      <c r="X30" s="41">
        <f t="shared" si="10"/>
        <v>116.7339999999997</v>
      </c>
      <c r="Y30" s="41">
        <f t="shared" si="10"/>
        <v>116.7339999999997</v>
      </c>
      <c r="Z30" s="41">
        <f t="shared" si="10"/>
        <v>116.7339999999997</v>
      </c>
      <c r="AA30" s="41">
        <f t="shared" si="10"/>
        <v>116.7339999999997</v>
      </c>
      <c r="AB30" s="41">
        <f t="shared" si="10"/>
        <v>116.7339999999997</v>
      </c>
      <c r="AC30" s="41">
        <f t="shared" si="10"/>
        <v>116.7339999999997</v>
      </c>
      <c r="AD30" s="41">
        <f t="shared" si="10"/>
        <v>116.7339999999997</v>
      </c>
    </row>
    <row r="31" spans="1:30" x14ac:dyDescent="0.25">
      <c r="A31" s="42" t="s">
        <v>58</v>
      </c>
      <c r="B31" s="43">
        <f t="shared" ref="B31:AD31" si="11">B26+B27+B28+B29-B30</f>
        <v>-116.7339999999997</v>
      </c>
      <c r="C31" s="43">
        <f t="shared" si="11"/>
        <v>545.95599999998808</v>
      </c>
      <c r="D31" s="43">
        <f t="shared" si="11"/>
        <v>-116.7339999999997</v>
      </c>
      <c r="E31" s="43">
        <f t="shared" si="11"/>
        <v>545.95599999998808</v>
      </c>
      <c r="F31" s="43">
        <f t="shared" si="11"/>
        <v>-116.7339999999997</v>
      </c>
      <c r="G31" s="43">
        <f t="shared" si="11"/>
        <v>545.95599999998808</v>
      </c>
      <c r="H31" s="43">
        <f t="shared" si="11"/>
        <v>-116.7339999999997</v>
      </c>
      <c r="I31" s="43">
        <f t="shared" si="11"/>
        <v>-116.7339999999997</v>
      </c>
      <c r="J31" s="43">
        <f t="shared" si="11"/>
        <v>545.95599999998808</v>
      </c>
      <c r="K31" s="43">
        <f t="shared" si="11"/>
        <v>-116.7339999999997</v>
      </c>
      <c r="L31" s="43">
        <f t="shared" si="11"/>
        <v>545.95599999998808</v>
      </c>
      <c r="M31" s="43">
        <f t="shared" si="11"/>
        <v>-116.7339999999997</v>
      </c>
      <c r="N31" s="43">
        <f t="shared" si="11"/>
        <v>545.95599999998808</v>
      </c>
      <c r="O31" s="43">
        <f t="shared" si="11"/>
        <v>-116.7339999999997</v>
      </c>
      <c r="P31" s="43">
        <f t="shared" si="11"/>
        <v>545.95599999998808</v>
      </c>
      <c r="Q31" s="43">
        <f t="shared" si="11"/>
        <v>-116.7339999999997</v>
      </c>
      <c r="R31" s="43">
        <f t="shared" si="11"/>
        <v>545.95599999998808</v>
      </c>
      <c r="S31" s="43">
        <f t="shared" si="11"/>
        <v>-116.7339999999997</v>
      </c>
      <c r="T31" s="43">
        <f t="shared" si="11"/>
        <v>545.95599999998808</v>
      </c>
      <c r="U31" s="43">
        <f t="shared" si="11"/>
        <v>-116.7339999999997</v>
      </c>
      <c r="V31" s="43">
        <f t="shared" si="11"/>
        <v>545.95599999998808</v>
      </c>
      <c r="W31" s="43">
        <f t="shared" si="11"/>
        <v>-116.7339999999997</v>
      </c>
      <c r="X31" s="43">
        <f t="shared" si="11"/>
        <v>545.95599999998808</v>
      </c>
      <c r="Y31" s="43">
        <f t="shared" si="11"/>
        <v>-116.7339999999997</v>
      </c>
      <c r="Z31" s="43">
        <f t="shared" si="11"/>
        <v>545.95599999998808</v>
      </c>
      <c r="AA31" s="43">
        <f t="shared" si="11"/>
        <v>-116.7339999999997</v>
      </c>
      <c r="AB31" s="43">
        <f t="shared" si="11"/>
        <v>545.95599999998808</v>
      </c>
      <c r="AC31" s="43">
        <f t="shared" si="11"/>
        <v>-116.7339999999997</v>
      </c>
      <c r="AD31" s="43">
        <f t="shared" si="11"/>
        <v>545.95599999998808</v>
      </c>
    </row>
    <row r="32" spans="1:30" x14ac:dyDescent="0.25">
      <c r="A32" s="44" t="s">
        <v>59</v>
      </c>
      <c r="B32" s="43">
        <f>-B12-B11+B31</f>
        <v>-21389.08399999997</v>
      </c>
      <c r="C32" s="43">
        <f t="shared" ref="C32:AD32" si="12">B32+C31</f>
        <v>-20843.127999999982</v>
      </c>
      <c r="D32" s="43">
        <f t="shared" si="12"/>
        <v>-20959.861999999983</v>
      </c>
      <c r="E32" s="43">
        <f t="shared" si="12"/>
        <v>-20413.905999999995</v>
      </c>
      <c r="F32" s="43">
        <f t="shared" si="12"/>
        <v>-20530.639999999996</v>
      </c>
      <c r="G32" s="43">
        <f t="shared" si="12"/>
        <v>-19984.684000000008</v>
      </c>
      <c r="H32" s="43">
        <f t="shared" si="12"/>
        <v>-20101.418000000009</v>
      </c>
      <c r="I32" s="43">
        <f t="shared" si="12"/>
        <v>-20218.152000000009</v>
      </c>
      <c r="J32" s="43">
        <f t="shared" si="12"/>
        <v>-19672.196000000022</v>
      </c>
      <c r="K32" s="43">
        <f t="shared" si="12"/>
        <v>-19788.930000000022</v>
      </c>
      <c r="L32" s="43">
        <f t="shared" si="12"/>
        <v>-19242.974000000035</v>
      </c>
      <c r="M32" s="43">
        <f t="shared" si="12"/>
        <v>-19359.708000000035</v>
      </c>
      <c r="N32" s="43">
        <f t="shared" si="12"/>
        <v>-18813.752000000048</v>
      </c>
      <c r="O32" s="43">
        <f t="shared" si="12"/>
        <v>-18930.486000000048</v>
      </c>
      <c r="P32" s="43">
        <f t="shared" si="12"/>
        <v>-18384.530000000061</v>
      </c>
      <c r="Q32" s="43">
        <f t="shared" si="12"/>
        <v>-18501.264000000061</v>
      </c>
      <c r="R32" s="43">
        <f t="shared" si="12"/>
        <v>-17955.308000000074</v>
      </c>
      <c r="S32" s="43">
        <f t="shared" si="12"/>
        <v>-18072.042000000074</v>
      </c>
      <c r="T32" s="43">
        <f t="shared" si="12"/>
        <v>-17526.086000000087</v>
      </c>
      <c r="U32" s="43">
        <f t="shared" si="12"/>
        <v>-17642.820000000087</v>
      </c>
      <c r="V32" s="43">
        <f t="shared" si="12"/>
        <v>-17096.8640000001</v>
      </c>
      <c r="W32" s="43">
        <f t="shared" si="12"/>
        <v>-17213.5980000001</v>
      </c>
      <c r="X32" s="43">
        <f t="shared" si="12"/>
        <v>-16667.642000000113</v>
      </c>
      <c r="Y32" s="43">
        <f t="shared" si="12"/>
        <v>-16784.376000000113</v>
      </c>
      <c r="Z32" s="43">
        <f t="shared" si="12"/>
        <v>-16238.420000000126</v>
      </c>
      <c r="AA32" s="43">
        <f t="shared" si="12"/>
        <v>-16355.154000000126</v>
      </c>
      <c r="AB32" s="43">
        <f t="shared" si="12"/>
        <v>-15809.198000000139</v>
      </c>
      <c r="AC32" s="43">
        <f t="shared" si="12"/>
        <v>-15925.932000000139</v>
      </c>
      <c r="AD32" s="43">
        <f t="shared" si="12"/>
        <v>-15379.976000000152</v>
      </c>
    </row>
    <row r="33" spans="1:30" x14ac:dyDescent="0.25">
      <c r="B33" s="45">
        <f>B32/$B$13</f>
        <v>-1.0054875930491929</v>
      </c>
      <c r="C33" s="45">
        <f t="shared" ref="C33:AD33" si="13">C32/$B$13</f>
        <v>-0.97982253958777532</v>
      </c>
      <c r="D33" s="45">
        <f t="shared" si="13"/>
        <v>-0.98531013263696832</v>
      </c>
      <c r="E33" s="45">
        <f t="shared" si="13"/>
        <v>-0.95964507917555064</v>
      </c>
      <c r="F33" s="45">
        <f t="shared" si="13"/>
        <v>-0.96513267222474364</v>
      </c>
      <c r="G33" s="45">
        <f t="shared" si="13"/>
        <v>-0.93946761876332596</v>
      </c>
      <c r="H33" s="45">
        <f t="shared" si="13"/>
        <v>-0.94495521181251896</v>
      </c>
      <c r="I33" s="45">
        <f t="shared" si="13"/>
        <v>-0.95044280486171195</v>
      </c>
      <c r="J33" s="45">
        <f t="shared" si="13"/>
        <v>-0.92477775140029428</v>
      </c>
      <c r="K33" s="45">
        <f t="shared" si="13"/>
        <v>-0.93026534444948727</v>
      </c>
      <c r="L33" s="45">
        <f t="shared" si="13"/>
        <v>-0.9046002909880696</v>
      </c>
      <c r="M33" s="45">
        <f t="shared" si="13"/>
        <v>-0.9100878840372626</v>
      </c>
      <c r="N33" s="45">
        <f t="shared" si="13"/>
        <v>-0.88442283057584492</v>
      </c>
      <c r="O33" s="45">
        <f t="shared" si="13"/>
        <v>-0.88991042362503792</v>
      </c>
      <c r="P33" s="45">
        <f t="shared" si="13"/>
        <v>-0.86424537016362024</v>
      </c>
      <c r="Q33" s="45">
        <f t="shared" si="13"/>
        <v>-0.86973296321281324</v>
      </c>
      <c r="R33" s="45">
        <f t="shared" si="13"/>
        <v>-0.84406790975139556</v>
      </c>
      <c r="S33" s="45">
        <f t="shared" si="13"/>
        <v>-0.84955550280058856</v>
      </c>
      <c r="T33" s="45">
        <f t="shared" si="13"/>
        <v>-0.82389044933917088</v>
      </c>
      <c r="U33" s="45">
        <f t="shared" si="13"/>
        <v>-0.82937804238836388</v>
      </c>
      <c r="V33" s="45">
        <f t="shared" si="13"/>
        <v>-0.8037129889269462</v>
      </c>
      <c r="W33" s="45">
        <f t="shared" si="13"/>
        <v>-0.8092005819761392</v>
      </c>
      <c r="X33" s="45">
        <f t="shared" si="13"/>
        <v>-0.78353552851472152</v>
      </c>
      <c r="Y33" s="45">
        <f t="shared" si="13"/>
        <v>-0.78902312156391452</v>
      </c>
      <c r="Z33" s="45">
        <f t="shared" si="13"/>
        <v>-0.76335806810249685</v>
      </c>
      <c r="AA33" s="45">
        <f t="shared" si="13"/>
        <v>-0.76884566115168984</v>
      </c>
      <c r="AB33" s="45">
        <f t="shared" si="13"/>
        <v>-0.74318060769027217</v>
      </c>
      <c r="AC33" s="45">
        <f t="shared" si="13"/>
        <v>-0.74866820073946516</v>
      </c>
      <c r="AD33" s="45">
        <f t="shared" si="13"/>
        <v>-0.72300314727804749</v>
      </c>
    </row>
    <row r="34" spans="1:30" x14ac:dyDescent="0.25">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row>
    <row r="35" spans="1:30" x14ac:dyDescent="0.25">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row>
    <row r="37" spans="1:30" x14ac:dyDescent="0.25">
      <c r="B37" s="139">
        <f>B18/B17</f>
        <v>0.5760921747479596</v>
      </c>
      <c r="C37" s="139">
        <f t="shared" ref="C37:P37" si="14">C18/C17</f>
        <v>0.57609217474795971</v>
      </c>
      <c r="D37" s="139">
        <f t="shared" si="14"/>
        <v>0.5760921747479596</v>
      </c>
      <c r="E37" s="139">
        <f t="shared" si="14"/>
        <v>0.57609217474795971</v>
      </c>
      <c r="F37" s="139">
        <f t="shared" si="14"/>
        <v>0.57609217474795971</v>
      </c>
      <c r="G37" s="139">
        <f t="shared" si="14"/>
        <v>0.57609217474795971</v>
      </c>
      <c r="H37" s="139">
        <f t="shared" si="14"/>
        <v>0.57609217474795982</v>
      </c>
      <c r="I37" s="139">
        <f t="shared" si="14"/>
        <v>0.5760921747479596</v>
      </c>
      <c r="J37" s="139">
        <f t="shared" si="14"/>
        <v>0.57609217474795971</v>
      </c>
      <c r="K37" s="139">
        <f t="shared" si="14"/>
        <v>0.5760921747479596</v>
      </c>
      <c r="L37" s="139">
        <f t="shared" si="14"/>
        <v>0.57609217474795971</v>
      </c>
      <c r="M37" s="139">
        <f t="shared" si="14"/>
        <v>0.57609217474795971</v>
      </c>
      <c r="N37" s="139">
        <f t="shared" si="14"/>
        <v>0.57609217474795971</v>
      </c>
      <c r="O37" s="139">
        <f t="shared" si="14"/>
        <v>0.57609217474795971</v>
      </c>
      <c r="P37" s="139">
        <f t="shared" si="14"/>
        <v>0.5760921747479596</v>
      </c>
    </row>
    <row r="38" spans="1:30" x14ac:dyDescent="0.25">
      <c r="B38" s="139">
        <f>B19/B17</f>
        <v>0.21747479596735478</v>
      </c>
      <c r="C38" s="139">
        <f t="shared" ref="C38:P38" si="15">C19/C17</f>
        <v>0.21747479596735481</v>
      </c>
      <c r="D38" s="139">
        <f t="shared" si="15"/>
        <v>0.21747479596735475</v>
      </c>
      <c r="E38" s="139">
        <f t="shared" si="15"/>
        <v>0.21747479596735481</v>
      </c>
      <c r="F38" s="139">
        <f t="shared" si="15"/>
        <v>0.21747479596735478</v>
      </c>
      <c r="G38" s="139">
        <f t="shared" si="15"/>
        <v>0.21747479596735478</v>
      </c>
      <c r="H38" s="139">
        <f t="shared" si="15"/>
        <v>0.21747479596735483</v>
      </c>
      <c r="I38" s="139">
        <f t="shared" si="15"/>
        <v>0.21747479596735475</v>
      </c>
      <c r="J38" s="139">
        <f t="shared" si="15"/>
        <v>0.21747479596735481</v>
      </c>
      <c r="K38" s="139">
        <f t="shared" si="15"/>
        <v>0.21747479596735478</v>
      </c>
      <c r="L38" s="139">
        <f t="shared" si="15"/>
        <v>0.21747479596735481</v>
      </c>
      <c r="M38" s="139">
        <f t="shared" si="15"/>
        <v>0.21747479596735481</v>
      </c>
      <c r="N38" s="139">
        <f t="shared" si="15"/>
        <v>0.21747479596735481</v>
      </c>
      <c r="O38" s="139">
        <f t="shared" si="15"/>
        <v>0.21747479596735478</v>
      </c>
      <c r="P38" s="139">
        <f t="shared" si="15"/>
        <v>0.21747479596735478</v>
      </c>
    </row>
    <row r="39" spans="1:30" x14ac:dyDescent="0.25">
      <c r="B39" s="139">
        <f>B20/B17</f>
        <v>0.18434949591934707</v>
      </c>
      <c r="C39" s="139">
        <f t="shared" ref="C39:P39" si="16">C20/C17</f>
        <v>0.1843494959193471</v>
      </c>
      <c r="D39" s="139">
        <f t="shared" si="16"/>
        <v>0.18434949591934707</v>
      </c>
      <c r="E39" s="139">
        <f t="shared" si="16"/>
        <v>0.1843494959193471</v>
      </c>
      <c r="F39" s="139">
        <f t="shared" si="16"/>
        <v>0.1843494959193471</v>
      </c>
      <c r="G39" s="139">
        <f t="shared" si="16"/>
        <v>0.1843494959193471</v>
      </c>
      <c r="H39" s="139">
        <f t="shared" si="16"/>
        <v>0.18434949591934713</v>
      </c>
      <c r="I39" s="139">
        <f t="shared" si="16"/>
        <v>0.18434949591934707</v>
      </c>
      <c r="J39" s="139">
        <f t="shared" si="16"/>
        <v>0.1843494959193471</v>
      </c>
      <c r="K39" s="139">
        <f t="shared" si="16"/>
        <v>0.18434949591934705</v>
      </c>
      <c r="L39" s="139">
        <f t="shared" si="16"/>
        <v>0.1843494959193471</v>
      </c>
      <c r="M39" s="139">
        <f t="shared" si="16"/>
        <v>0.1843494959193471</v>
      </c>
      <c r="N39" s="139">
        <f t="shared" si="16"/>
        <v>0.1843494959193471</v>
      </c>
      <c r="O39" s="139">
        <f t="shared" si="16"/>
        <v>0.18434949591934707</v>
      </c>
      <c r="P39" s="139">
        <f t="shared" si="16"/>
        <v>0.18434949591934707</v>
      </c>
    </row>
    <row r="40" spans="1:30" x14ac:dyDescent="0.25">
      <c r="B40" s="139">
        <f>B21/B17</f>
        <v>2.2083533365338453E-2</v>
      </c>
      <c r="C40" s="139">
        <f t="shared" ref="C40:P40" si="17">C21/C17</f>
        <v>2.2083533365338456E-2</v>
      </c>
      <c r="D40" s="139">
        <f t="shared" si="17"/>
        <v>2.2083533365338453E-2</v>
      </c>
      <c r="E40" s="139">
        <f t="shared" si="17"/>
        <v>2.2083533365338453E-2</v>
      </c>
      <c r="F40" s="139">
        <f t="shared" si="17"/>
        <v>2.2083533365338453E-2</v>
      </c>
      <c r="G40" s="139">
        <f t="shared" si="17"/>
        <v>2.2083533365338453E-2</v>
      </c>
      <c r="H40" s="139">
        <f t="shared" si="17"/>
        <v>2.208353336533846E-2</v>
      </c>
      <c r="I40" s="139">
        <f t="shared" si="17"/>
        <v>2.2083533365338453E-2</v>
      </c>
      <c r="J40" s="139">
        <f t="shared" si="17"/>
        <v>2.208353336533846E-2</v>
      </c>
      <c r="K40" s="139">
        <f t="shared" si="17"/>
        <v>2.2083533365338449E-2</v>
      </c>
      <c r="L40" s="139">
        <f t="shared" si="17"/>
        <v>2.2083533365338456E-2</v>
      </c>
      <c r="M40" s="139">
        <f t="shared" si="17"/>
        <v>2.2083533365338456E-2</v>
      </c>
      <c r="N40" s="139">
        <f t="shared" si="17"/>
        <v>2.2083533365338456E-2</v>
      </c>
      <c r="O40" s="139">
        <f t="shared" si="17"/>
        <v>2.2083533365338456E-2</v>
      </c>
      <c r="P40" s="139">
        <f t="shared" si="17"/>
        <v>2.2083533365338456E-2</v>
      </c>
    </row>
    <row r="41" spans="1:30" x14ac:dyDescent="0.25">
      <c r="G41" s="51">
        <f t="shared" ref="G41" si="18">G21-B7</f>
        <v>-131.53999999999996</v>
      </c>
      <c r="I41" s="51">
        <f t="shared" ref="I41" si="19">I21-B7</f>
        <v>-130.61999999999989</v>
      </c>
    </row>
    <row r="43" spans="1:30" x14ac:dyDescent="0.25">
      <c r="D43">
        <v>46500</v>
      </c>
    </row>
    <row r="44" spans="1:30" x14ac:dyDescent="0.25">
      <c r="D44">
        <f>D43*D37</f>
        <v>26788.28612578012</v>
      </c>
    </row>
    <row r="45" spans="1:30" x14ac:dyDescent="0.25">
      <c r="D45">
        <f>D38*D43</f>
        <v>10112.578012481996</v>
      </c>
    </row>
    <row r="46" spans="1:30" x14ac:dyDescent="0.25">
      <c r="D46">
        <f>D39*D43</f>
        <v>8572.2515602496387</v>
      </c>
    </row>
    <row r="47" spans="1:30" x14ac:dyDescent="0.25">
      <c r="D47">
        <f>D40*D43</f>
        <v>1026.884301488238</v>
      </c>
    </row>
  </sheetData>
  <mergeCells count="3">
    <mergeCell ref="D2:E2"/>
    <mergeCell ref="F2:G2"/>
    <mergeCell ref="H2:I2"/>
  </mergeCells>
  <conditionalFormatting sqref="B32:AD32">
    <cfRule type="cellIs" dxfId="1" priority="1" operator="lessThan">
      <formula>0</formula>
    </cfRule>
    <cfRule type="cellIs" dxfId="0" priority="2" operator="greaterThan">
      <formula>0</formula>
    </cfRule>
  </conditionalFormatting>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pageSetUpPr fitToPage="1"/>
  </sheetPr>
  <dimension ref="A1:BK41"/>
  <sheetViews>
    <sheetView tabSelected="1" zoomScale="110" zoomScaleNormal="110" workbookViewId="0">
      <pane xSplit="9" ySplit="3" topLeftCell="J4" activePane="bottomRight" state="frozen"/>
      <selection pane="topRight" activeCell="J1" sqref="J1"/>
      <selection pane="bottomLeft" activeCell="A5" sqref="A5"/>
      <selection pane="bottomRight" activeCell="Z16" sqref="Z16"/>
    </sheetView>
  </sheetViews>
  <sheetFormatPr baseColWidth="10" defaultColWidth="11.42578125" defaultRowHeight="15" x14ac:dyDescent="0.25"/>
  <cols>
    <col min="1" max="1" width="4.7109375" bestFit="1" customWidth="1"/>
    <col min="2" max="2" width="5.42578125" bestFit="1" customWidth="1"/>
    <col min="3" max="3" width="5.5703125" style="61" bestFit="1" customWidth="1"/>
    <col min="4" max="4" width="15.140625" style="55" bestFit="1" customWidth="1"/>
    <col min="5" max="5" width="5.5703125" bestFit="1" customWidth="1"/>
    <col min="6" max="6" width="5" bestFit="1" customWidth="1"/>
    <col min="7" max="7" width="4.5703125" style="60" bestFit="1" customWidth="1"/>
    <col min="8" max="8" width="3.7109375" style="2" bestFit="1" customWidth="1"/>
    <col min="9" max="9" width="4.85546875" bestFit="1" customWidth="1"/>
    <col min="10" max="10" width="4.5703125" bestFit="1" customWidth="1"/>
    <col min="11" max="11" width="4.7109375" style="84" bestFit="1" customWidth="1"/>
    <col min="12" max="12" width="5.140625" bestFit="1" customWidth="1"/>
    <col min="13" max="13" width="4.28515625" style="84" bestFit="1" customWidth="1"/>
    <col min="14" max="14" width="5" style="177" bestFit="1" customWidth="1"/>
    <col min="15" max="15" width="10.42578125" style="301" bestFit="1" customWidth="1"/>
    <col min="16" max="16" width="5.5703125" style="301" bestFit="1" customWidth="1"/>
    <col min="17" max="17" width="4.140625" style="148" bestFit="1" customWidth="1"/>
    <col min="18" max="19" width="5.7109375" style="186" bestFit="1" customWidth="1"/>
    <col min="20" max="20" width="12" bestFit="1" customWidth="1"/>
    <col min="21" max="21" width="9.42578125" bestFit="1" customWidth="1"/>
    <col min="22" max="22" width="11.140625" style="47" bestFit="1" customWidth="1"/>
    <col min="23" max="23" width="7.5703125" style="47" bestFit="1" customWidth="1"/>
    <col min="24" max="24" width="6.140625" style="47" bestFit="1" customWidth="1"/>
    <col min="25" max="28" width="6.140625" bestFit="1" customWidth="1"/>
    <col min="29" max="29" width="5.5703125" bestFit="1" customWidth="1"/>
    <col min="30" max="30" width="6.140625" bestFit="1" customWidth="1"/>
    <col min="31" max="31" width="9.5703125" style="47" bestFit="1" customWidth="1"/>
    <col min="32" max="33" width="4.5703125" style="650" bestFit="1" customWidth="1"/>
    <col min="34" max="34" width="6.5703125" style="650" bestFit="1" customWidth="1"/>
    <col min="35" max="36" width="7.5703125" style="650" bestFit="1" customWidth="1"/>
    <col min="37" max="39" width="6.5703125" style="650" bestFit="1" customWidth="1"/>
    <col min="40" max="40" width="7" style="650" bestFit="1" customWidth="1"/>
    <col min="41" max="41" width="4.140625" bestFit="1" customWidth="1"/>
    <col min="42" max="42" width="4.28515625" bestFit="1" customWidth="1"/>
    <col min="43" max="43" width="5.28515625" bestFit="1" customWidth="1"/>
    <col min="44" max="46" width="7.5703125" bestFit="1" customWidth="1"/>
    <col min="47" max="47" width="6.85546875" bestFit="1" customWidth="1"/>
    <col min="48" max="58" width="7.5703125" bestFit="1" customWidth="1"/>
    <col min="59" max="59" width="10.5703125" bestFit="1" customWidth="1"/>
    <col min="60" max="60" width="11.28515625" bestFit="1" customWidth="1"/>
  </cols>
  <sheetData>
    <row r="1" spans="1:63" s="72" customFormat="1" x14ac:dyDescent="0.25">
      <c r="C1" s="270"/>
      <c r="D1" s="117">
        <f ca="1">TODAY()</f>
        <v>43657</v>
      </c>
      <c r="E1" s="657">
        <v>41471</v>
      </c>
      <c r="F1" s="657"/>
      <c r="G1" s="657"/>
      <c r="H1" s="73"/>
      <c r="I1" s="73"/>
      <c r="J1" s="73"/>
      <c r="K1" s="74"/>
      <c r="L1" s="73"/>
      <c r="M1" s="74"/>
      <c r="N1" s="74"/>
      <c r="O1" s="74"/>
      <c r="P1" s="74"/>
      <c r="Q1" s="270"/>
      <c r="R1" s="74"/>
      <c r="S1" s="74"/>
      <c r="T1" s="73"/>
      <c r="U1" s="73"/>
      <c r="V1" s="73"/>
      <c r="W1" s="73"/>
      <c r="X1" s="104"/>
      <c r="Y1" s="73"/>
      <c r="Z1" s="73"/>
      <c r="AA1" s="73"/>
      <c r="AB1" s="73"/>
      <c r="AC1" s="73"/>
      <c r="AD1" s="73"/>
      <c r="AE1" s="104"/>
      <c r="AF1" s="643"/>
      <c r="AG1" s="643"/>
      <c r="AH1" s="644"/>
      <c r="AI1" s="644"/>
      <c r="AJ1" s="645"/>
      <c r="AK1" s="644"/>
      <c r="AL1" s="644"/>
      <c r="AM1" s="644"/>
      <c r="AN1" s="644"/>
      <c r="AO1" s="73"/>
      <c r="AP1" s="73"/>
      <c r="AQ1" s="73"/>
      <c r="AR1" s="73"/>
      <c r="AS1" s="73"/>
      <c r="AT1" s="73"/>
      <c r="AU1" s="73"/>
      <c r="AV1" s="73"/>
      <c r="AW1" s="73"/>
      <c r="AX1" s="73"/>
      <c r="AY1" s="73"/>
      <c r="AZ1" s="73"/>
      <c r="BA1" s="73"/>
      <c r="BB1" s="73"/>
      <c r="BC1" s="73"/>
      <c r="BD1" s="73"/>
      <c r="BE1" s="73"/>
      <c r="BF1" s="73"/>
    </row>
    <row r="2" spans="1:63" s="333" customFormat="1" x14ac:dyDescent="0.25">
      <c r="A2" s="333">
        <v>16</v>
      </c>
      <c r="B2" s="334"/>
      <c r="C2" s="335"/>
      <c r="D2" s="336"/>
      <c r="E2" s="337"/>
      <c r="F2" s="337"/>
      <c r="I2" s="338">
        <f>AVERAGE(I4:I27)</f>
        <v>8.091666666666665</v>
      </c>
      <c r="J2" s="337"/>
      <c r="K2" s="337"/>
      <c r="M2" s="338">
        <f>AVERAGE(M4:M27)</f>
        <v>5.1958333333333329</v>
      </c>
      <c r="N2" s="337"/>
      <c r="O2" s="337"/>
      <c r="P2" s="337"/>
      <c r="Q2" s="338">
        <f t="shared" ref="Q2:V2" si="0">AVERAGE(Q4:Q27)</f>
        <v>5.458333333333333</v>
      </c>
      <c r="R2" s="339">
        <f t="shared" si="0"/>
        <v>0.88033182093209916</v>
      </c>
      <c r="S2" s="339">
        <f t="shared" si="0"/>
        <v>0.94627800194641598</v>
      </c>
      <c r="T2" s="340">
        <f t="shared" si="0"/>
        <v>16998.75</v>
      </c>
      <c r="U2" s="340">
        <f t="shared" si="0"/>
        <v>-75</v>
      </c>
      <c r="V2" s="340">
        <f t="shared" si="0"/>
        <v>3524.25</v>
      </c>
      <c r="W2" s="341"/>
      <c r="X2" s="342">
        <f>(X4+X5)/2</f>
        <v>12.308333333333334</v>
      </c>
      <c r="Y2" s="342">
        <f>AVERAGE(Y4:Y12)</f>
        <v>9.9844320987654314</v>
      </c>
      <c r="Z2" s="342">
        <f>AVERAGE(Z13:Z18)</f>
        <v>7.8601851851851849</v>
      </c>
      <c r="AA2" s="342">
        <f>AVERAGE(AA19:AA22)</f>
        <v>7.25</v>
      </c>
      <c r="AB2" s="342">
        <f>AVERAGE(AB5:AB27)</f>
        <v>6.7631884057971003</v>
      </c>
      <c r="AC2" s="342">
        <f>AVERAGE(AC23:AC27)</f>
        <v>6.35</v>
      </c>
      <c r="AD2" s="342">
        <f>AVERAGE(AD4:AD27)</f>
        <v>10.803796296296296</v>
      </c>
      <c r="AE2" s="341"/>
      <c r="AF2" s="646"/>
      <c r="AG2" s="646"/>
      <c r="AH2" s="647"/>
      <c r="AI2" s="647"/>
      <c r="AJ2" s="647"/>
      <c r="AK2" s="647"/>
      <c r="AL2" s="647"/>
      <c r="AM2" s="647"/>
      <c r="AN2" s="647"/>
    </row>
    <row r="3" spans="1:63" x14ac:dyDescent="0.25">
      <c r="A3" s="94" t="s">
        <v>180</v>
      </c>
      <c r="B3" s="94" t="s">
        <v>100</v>
      </c>
      <c r="C3" s="95" t="s">
        <v>298</v>
      </c>
      <c r="D3" s="96" t="s">
        <v>71</v>
      </c>
      <c r="E3" s="94" t="s">
        <v>72</v>
      </c>
      <c r="F3" s="94" t="s">
        <v>61</v>
      </c>
      <c r="G3" s="94" t="s">
        <v>74</v>
      </c>
      <c r="H3" s="94" t="s">
        <v>75</v>
      </c>
      <c r="I3" s="94" t="s">
        <v>68</v>
      </c>
      <c r="J3" s="94" t="s">
        <v>329</v>
      </c>
      <c r="K3" s="97" t="s">
        <v>299</v>
      </c>
      <c r="L3" s="97" t="s">
        <v>300</v>
      </c>
      <c r="M3" s="94" t="s">
        <v>76</v>
      </c>
      <c r="N3" s="94" t="s">
        <v>290</v>
      </c>
      <c r="O3" s="94" t="s">
        <v>396</v>
      </c>
      <c r="P3" s="94" t="s">
        <v>319</v>
      </c>
      <c r="Q3" s="94" t="s">
        <v>267</v>
      </c>
      <c r="R3" s="189" t="s">
        <v>317</v>
      </c>
      <c r="S3" s="189" t="s">
        <v>318</v>
      </c>
      <c r="T3" s="94" t="s">
        <v>73</v>
      </c>
      <c r="U3" s="94" t="s">
        <v>279</v>
      </c>
      <c r="V3" s="94" t="s">
        <v>90</v>
      </c>
      <c r="W3" s="94" t="s">
        <v>194</v>
      </c>
      <c r="X3" s="94" t="s">
        <v>106</v>
      </c>
      <c r="Y3" s="94" t="s">
        <v>77</v>
      </c>
      <c r="Z3" s="94" t="s">
        <v>78</v>
      </c>
      <c r="AA3" s="94" t="s">
        <v>79</v>
      </c>
      <c r="AB3" s="94" t="s">
        <v>80</v>
      </c>
      <c r="AC3" s="94" t="s">
        <v>81</v>
      </c>
      <c r="AD3" s="94" t="s">
        <v>74</v>
      </c>
      <c r="AE3" s="94" t="s">
        <v>212</v>
      </c>
      <c r="AF3" s="116" t="s">
        <v>419</v>
      </c>
      <c r="AG3" s="116" t="s">
        <v>420</v>
      </c>
      <c r="AH3" s="116" t="s">
        <v>366</v>
      </c>
      <c r="AI3" s="116" t="s">
        <v>367</v>
      </c>
      <c r="AJ3" s="116" t="s">
        <v>226</v>
      </c>
      <c r="AK3" s="116" t="s">
        <v>227</v>
      </c>
      <c r="AL3" s="116" t="s">
        <v>228</v>
      </c>
      <c r="AM3" s="116" t="s">
        <v>265</v>
      </c>
      <c r="AN3" s="116" t="s">
        <v>266</v>
      </c>
      <c r="AO3" s="94" t="s">
        <v>348</v>
      </c>
      <c r="AP3" s="94" t="s">
        <v>349</v>
      </c>
      <c r="AQ3" s="94" t="s">
        <v>350</v>
      </c>
      <c r="AR3" s="151" t="s">
        <v>407</v>
      </c>
      <c r="AS3" s="151" t="s">
        <v>417</v>
      </c>
      <c r="AT3" s="151" t="s">
        <v>408</v>
      </c>
      <c r="AU3" s="151" t="s">
        <v>409</v>
      </c>
      <c r="AV3" s="151" t="s">
        <v>410</v>
      </c>
      <c r="AW3" s="151" t="s">
        <v>411</v>
      </c>
      <c r="AX3" s="151" t="s">
        <v>362</v>
      </c>
      <c r="AY3" s="151" t="s">
        <v>412</v>
      </c>
      <c r="AZ3" s="151" t="s">
        <v>413</v>
      </c>
      <c r="BA3" s="151" t="s">
        <v>353</v>
      </c>
      <c r="BB3" s="151" t="s">
        <v>414</v>
      </c>
      <c r="BC3" s="151" t="s">
        <v>301</v>
      </c>
      <c r="BD3" s="151" t="s">
        <v>415</v>
      </c>
      <c r="BE3" s="151" t="s">
        <v>416</v>
      </c>
      <c r="BF3" s="151" t="s">
        <v>277</v>
      </c>
      <c r="BG3" s="151" t="s">
        <v>380</v>
      </c>
      <c r="BH3" s="316" t="s">
        <v>422</v>
      </c>
    </row>
    <row r="4" spans="1:63" x14ac:dyDescent="0.25">
      <c r="A4" s="131" t="s">
        <v>170</v>
      </c>
      <c r="B4" s="131" t="s">
        <v>1</v>
      </c>
      <c r="C4" s="132">
        <f ca="1">((34*112)-(E4*112)-(F4))/112</f>
        <v>-1.1696428571428572</v>
      </c>
      <c r="D4" s="640" t="s">
        <v>344</v>
      </c>
      <c r="E4" s="133">
        <v>35</v>
      </c>
      <c r="F4" s="138">
        <f ca="1">-42406+$D$1-112-112-112-112-112-112-112-112-112-112-112</f>
        <v>19</v>
      </c>
      <c r="G4" s="134"/>
      <c r="H4" s="309">
        <v>6</v>
      </c>
      <c r="I4" s="102">
        <v>23.7</v>
      </c>
      <c r="J4" s="185">
        <f>LOG(I4+1)*4/3</f>
        <v>1.8569292710128877</v>
      </c>
      <c r="K4" s="98">
        <f t="shared" ref="K4" si="1">(H4)*(H4)*(I4)</f>
        <v>853.19999999999993</v>
      </c>
      <c r="L4" s="98">
        <f t="shared" ref="L4" si="2">(H4+1)*(H4+1)*I4</f>
        <v>1161.3</v>
      </c>
      <c r="M4" s="135">
        <v>5.3</v>
      </c>
      <c r="N4" s="178">
        <f>M4*10+19</f>
        <v>72</v>
      </c>
      <c r="O4" s="303">
        <v>42468</v>
      </c>
      <c r="P4" s="304">
        <f ca="1">IF((TODAY()-O4)&gt;335,1,((TODAY()-O4)^0.64)/(336^0.64))</f>
        <v>1</v>
      </c>
      <c r="Q4" s="178">
        <v>5</v>
      </c>
      <c r="R4" s="199">
        <f>(Q4/7)^0.5</f>
        <v>0.84515425472851657</v>
      </c>
      <c r="S4" s="199">
        <f>IF(Q4=7,1,((Q4+0.99)/7)^0.5)</f>
        <v>0.92504826128926143</v>
      </c>
      <c r="T4" s="111">
        <v>42270</v>
      </c>
      <c r="U4" s="268">
        <f t="shared" ref="U4:U22" si="3">T4-BG4</f>
        <v>2480</v>
      </c>
      <c r="V4" s="111">
        <v>13512</v>
      </c>
      <c r="W4" s="108">
        <f t="shared" ref="W4:W28" si="4">T4/V4</f>
        <v>3.1283303730017762</v>
      </c>
      <c r="X4" s="184">
        <f>16+12/18</f>
        <v>16.666666666666668</v>
      </c>
      <c r="Y4" s="185">
        <v>11.95</v>
      </c>
      <c r="Z4" s="184">
        <f>2+0.01+0.01+0.01+0.01+0.01+0.01+0.01</f>
        <v>2.0699999999999985</v>
      </c>
      <c r="AA4" s="185">
        <f>1.94+0.03+0.03+0.03+0.03+0.03+0.03+0.02+0.01</f>
        <v>2.149999999999999</v>
      </c>
      <c r="AB4" s="184">
        <v>0.95</v>
      </c>
      <c r="AC4" s="185">
        <v>0</v>
      </c>
      <c r="AD4" s="184">
        <f>18+0.2</f>
        <v>18.2</v>
      </c>
      <c r="AE4" s="312">
        <v>1379</v>
      </c>
      <c r="AF4" s="648">
        <f ca="1">(Z4+P4+J4)*(Q4/7)^0.5</f>
        <v>4.1640152361430092</v>
      </c>
      <c r="AG4" s="648">
        <f ca="1">(Z4+P4+J4)*(IF(Q4=7, (Q4/7)^0.5, ((Q4+1)/7)^0.5))</f>
        <v>4.5614501492614545</v>
      </c>
      <c r="AH4" s="108">
        <f ca="1">(((Y4+P4+J4)+(AB4+P4+J4)*2)/8)*(Q4/7)^0.5</f>
        <v>2.3686280268193625</v>
      </c>
      <c r="AI4" s="108">
        <f ca="1">(1.66*(AC4+J4+P4)+0.55*(AD4+J4+P4)-7.6)*(Q4/7)^0.5</f>
        <v>7.3729682566652341</v>
      </c>
      <c r="AJ4" s="108">
        <f ca="1">((AD4+J4+P4)*0.7+(AC4+J4+P4)*0.3)*(Q4/7)^0.5</f>
        <v>13.18181113409628</v>
      </c>
      <c r="AK4" s="108">
        <f ca="1">(0.5*(AC4+P4+J4)+ 0.3*(AD4+P4+J4))/10</f>
        <v>0.77455434168103099</v>
      </c>
      <c r="AL4" s="108">
        <f ca="1">(0.4*(Y4+P4+J4)+0.3*(AD4+P4+J4))/10</f>
        <v>1.2239850489709021</v>
      </c>
      <c r="AM4" s="649">
        <f ca="1">(AD4+P4+(LOG(I4)*4/3))*(Q4/7)^0.5</f>
        <v>17.776127575869424</v>
      </c>
      <c r="AN4" s="649">
        <f ca="1">(AD4+P4+(LOG(I4)*4/3))*(IF(Q4=7, (Q4/7)^0.5, ((Q4+1)/7)^0.5))</f>
        <v>19.472772116786619</v>
      </c>
      <c r="AO4" s="178">
        <v>2</v>
      </c>
      <c r="AP4" s="178">
        <v>2</v>
      </c>
      <c r="AQ4" s="241">
        <f>IF(AO4=4,IF(AP4=0,0.137+0.0697,0.137+0.02),IF(AO4=3,IF(AP4=0,0.0958+0.0697,0.0958+0.02),IF(AO4=2,IF(AP4=0,0.0415+0.0697,0.0415+0.02),IF(AO4=1,IF(AP4=0,0.0294+0.0697,0.0294+0.02),IF(AO4=0,IF(AP4=0,0.0063+0.0697,0.0063+0.02))))))</f>
        <v>6.1499999999999999E-2</v>
      </c>
      <c r="AR4" s="314"/>
      <c r="AS4" s="314"/>
      <c r="AT4" s="314"/>
      <c r="AU4" s="314"/>
      <c r="AV4" s="241"/>
      <c r="AW4" s="241"/>
      <c r="AX4" s="241"/>
      <c r="AY4" s="241"/>
      <c r="AZ4" s="241"/>
      <c r="BA4" s="241"/>
      <c r="BB4" s="241"/>
      <c r="BC4" s="241"/>
      <c r="BD4" s="241"/>
      <c r="BE4" s="241"/>
      <c r="BF4" s="241"/>
      <c r="BG4" s="111">
        <v>39790</v>
      </c>
      <c r="BH4" s="317"/>
      <c r="BJ4" s="136"/>
      <c r="BK4" s="139"/>
    </row>
    <row r="5" spans="1:63" s="81" customFormat="1" x14ac:dyDescent="0.25">
      <c r="A5" s="131" t="s">
        <v>429</v>
      </c>
      <c r="B5" s="131" t="s">
        <v>1</v>
      </c>
      <c r="C5" s="132">
        <f ca="1">((34*112)-(E5*112)-(F5))/112</f>
        <v>-5.25</v>
      </c>
      <c r="D5" s="640" t="s">
        <v>93</v>
      </c>
      <c r="E5" s="133">
        <v>39</v>
      </c>
      <c r="F5" s="138">
        <f ca="1">82-41471+$D$1-112-112-112-112-112-112-112-112-112-112-112-112-112-112-112-112-112-112-112-112</f>
        <v>28</v>
      </c>
      <c r="G5" s="134" t="s">
        <v>220</v>
      </c>
      <c r="H5" s="130">
        <v>3</v>
      </c>
      <c r="I5" s="102">
        <v>8.4</v>
      </c>
      <c r="J5" s="185">
        <f t="shared" ref="J5:J22" si="5">LOG(I5+1)*4/3</f>
        <v>1.2975038047995981</v>
      </c>
      <c r="K5" s="98">
        <f t="shared" ref="K5:K22" si="6">(H5)*(H5)*(I5)</f>
        <v>75.600000000000009</v>
      </c>
      <c r="L5" s="98">
        <f t="shared" ref="L5:L22" si="7">(H5+1)*(H5+1)*I5</f>
        <v>134.4</v>
      </c>
      <c r="M5" s="135">
        <v>3.5</v>
      </c>
      <c r="N5" s="178">
        <f t="shared" ref="N5:N22" si="8">M5*10+19</f>
        <v>54</v>
      </c>
      <c r="O5" s="178" t="s">
        <v>256</v>
      </c>
      <c r="P5" s="304">
        <v>1.5</v>
      </c>
      <c r="Q5" s="178">
        <v>4</v>
      </c>
      <c r="R5" s="199">
        <f t="shared" ref="R5:R22" si="9">(Q5/7)^0.5</f>
        <v>0.7559289460184544</v>
      </c>
      <c r="S5" s="199">
        <f t="shared" ref="S5:S22" si="10">IF(Q5=7,1,((Q5+0.99)/7)^0.5)</f>
        <v>0.84430867747355465</v>
      </c>
      <c r="T5" s="111">
        <v>610</v>
      </c>
      <c r="U5" s="268">
        <f t="shared" si="3"/>
        <v>-20</v>
      </c>
      <c r="V5" s="111">
        <v>450</v>
      </c>
      <c r="W5" s="108">
        <f t="shared" si="4"/>
        <v>1.3555555555555556</v>
      </c>
      <c r="X5" s="184">
        <v>7.95</v>
      </c>
      <c r="Y5" s="185">
        <v>6.95</v>
      </c>
      <c r="Z5" s="184">
        <v>0.95</v>
      </c>
      <c r="AA5" s="185">
        <v>0.95</v>
      </c>
      <c r="AB5" s="184">
        <v>1.95</v>
      </c>
      <c r="AC5" s="185">
        <v>0</v>
      </c>
      <c r="AD5" s="184">
        <v>14.95</v>
      </c>
      <c r="AE5" s="312">
        <v>449</v>
      </c>
      <c r="AF5" s="648">
        <f t="shared" ref="AF5:AF22" si="11">(Z5+P5+J5)*(Q5/7)^0.5</f>
        <v>2.8328466013623084</v>
      </c>
      <c r="AG5" s="648">
        <f t="shared" ref="AG5:AG22" si="12">(Z5+P5+J5)*(IF(Q5=7, (Q5/7)^0.5, ((Q5+1)/7)^0.5))</f>
        <v>3.1672187852376847</v>
      </c>
      <c r="AH5" s="108">
        <f t="shared" ref="AH5:AH22" si="13">(((Y5+P5+J5)+(AB5+P5+J5)*2)/8)*(Q5/7)^0.5</f>
        <v>1.8182464215293199</v>
      </c>
      <c r="AI5" s="108">
        <f t="shared" ref="AI5:AI22" si="14">(1.66*(AC5+J5+P5)+0.55*(AD5+J5+P5)-7.6)*(Q5/7)^0.5</f>
        <v>5.1440839357414436</v>
      </c>
      <c r="AJ5" s="108">
        <f t="shared" ref="AJ5:AJ22" si="15">((AD5+J5+P5)*0.7+(AC5+J5+P5)*0.3)*(Q5/7)^0.5</f>
        <v>10.025510522727901</v>
      </c>
      <c r="AK5" s="108">
        <f t="shared" ref="AK5:AK22" si="16">(0.5*(AC5+P5+J5)+ 0.3*(AD5+P5+J5))/10</f>
        <v>0.67230030438396782</v>
      </c>
      <c r="AL5" s="108">
        <f t="shared" ref="AL5:AL22" si="17">(0.4*(Y5+P5+J5)+0.3*(AD5+P5+J5))/10</f>
        <v>0.92232526633597178</v>
      </c>
      <c r="AM5" s="649">
        <f t="shared" ref="AM5:AM22" si="18">(AD5+P5+(LOG(I5)*4/3))*(Q5/7)^0.5</f>
        <v>13.366617117389504</v>
      </c>
      <c r="AN5" s="649">
        <f t="shared" ref="AN5:AN22" si="19">(AD5+P5+(LOG(I5)*4/3))*(IF(Q5=7, (Q5/7)^0.5, ((Q5+1)/7)^0.5))</f>
        <v>14.94433225184761</v>
      </c>
      <c r="AO5" s="178">
        <v>4</v>
      </c>
      <c r="AP5" s="178">
        <v>3</v>
      </c>
      <c r="AQ5" s="241">
        <f t="shared" ref="AQ5:AQ22" si="20">IF(AO5=4,IF(AP5=0,0.137+0.0697,0.137+0.02),IF(AO5=3,IF(AP5=0,0.0958+0.0697,0.0958+0.02),IF(AO5=2,IF(AP5=0,0.0415+0.0697,0.0415+0.02),IF(AO5=1,IF(AP5=0,0.0294+0.0697,0.0294+0.02),IF(AO5=0,IF(AP5=0,0.0063+0.0697,0.0063+0.02))))))</f>
        <v>0.157</v>
      </c>
      <c r="AR5" s="314"/>
      <c r="AS5" s="314"/>
      <c r="AT5" s="314"/>
      <c r="AU5" s="314"/>
      <c r="AV5" s="241"/>
      <c r="AW5" s="241"/>
      <c r="AX5" s="241"/>
      <c r="AY5" s="241"/>
      <c r="AZ5" s="241"/>
      <c r="BA5" s="241"/>
      <c r="BB5" s="241"/>
      <c r="BC5" s="241"/>
      <c r="BD5" s="241"/>
      <c r="BE5" s="241"/>
      <c r="BF5" s="241"/>
      <c r="BG5" s="111">
        <v>630</v>
      </c>
      <c r="BH5" s="317"/>
      <c r="BJ5" s="136"/>
      <c r="BK5" s="139"/>
    </row>
    <row r="6" spans="1:63" s="69" customFormat="1" x14ac:dyDescent="0.25">
      <c r="A6" s="131" t="s">
        <v>222</v>
      </c>
      <c r="B6" s="131" t="s">
        <v>2</v>
      </c>
      <c r="C6" s="132">
        <f t="shared" ref="C6:C22" ca="1" si="21">((34*112)-(E6*112)-(F6))/112</f>
        <v>-2.2678571428571428</v>
      </c>
      <c r="D6" s="640" t="s">
        <v>95</v>
      </c>
      <c r="E6" s="133">
        <v>36</v>
      </c>
      <c r="F6" s="138">
        <f ca="1">84-41471+$D$1-112-112-112-112-112-112-112-112-112-112-112-112-112-112-112-112-112-112-112-112</f>
        <v>30</v>
      </c>
      <c r="G6" s="134"/>
      <c r="H6" s="137">
        <v>4</v>
      </c>
      <c r="I6" s="102">
        <v>18</v>
      </c>
      <c r="J6" s="185">
        <f t="shared" si="5"/>
        <v>1.7050048012704384</v>
      </c>
      <c r="K6" s="98">
        <f t="shared" si="6"/>
        <v>288</v>
      </c>
      <c r="L6" s="98">
        <f t="shared" si="7"/>
        <v>450</v>
      </c>
      <c r="M6" s="135">
        <v>4.5999999999999996</v>
      </c>
      <c r="N6" s="178">
        <f t="shared" si="8"/>
        <v>65</v>
      </c>
      <c r="O6" s="178" t="s">
        <v>256</v>
      </c>
      <c r="P6" s="304">
        <v>1.5</v>
      </c>
      <c r="Q6" s="178">
        <v>6</v>
      </c>
      <c r="R6" s="199">
        <f t="shared" si="9"/>
        <v>0.92582009977255142</v>
      </c>
      <c r="S6" s="199">
        <f t="shared" si="10"/>
        <v>0.99928545900129484</v>
      </c>
      <c r="T6" s="111">
        <v>13610</v>
      </c>
      <c r="U6" s="268">
        <f t="shared" si="3"/>
        <v>350</v>
      </c>
      <c r="V6" s="111">
        <v>2980</v>
      </c>
      <c r="W6" s="108">
        <f t="shared" si="4"/>
        <v>4.5671140939597317</v>
      </c>
      <c r="X6" s="184">
        <v>0</v>
      </c>
      <c r="Y6" s="185">
        <v>11.95</v>
      </c>
      <c r="Z6" s="184">
        <v>12.95</v>
      </c>
      <c r="AA6" s="185">
        <v>8.9499999999999993</v>
      </c>
      <c r="AB6" s="184">
        <v>8.9499999999999993</v>
      </c>
      <c r="AC6" s="185">
        <v>0.95</v>
      </c>
      <c r="AD6" s="184">
        <f>10.7+0.5+0.5*77/90+0.5+0.45+0.45+0.4+0.35+0.35+0.3+0.35+0.3+0.3+0.3+0.25+0.25+0.2+0.2+0.2+0.2+0.2</f>
        <v>17.177777777777774</v>
      </c>
      <c r="AE6" s="312">
        <v>1565</v>
      </c>
      <c r="AF6" s="648">
        <f t="shared" si="11"/>
        <v>14.956628156938242</v>
      </c>
      <c r="AG6" s="648">
        <f t="shared" si="12"/>
        <v>16.155004801270437</v>
      </c>
      <c r="AH6" s="108">
        <f t="shared" si="13"/>
        <v>4.5671879466077216</v>
      </c>
      <c r="AI6" s="108">
        <f t="shared" si="14"/>
        <v>9.7283679853140228</v>
      </c>
      <c r="AJ6" s="108">
        <f t="shared" si="15"/>
        <v>14.363588948583933</v>
      </c>
      <c r="AK6" s="108">
        <f t="shared" si="16"/>
        <v>0.8192337174349682</v>
      </c>
      <c r="AL6" s="108">
        <f t="shared" si="17"/>
        <v>1.2176836694222639</v>
      </c>
      <c r="AM6" s="649">
        <f t="shared" si="18"/>
        <v>18.84180410697374</v>
      </c>
      <c r="AN6" s="649">
        <f t="shared" si="19"/>
        <v>20.351474451248848</v>
      </c>
      <c r="AO6" s="178">
        <v>2</v>
      </c>
      <c r="AP6" s="178">
        <v>3</v>
      </c>
      <c r="AQ6" s="241">
        <f t="shared" si="20"/>
        <v>6.1499999999999999E-2</v>
      </c>
      <c r="AR6" s="314"/>
      <c r="AS6" s="314"/>
      <c r="AT6" s="314"/>
      <c r="AU6" s="314"/>
      <c r="AV6" s="241"/>
      <c r="AW6" s="241"/>
      <c r="AX6" s="241"/>
      <c r="AY6" s="241"/>
      <c r="AZ6" s="241"/>
      <c r="BA6" s="241"/>
      <c r="BB6" s="241"/>
      <c r="BC6" s="241"/>
      <c r="BD6" s="241"/>
      <c r="BE6" s="241"/>
      <c r="BF6" s="241"/>
      <c r="BG6" s="111">
        <v>13260</v>
      </c>
      <c r="BH6" s="317"/>
      <c r="BJ6" s="136"/>
      <c r="BK6" s="139"/>
    </row>
    <row r="7" spans="1:63" s="70" customFormat="1" x14ac:dyDescent="0.25">
      <c r="A7" s="131" t="s">
        <v>428</v>
      </c>
      <c r="B7" s="79" t="s">
        <v>2</v>
      </c>
      <c r="C7" s="132">
        <f t="shared" ca="1" si="21"/>
        <v>-2.1339285714285716</v>
      </c>
      <c r="D7" s="640" t="s">
        <v>98</v>
      </c>
      <c r="E7" s="57">
        <v>36</v>
      </c>
      <c r="F7" s="58">
        <f ca="1">69-41471+$D$1-112-112-112-112-112-112-112-112-112-112-112-112-112-112-112-112-112-112-112-112</f>
        <v>15</v>
      </c>
      <c r="G7" s="80"/>
      <c r="H7" s="130">
        <v>3</v>
      </c>
      <c r="I7" s="59">
        <v>11.8</v>
      </c>
      <c r="J7" s="185">
        <f t="shared" si="5"/>
        <v>1.4762799595304912</v>
      </c>
      <c r="K7" s="98">
        <f t="shared" si="6"/>
        <v>106.2</v>
      </c>
      <c r="L7" s="98">
        <f t="shared" si="7"/>
        <v>188.8</v>
      </c>
      <c r="M7" s="92">
        <v>4.7</v>
      </c>
      <c r="N7" s="178">
        <f t="shared" si="8"/>
        <v>66</v>
      </c>
      <c r="O7" s="178" t="s">
        <v>256</v>
      </c>
      <c r="P7" s="304">
        <v>1.5</v>
      </c>
      <c r="Q7" s="179">
        <v>7</v>
      </c>
      <c r="R7" s="199">
        <f t="shared" si="9"/>
        <v>1</v>
      </c>
      <c r="S7" s="199">
        <f t="shared" si="10"/>
        <v>1</v>
      </c>
      <c r="T7" s="111">
        <v>3940</v>
      </c>
      <c r="U7" s="268">
        <f t="shared" si="3"/>
        <v>-220</v>
      </c>
      <c r="V7" s="269">
        <v>1220</v>
      </c>
      <c r="W7" s="108">
        <f t="shared" si="4"/>
        <v>3.2295081967213113</v>
      </c>
      <c r="X7" s="184">
        <v>0</v>
      </c>
      <c r="Y7" s="185">
        <v>11.95</v>
      </c>
      <c r="Z7" s="184">
        <v>5.95</v>
      </c>
      <c r="AA7" s="185">
        <v>6.95</v>
      </c>
      <c r="AB7" s="184">
        <v>7.95</v>
      </c>
      <c r="AC7" s="185">
        <v>1.95</v>
      </c>
      <c r="AD7" s="184">
        <v>16</v>
      </c>
      <c r="AE7" s="312">
        <v>1072</v>
      </c>
      <c r="AF7" s="648">
        <f t="shared" si="11"/>
        <v>8.9262799595304916</v>
      </c>
      <c r="AG7" s="648">
        <f t="shared" si="12"/>
        <v>8.9262799595304916</v>
      </c>
      <c r="AH7" s="108">
        <f t="shared" si="13"/>
        <v>4.5973549848239337</v>
      </c>
      <c r="AI7" s="108">
        <f t="shared" si="14"/>
        <v>11.014578710562388</v>
      </c>
      <c r="AJ7" s="108">
        <f t="shared" si="15"/>
        <v>14.761279959530491</v>
      </c>
      <c r="AK7" s="108">
        <f t="shared" si="16"/>
        <v>0.81560239676243929</v>
      </c>
      <c r="AL7" s="108">
        <f t="shared" si="17"/>
        <v>1.1663395971671342</v>
      </c>
      <c r="AM7" s="649">
        <f t="shared" si="18"/>
        <v>18.9291760097415</v>
      </c>
      <c r="AN7" s="649">
        <f t="shared" si="19"/>
        <v>18.9291760097415</v>
      </c>
      <c r="AO7" s="179">
        <v>3</v>
      </c>
      <c r="AP7" s="179">
        <v>2</v>
      </c>
      <c r="AQ7" s="241">
        <f t="shared" si="20"/>
        <v>0.1158</v>
      </c>
      <c r="AR7" s="314"/>
      <c r="AS7" s="314"/>
      <c r="AT7" s="314"/>
      <c r="AU7" s="314"/>
      <c r="AV7" s="241"/>
      <c r="AW7" s="241"/>
      <c r="AX7" s="241"/>
      <c r="AY7" s="241"/>
      <c r="AZ7" s="241"/>
      <c r="BA7" s="241"/>
      <c r="BB7" s="241"/>
      <c r="BC7" s="241"/>
      <c r="BD7" s="241"/>
      <c r="BE7" s="241"/>
      <c r="BF7" s="241"/>
      <c r="BG7" s="111">
        <v>4160</v>
      </c>
      <c r="BH7" s="317"/>
      <c r="BJ7" s="136"/>
      <c r="BK7" s="139"/>
    </row>
    <row r="8" spans="1:63" s="82" customFormat="1" x14ac:dyDescent="0.25">
      <c r="A8" s="99" t="s">
        <v>216</v>
      </c>
      <c r="B8" s="79" t="s">
        <v>2</v>
      </c>
      <c r="C8" s="132">
        <f t="shared" ca="1" si="21"/>
        <v>1.6607142857142858</v>
      </c>
      <c r="D8" s="640" t="s">
        <v>258</v>
      </c>
      <c r="E8" s="57">
        <v>32</v>
      </c>
      <c r="F8" s="58">
        <f ca="1">75-41471+$D$1-24-112-10-112-112+6-112-112-112+45-112-112-112-112-112-112-112-112-112-112-112-112-112-112</f>
        <v>38</v>
      </c>
      <c r="G8" s="80"/>
      <c r="H8" s="137">
        <v>4</v>
      </c>
      <c r="I8" s="59">
        <v>6.3</v>
      </c>
      <c r="J8" s="185">
        <f t="shared" si="5"/>
        <v>1.1510971468272746</v>
      </c>
      <c r="K8" s="98">
        <f t="shared" si="6"/>
        <v>100.8</v>
      </c>
      <c r="L8" s="98">
        <f t="shared" si="7"/>
        <v>157.5</v>
      </c>
      <c r="M8" s="92">
        <v>5.9</v>
      </c>
      <c r="N8" s="178">
        <f t="shared" si="8"/>
        <v>78</v>
      </c>
      <c r="O8" s="178" t="s">
        <v>256</v>
      </c>
      <c r="P8" s="304">
        <v>1.5</v>
      </c>
      <c r="Q8" s="179">
        <v>5</v>
      </c>
      <c r="R8" s="199">
        <f t="shared" si="9"/>
        <v>0.84515425472851657</v>
      </c>
      <c r="S8" s="199">
        <f t="shared" si="10"/>
        <v>0.92504826128926143</v>
      </c>
      <c r="T8" s="269">
        <v>12090</v>
      </c>
      <c r="U8" s="268">
        <f t="shared" si="3"/>
        <v>-270</v>
      </c>
      <c r="V8" s="269">
        <v>1710</v>
      </c>
      <c r="W8" s="108">
        <f t="shared" si="4"/>
        <v>7.0701754385964914</v>
      </c>
      <c r="X8" s="184">
        <v>0</v>
      </c>
      <c r="Y8" s="185">
        <f>6.51+0.25+0.25+0.25+0.2+0.2+0.2+0.2+0.19+0.19+0.17+0.16+0.16+0.03+0.16+0.15*33/90+0.14+0.13+0.13*36/90+0.02+0.12*32/90+0.02+0.02+0.15*3/90</f>
        <v>9.6046666666666667</v>
      </c>
      <c r="Z8" s="184">
        <v>8</v>
      </c>
      <c r="AA8" s="185">
        <f>5.8+0.05+0.05+0.05+0.05+0.04+0.04+0.03+0.02+0.02+0.01</f>
        <v>6.1599999999999984</v>
      </c>
      <c r="AB8" s="184">
        <f>4.28+(0.4/3)+0.4+0.4+0.35+0.35+0.35+0.35+0.3+0.3+0.25+0.25+0.25+0.2+0.04+0.17+0.16+0.03+0.15+0.13+0.02</f>
        <v>8.8633333333333315</v>
      </c>
      <c r="AC8" s="185">
        <v>2.95</v>
      </c>
      <c r="AD8" s="184">
        <f>9+1*5/90+0.85+0.85*30/90+0.65+0.55+0.5+0.4+0.35+0.35+0.25+0.25*35/90</f>
        <v>13.33611111111111</v>
      </c>
      <c r="AE8" s="312">
        <v>1029</v>
      </c>
      <c r="AF8" s="648">
        <f t="shared" si="11"/>
        <v>9.0018200711678347</v>
      </c>
      <c r="AG8" s="648">
        <f t="shared" si="12"/>
        <v>9.8609998231627642</v>
      </c>
      <c r="AH8" s="108">
        <f t="shared" si="13"/>
        <v>3.7276188442611371</v>
      </c>
      <c r="AI8" s="108">
        <f t="shared" si="14"/>
        <v>8.8663322590478515</v>
      </c>
      <c r="AJ8" s="108">
        <f t="shared" si="15"/>
        <v>10.878297281735897</v>
      </c>
      <c r="AK8" s="108">
        <f t="shared" si="16"/>
        <v>0.7596711050795153</v>
      </c>
      <c r="AL8" s="108">
        <f t="shared" si="17"/>
        <v>0.96984680027790904</v>
      </c>
      <c r="AM8" s="649">
        <f t="shared" si="18"/>
        <v>13.439557184310875</v>
      </c>
      <c r="AN8" s="649">
        <f t="shared" si="19"/>
        <v>14.722297265455362</v>
      </c>
      <c r="AO8" s="179">
        <v>3</v>
      </c>
      <c r="AP8" s="179">
        <v>2</v>
      </c>
      <c r="AQ8" s="241">
        <f t="shared" si="20"/>
        <v>0.1158</v>
      </c>
      <c r="AR8" s="314"/>
      <c r="AS8" s="314"/>
      <c r="AT8" s="314"/>
      <c r="AU8" s="314"/>
      <c r="AV8" s="241"/>
      <c r="AW8" s="241"/>
      <c r="AX8" s="241"/>
      <c r="AY8" s="241"/>
      <c r="AZ8" s="241"/>
      <c r="BA8" s="241"/>
      <c r="BB8" s="241"/>
      <c r="BC8" s="241"/>
      <c r="BD8" s="241"/>
      <c r="BE8" s="241"/>
      <c r="BF8" s="241"/>
      <c r="BG8" s="269">
        <v>12360</v>
      </c>
      <c r="BH8" s="318"/>
      <c r="BJ8" s="136"/>
      <c r="BK8" s="139"/>
    </row>
    <row r="9" spans="1:63" s="82" customFormat="1" x14ac:dyDescent="0.25">
      <c r="A9" s="131" t="s">
        <v>175</v>
      </c>
      <c r="B9" s="131" t="s">
        <v>2</v>
      </c>
      <c r="C9" s="132">
        <f t="shared" ca="1" si="21"/>
        <v>-1.9285714285714286</v>
      </c>
      <c r="D9" s="640" t="s">
        <v>364</v>
      </c>
      <c r="E9" s="133">
        <v>35</v>
      </c>
      <c r="F9" s="58">
        <f ca="1">46-41471+$D$1-112-112-112-112-112-112-112-112-112-112-112-112-112-112-112-112-112-112-112</f>
        <v>104</v>
      </c>
      <c r="G9" s="134" t="s">
        <v>96</v>
      </c>
      <c r="H9" s="130">
        <v>0</v>
      </c>
      <c r="I9" s="102">
        <v>17.100000000000001</v>
      </c>
      <c r="J9" s="185">
        <f t="shared" si="5"/>
        <v>1.6769047664922461</v>
      </c>
      <c r="K9" s="98">
        <f t="shared" si="6"/>
        <v>0</v>
      </c>
      <c r="L9" s="98">
        <f t="shared" si="7"/>
        <v>17.100000000000001</v>
      </c>
      <c r="M9" s="135">
        <v>4.8</v>
      </c>
      <c r="N9" s="178">
        <f t="shared" si="8"/>
        <v>67</v>
      </c>
      <c r="O9" s="178" t="s">
        <v>256</v>
      </c>
      <c r="P9" s="304">
        <v>1.5</v>
      </c>
      <c r="Q9" s="178">
        <v>6</v>
      </c>
      <c r="R9" s="199">
        <f t="shared" si="9"/>
        <v>0.92582009977255142</v>
      </c>
      <c r="S9" s="199">
        <f t="shared" si="10"/>
        <v>0.99928545900129484</v>
      </c>
      <c r="T9" s="111">
        <v>24820</v>
      </c>
      <c r="U9" s="268">
        <f t="shared" si="3"/>
        <v>-1500</v>
      </c>
      <c r="V9" s="111">
        <v>5520</v>
      </c>
      <c r="W9" s="108">
        <f t="shared" si="4"/>
        <v>4.4963768115942031</v>
      </c>
      <c r="X9" s="184">
        <v>0</v>
      </c>
      <c r="Y9" s="185">
        <v>11.95</v>
      </c>
      <c r="Z9" s="184">
        <v>11.95</v>
      </c>
      <c r="AA9" s="185">
        <v>12.95</v>
      </c>
      <c r="AB9" s="184">
        <v>9.9499999999999993</v>
      </c>
      <c r="AC9" s="185">
        <v>5.95</v>
      </c>
      <c r="AD9" s="184">
        <f>10.8+0.67+0.55+0.55+0.45+0.45+0.4+0.4+0.35+0.35+0.33+0.33+0.3+0.3+0.25+0.25+0.2+0.2+0.2+0.2</f>
        <v>17.529999999999998</v>
      </c>
      <c r="AE9" s="312">
        <v>1828</v>
      </c>
      <c r="AF9" s="648">
        <f t="shared" si="11"/>
        <v>14.004792480163735</v>
      </c>
      <c r="AG9" s="648">
        <f t="shared" si="12"/>
        <v>15.126904766492245</v>
      </c>
      <c r="AH9" s="108">
        <f t="shared" si="13"/>
        <v>4.7888871301751248</v>
      </c>
      <c r="AI9" s="108">
        <f t="shared" si="14"/>
        <v>17.534532315357808</v>
      </c>
      <c r="AJ9" s="108">
        <f t="shared" si="15"/>
        <v>15.954569610284725</v>
      </c>
      <c r="AK9" s="108">
        <f t="shared" si="16"/>
        <v>1.0775523813193797</v>
      </c>
      <c r="AL9" s="108">
        <f t="shared" si="17"/>
        <v>1.226283333654457</v>
      </c>
      <c r="AM9" s="649">
        <f t="shared" si="18"/>
        <v>19.140399941261563</v>
      </c>
      <c r="AN9" s="649">
        <f t="shared" si="19"/>
        <v>20.673994813856204</v>
      </c>
      <c r="AO9" s="178">
        <v>1</v>
      </c>
      <c r="AP9" s="178">
        <v>2</v>
      </c>
      <c r="AQ9" s="241">
        <f t="shared" si="20"/>
        <v>4.9399999999999999E-2</v>
      </c>
      <c r="AR9" s="314"/>
      <c r="AS9" s="314"/>
      <c r="AT9" s="314"/>
      <c r="AU9" s="314"/>
      <c r="AV9" s="241"/>
      <c r="AW9" s="241"/>
      <c r="AX9" s="241"/>
      <c r="AY9" s="241"/>
      <c r="AZ9" s="241"/>
      <c r="BA9" s="241"/>
      <c r="BB9" s="241"/>
      <c r="BC9" s="241"/>
      <c r="BD9" s="241"/>
      <c r="BE9" s="241"/>
      <c r="BF9" s="241"/>
      <c r="BG9" s="111">
        <v>26320</v>
      </c>
      <c r="BH9" s="317"/>
      <c r="BJ9" s="136"/>
      <c r="BK9" s="139"/>
    </row>
    <row r="10" spans="1:63" s="82" customFormat="1" x14ac:dyDescent="0.25">
      <c r="A10" s="131" t="s">
        <v>173</v>
      </c>
      <c r="B10" s="79" t="s">
        <v>2</v>
      </c>
      <c r="C10" s="132">
        <f t="shared" ca="1" si="21"/>
        <v>-0.5625</v>
      </c>
      <c r="D10" s="640" t="s">
        <v>291</v>
      </c>
      <c r="E10" s="57">
        <v>34</v>
      </c>
      <c r="F10" s="58">
        <f ca="1">7-41471+$D$1-112-111-3-112-112-112-112-112-112-112-112-112-112-112-112-112-112-112-112-112</f>
        <v>63</v>
      </c>
      <c r="G10" s="134" t="s">
        <v>94</v>
      </c>
      <c r="H10" s="130">
        <v>3</v>
      </c>
      <c r="I10" s="59">
        <v>14.8</v>
      </c>
      <c r="J10" s="185">
        <f t="shared" si="5"/>
        <v>1.5982094492725636</v>
      </c>
      <c r="K10" s="98">
        <f t="shared" si="6"/>
        <v>133.20000000000002</v>
      </c>
      <c r="L10" s="98">
        <f t="shared" si="7"/>
        <v>236.8</v>
      </c>
      <c r="M10" s="92">
        <v>5.3</v>
      </c>
      <c r="N10" s="178">
        <f t="shared" si="8"/>
        <v>72</v>
      </c>
      <c r="O10" s="178" t="s">
        <v>256</v>
      </c>
      <c r="P10" s="304">
        <v>1.5</v>
      </c>
      <c r="Q10" s="179">
        <v>6</v>
      </c>
      <c r="R10" s="199">
        <f t="shared" si="9"/>
        <v>0.92582009977255142</v>
      </c>
      <c r="S10" s="199">
        <f t="shared" si="10"/>
        <v>0.99928545900129484</v>
      </c>
      <c r="T10" s="111">
        <v>29860</v>
      </c>
      <c r="U10" s="268">
        <f t="shared" si="3"/>
        <v>850</v>
      </c>
      <c r="V10" s="269">
        <v>12280</v>
      </c>
      <c r="W10" s="108">
        <f t="shared" si="4"/>
        <v>2.4315960912052117</v>
      </c>
      <c r="X10" s="184">
        <v>0</v>
      </c>
      <c r="Y10" s="185">
        <f>5.6+0.26+0.26+0.26+(0.26*23/90)+(0.05*(90-23)/90)+0.26+0.26+0.23+0.23+0.22+0.15+0.15+0.14+0.13+0.13+0.13+0.12+0.12+0.12+0.02+0.1+0.1+0.1+0.01+0.1</f>
        <v>9.3036666666666648</v>
      </c>
      <c r="Z10" s="184">
        <v>14</v>
      </c>
      <c r="AA10" s="185">
        <f>11.58+0.17+(0.17/2)+0.17+0.15+0.03+0.15+0.14+0.13+0.12+0.11+0.11</f>
        <v>12.945</v>
      </c>
      <c r="AB10" s="184">
        <v>9.9499999999999993</v>
      </c>
      <c r="AC10" s="185">
        <v>3.95</v>
      </c>
      <c r="AD10" s="184">
        <v>16</v>
      </c>
      <c r="AE10" s="312">
        <v>1856</v>
      </c>
      <c r="AF10" s="648">
        <f t="shared" si="11"/>
        <v>15.829865978257505</v>
      </c>
      <c r="AG10" s="648">
        <f t="shared" si="12"/>
        <v>17.098209449272563</v>
      </c>
      <c r="AH10" s="108">
        <f t="shared" si="13"/>
        <v>4.455311916422878</v>
      </c>
      <c r="AI10" s="108">
        <f t="shared" si="14"/>
        <v>13.520716438922031</v>
      </c>
      <c r="AJ10" s="108">
        <f t="shared" si="15"/>
        <v>14.334666517124836</v>
      </c>
      <c r="AK10" s="108">
        <f t="shared" si="16"/>
        <v>0.92535675594180522</v>
      </c>
      <c r="AL10" s="108">
        <f t="shared" si="17"/>
        <v>1.0690213281157459</v>
      </c>
      <c r="AM10" s="649">
        <f t="shared" si="18"/>
        <v>17.646454170162258</v>
      </c>
      <c r="AN10" s="649">
        <f t="shared" si="19"/>
        <v>19.060348953859943</v>
      </c>
      <c r="AO10" s="179">
        <v>3</v>
      </c>
      <c r="AP10" s="179">
        <v>3</v>
      </c>
      <c r="AQ10" s="241">
        <f t="shared" si="20"/>
        <v>0.1158</v>
      </c>
      <c r="AR10" s="314"/>
      <c r="AS10" s="314"/>
      <c r="AT10" s="314"/>
      <c r="AU10" s="314"/>
      <c r="AV10" s="241"/>
      <c r="AW10" s="241"/>
      <c r="AX10" s="241"/>
      <c r="AY10" s="241"/>
      <c r="AZ10" s="241"/>
      <c r="BA10" s="241"/>
      <c r="BB10" s="241"/>
      <c r="BC10" s="241"/>
      <c r="BD10" s="241"/>
      <c r="BE10" s="241"/>
      <c r="BF10" s="241"/>
      <c r="BG10" s="111">
        <v>29010</v>
      </c>
      <c r="BH10" s="317"/>
      <c r="BJ10" s="136"/>
      <c r="BK10" s="139"/>
    </row>
    <row r="11" spans="1:63" s="2" customFormat="1" x14ac:dyDescent="0.25">
      <c r="A11" s="131" t="s">
        <v>171</v>
      </c>
      <c r="B11" s="131" t="s">
        <v>2</v>
      </c>
      <c r="C11" s="132">
        <f t="shared" ca="1" si="21"/>
        <v>-1.8125</v>
      </c>
      <c r="D11" s="640" t="s">
        <v>97</v>
      </c>
      <c r="E11" s="133">
        <v>35</v>
      </c>
      <c r="F11" s="138">
        <f ca="1">33-41471+$D$1-112-112-112-112-112-112-112-112-112-112-112-112-112-112-112-112-112-112-112</f>
        <v>91</v>
      </c>
      <c r="G11" s="134"/>
      <c r="H11" s="130">
        <v>3</v>
      </c>
      <c r="I11" s="102">
        <v>13.1</v>
      </c>
      <c r="J11" s="185">
        <f t="shared" si="5"/>
        <v>1.5322921502071731</v>
      </c>
      <c r="K11" s="98">
        <f t="shared" si="6"/>
        <v>117.89999999999999</v>
      </c>
      <c r="L11" s="98">
        <f t="shared" si="7"/>
        <v>209.6</v>
      </c>
      <c r="M11" s="135">
        <v>4.8</v>
      </c>
      <c r="N11" s="178">
        <f t="shared" si="8"/>
        <v>67</v>
      </c>
      <c r="O11" s="178" t="s">
        <v>256</v>
      </c>
      <c r="P11" s="304">
        <v>1.5</v>
      </c>
      <c r="Q11" s="178">
        <v>7</v>
      </c>
      <c r="R11" s="199">
        <f t="shared" si="9"/>
        <v>1</v>
      </c>
      <c r="S11" s="199">
        <f t="shared" si="10"/>
        <v>1</v>
      </c>
      <c r="T11" s="111">
        <v>9360</v>
      </c>
      <c r="U11" s="268">
        <f t="shared" si="3"/>
        <v>-410</v>
      </c>
      <c r="V11" s="111">
        <v>4400</v>
      </c>
      <c r="W11" s="108">
        <f t="shared" si="4"/>
        <v>2.1272727272727274</v>
      </c>
      <c r="X11" s="184">
        <v>0</v>
      </c>
      <c r="Y11" s="185">
        <f>7.5+0.2+0.2+0.2+0.2+0.2+0.16+0.16+0.14+0.14+0.13+0.13+0.12+0.12+0.12+0.12+0.11+0.1+0.1+0.1+0.1+0.1+0.1</f>
        <v>10.549999999999995</v>
      </c>
      <c r="Z11" s="184">
        <v>12.95</v>
      </c>
      <c r="AA11" s="185">
        <v>3.95</v>
      </c>
      <c r="AB11" s="184">
        <v>8.9499999999999993</v>
      </c>
      <c r="AC11" s="185">
        <v>0.95</v>
      </c>
      <c r="AD11" s="184">
        <v>17.3</v>
      </c>
      <c r="AE11" s="312">
        <v>1364</v>
      </c>
      <c r="AF11" s="648">
        <f t="shared" si="11"/>
        <v>15.982292150207172</v>
      </c>
      <c r="AG11" s="648">
        <f t="shared" si="12"/>
        <v>15.982292150207172</v>
      </c>
      <c r="AH11" s="108">
        <f t="shared" si="13"/>
        <v>4.6933595563276889</v>
      </c>
      <c r="AI11" s="108">
        <f t="shared" si="14"/>
        <v>10.193365651957853</v>
      </c>
      <c r="AJ11" s="108">
        <f t="shared" si="15"/>
        <v>15.427292150207172</v>
      </c>
      <c r="AK11" s="108">
        <f t="shared" si="16"/>
        <v>0.80908337201657388</v>
      </c>
      <c r="AL11" s="108">
        <f t="shared" si="17"/>
        <v>1.1532604505145021</v>
      </c>
      <c r="AM11" s="649">
        <f t="shared" si="18"/>
        <v>20.289695060874354</v>
      </c>
      <c r="AN11" s="649">
        <f t="shared" si="19"/>
        <v>20.289695060874354</v>
      </c>
      <c r="AO11" s="178">
        <v>4</v>
      </c>
      <c r="AP11" s="178">
        <v>1</v>
      </c>
      <c r="AQ11" s="241">
        <f t="shared" si="20"/>
        <v>0.157</v>
      </c>
      <c r="AR11" s="314"/>
      <c r="AS11" s="314"/>
      <c r="AT11" s="314"/>
      <c r="AU11" s="314"/>
      <c r="AV11" s="241"/>
      <c r="AW11" s="241"/>
      <c r="AX11" s="241"/>
      <c r="AY11" s="241"/>
      <c r="AZ11" s="241"/>
      <c r="BA11" s="241"/>
      <c r="BB11" s="241"/>
      <c r="BC11" s="241"/>
      <c r="BD11" s="241"/>
      <c r="BE11" s="241"/>
      <c r="BF11" s="241"/>
      <c r="BG11" s="111">
        <v>9770</v>
      </c>
      <c r="BH11" s="317"/>
      <c r="BJ11" s="136"/>
      <c r="BK11" s="139"/>
    </row>
    <row r="12" spans="1:63" s="82" customFormat="1" ht="14.25" customHeight="1" x14ac:dyDescent="0.25">
      <c r="A12" s="100" t="s">
        <v>427</v>
      </c>
      <c r="B12" s="79" t="s">
        <v>2</v>
      </c>
      <c r="C12" s="132">
        <f t="shared" ca="1" si="21"/>
        <v>-0.14285714285714285</v>
      </c>
      <c r="D12" s="640" t="s">
        <v>181</v>
      </c>
      <c r="E12" s="57">
        <v>34</v>
      </c>
      <c r="F12" s="58">
        <f ca="1">59-41471+$D$1-325-112-112-112-112-112-112-112-112-112-112-112-112-112-112-112-112-112</f>
        <v>16</v>
      </c>
      <c r="G12" s="80"/>
      <c r="H12" s="130">
        <v>2</v>
      </c>
      <c r="I12" s="59">
        <v>4.5</v>
      </c>
      <c r="J12" s="185">
        <f t="shared" si="5"/>
        <v>0.98715025265899181</v>
      </c>
      <c r="K12" s="98">
        <f t="shared" si="6"/>
        <v>18</v>
      </c>
      <c r="L12" s="98">
        <f t="shared" si="7"/>
        <v>40.5</v>
      </c>
      <c r="M12" s="92">
        <v>5.4</v>
      </c>
      <c r="N12" s="178">
        <f t="shared" si="8"/>
        <v>73</v>
      </c>
      <c r="O12" s="178" t="s">
        <v>256</v>
      </c>
      <c r="P12" s="304">
        <v>1.5</v>
      </c>
      <c r="Q12" s="179">
        <v>5</v>
      </c>
      <c r="R12" s="199">
        <f t="shared" si="9"/>
        <v>0.84515425472851657</v>
      </c>
      <c r="S12" s="199">
        <f t="shared" si="10"/>
        <v>0.92504826128926143</v>
      </c>
      <c r="T12" s="111">
        <v>2900</v>
      </c>
      <c r="U12" s="268">
        <f t="shared" si="3"/>
        <v>-160</v>
      </c>
      <c r="V12" s="269">
        <v>1190</v>
      </c>
      <c r="W12" s="108">
        <f t="shared" si="4"/>
        <v>2.4369747899159662</v>
      </c>
      <c r="X12" s="184">
        <v>0</v>
      </c>
      <c r="Y12" s="185">
        <f>4.45+0.06+0.2+0.06+0.06+(0.06*68/90)+0.06+0.06+0.06+0.04+(0.22*35/90)+0.04+0.04+0.04+0.04+0.04+0.04*0.5+0.2*66/90+0.02+0.12*33/90+0.02+0.02</f>
        <v>5.6515555555555519</v>
      </c>
      <c r="Z12" s="184">
        <v>9</v>
      </c>
      <c r="AA12" s="185">
        <v>6.95</v>
      </c>
      <c r="AB12" s="184">
        <v>8.9499999999999993</v>
      </c>
      <c r="AC12" s="185">
        <v>2.95</v>
      </c>
      <c r="AD12" s="184">
        <f>10+0.65+0.65+0.5+0.4+0.25+0.2+0.25*71/90</f>
        <v>12.847222222222223</v>
      </c>
      <c r="AE12" s="312">
        <v>864</v>
      </c>
      <c r="AF12" s="648">
        <f t="shared" si="11"/>
        <v>9.7084139107405019</v>
      </c>
      <c r="AG12" s="648">
        <f t="shared" si="12"/>
        <v>10.635034593019038</v>
      </c>
      <c r="AH12" s="108">
        <f t="shared" si="13"/>
        <v>3.2763467797255452</v>
      </c>
      <c r="AI12" s="108">
        <f t="shared" si="14"/>
        <v>8.3328611530597563</v>
      </c>
      <c r="AJ12" s="108">
        <f t="shared" si="15"/>
        <v>10.450506299406291</v>
      </c>
      <c r="AK12" s="108">
        <f t="shared" si="16"/>
        <v>0.73188868687938613</v>
      </c>
      <c r="AL12" s="108">
        <f t="shared" si="17"/>
        <v>0.78557940657501812</v>
      </c>
      <c r="AM12" s="649">
        <f t="shared" si="18"/>
        <v>12.861703018325491</v>
      </c>
      <c r="AN12" s="649">
        <f t="shared" si="19"/>
        <v>14.089289742138304</v>
      </c>
      <c r="AO12" s="179">
        <v>1</v>
      </c>
      <c r="AP12" s="179">
        <v>2</v>
      </c>
      <c r="AQ12" s="241">
        <f t="shared" si="20"/>
        <v>4.9399999999999999E-2</v>
      </c>
      <c r="AR12" s="314"/>
      <c r="AS12" s="314"/>
      <c r="AT12" s="314"/>
      <c r="AU12" s="314"/>
      <c r="AV12" s="241"/>
      <c r="AW12" s="241"/>
      <c r="AX12" s="241"/>
      <c r="AY12" s="241"/>
      <c r="AZ12" s="241"/>
      <c r="BA12" s="241"/>
      <c r="BB12" s="241"/>
      <c r="BC12" s="241"/>
      <c r="BD12" s="241"/>
      <c r="BE12" s="241"/>
      <c r="BF12" s="241"/>
      <c r="BG12" s="111">
        <v>3060</v>
      </c>
      <c r="BH12" s="317"/>
      <c r="BJ12" s="136"/>
      <c r="BK12" s="139"/>
    </row>
    <row r="13" spans="1:63" s="78" customFormat="1" x14ac:dyDescent="0.25">
      <c r="A13" s="131" t="s">
        <v>264</v>
      </c>
      <c r="B13" s="131" t="s">
        <v>62</v>
      </c>
      <c r="C13" s="132">
        <f t="shared" ca="1" si="21"/>
        <v>15.232142857142858</v>
      </c>
      <c r="D13" s="315" t="s">
        <v>404</v>
      </c>
      <c r="E13" s="133">
        <v>18</v>
      </c>
      <c r="F13" s="58">
        <f ca="1">-43571+$D$1</f>
        <v>86</v>
      </c>
      <c r="G13" s="134" t="s">
        <v>220</v>
      </c>
      <c r="H13" s="130">
        <v>4</v>
      </c>
      <c r="I13" s="102">
        <v>0.4</v>
      </c>
      <c r="J13" s="185">
        <f t="shared" si="5"/>
        <v>0.19483738090431735</v>
      </c>
      <c r="K13" s="98">
        <f t="shared" si="6"/>
        <v>6.4</v>
      </c>
      <c r="L13" s="98">
        <f t="shared" si="7"/>
        <v>10</v>
      </c>
      <c r="M13" s="135">
        <v>5.3</v>
      </c>
      <c r="N13" s="178">
        <f t="shared" si="8"/>
        <v>72</v>
      </c>
      <c r="O13" s="303">
        <v>43626</v>
      </c>
      <c r="P13" s="304">
        <f t="shared" ref="P13:P22" ca="1" si="22">IF((TODAY()-O13)&gt;335,1,((TODAY()-O13)^0.64)/(336^0.64))</f>
        <v>0.2175776824553268</v>
      </c>
      <c r="Q13" s="178">
        <v>5</v>
      </c>
      <c r="R13" s="199">
        <f t="shared" si="9"/>
        <v>0.84515425472851657</v>
      </c>
      <c r="S13" s="199">
        <f t="shared" si="10"/>
        <v>0.92504826128926143</v>
      </c>
      <c r="T13" s="111">
        <v>5990</v>
      </c>
      <c r="U13" s="268">
        <f t="shared" si="3"/>
        <v>220</v>
      </c>
      <c r="V13" s="111">
        <v>684</v>
      </c>
      <c r="W13" s="108">
        <f t="shared" si="4"/>
        <v>8.757309941520468</v>
      </c>
      <c r="X13" s="184">
        <v>0</v>
      </c>
      <c r="Y13" s="185">
        <v>4</v>
      </c>
      <c r="Z13" s="184">
        <f>7+4/5</f>
        <v>7.8</v>
      </c>
      <c r="AA13" s="185">
        <v>3</v>
      </c>
      <c r="AB13" s="184">
        <v>4</v>
      </c>
      <c r="AC13" s="185">
        <v>7</v>
      </c>
      <c r="AD13" s="184">
        <v>6</v>
      </c>
      <c r="AE13" s="312">
        <v>631</v>
      </c>
      <c r="AF13" s="648">
        <f t="shared" ca="1" si="11"/>
        <v>6.9407575323949633</v>
      </c>
      <c r="AG13" s="648">
        <f t="shared" ca="1" si="12"/>
        <v>7.6032189333332303</v>
      </c>
      <c r="AH13" s="108">
        <f t="shared" ca="1" si="13"/>
        <v>1.398439261659975</v>
      </c>
      <c r="AI13" s="108">
        <f t="shared" ca="1" si="14"/>
        <v>6.9568342481954408</v>
      </c>
      <c r="AJ13" s="108">
        <f t="shared" ca="1" si="15"/>
        <v>5.6730261503021877</v>
      </c>
      <c r="AK13" s="108">
        <f t="shared" ca="1" si="16"/>
        <v>0.5629932050687716</v>
      </c>
      <c r="AL13" s="108">
        <f t="shared" ca="1" si="17"/>
        <v>0.36886905443517504</v>
      </c>
      <c r="AM13" s="649">
        <f t="shared" ca="1" si="18"/>
        <v>4.8063846438243552</v>
      </c>
      <c r="AN13" s="649">
        <f t="shared" ca="1" si="19"/>
        <v>5.2651305789380647</v>
      </c>
      <c r="AO13" s="178">
        <v>4</v>
      </c>
      <c r="AP13" s="178">
        <v>3</v>
      </c>
      <c r="AQ13" s="241">
        <f t="shared" si="20"/>
        <v>0.157</v>
      </c>
      <c r="AR13" s="321">
        <v>9</v>
      </c>
      <c r="AS13" s="321">
        <v>25</v>
      </c>
      <c r="AT13" s="321">
        <v>29</v>
      </c>
      <c r="AU13" s="321">
        <v>5</v>
      </c>
      <c r="AV13" s="321">
        <f>AR13*1+AS13*0.066</f>
        <v>10.65</v>
      </c>
      <c r="AW13" s="321">
        <f>AR13*0.919+AS13*0.167</f>
        <v>12.446000000000002</v>
      </c>
      <c r="AX13" s="321">
        <f>AR13*1+AS13*0.236</f>
        <v>14.899999999999999</v>
      </c>
      <c r="AY13" s="321">
        <f>AR13*0.75+AS13*0.165</f>
        <v>10.875</v>
      </c>
      <c r="AZ13" s="321">
        <f>AR13*0.73+AS13*0.38</f>
        <v>16.07</v>
      </c>
      <c r="BA13" s="321">
        <f>AR13*0.45+AS13*1</f>
        <v>29.05</v>
      </c>
      <c r="BB13" s="321">
        <f>AR13*0.65+AS13*0.95</f>
        <v>29.6</v>
      </c>
      <c r="BC13" s="321">
        <f>AR13*0.3+AS13*0.53</f>
        <v>15.95</v>
      </c>
      <c r="BD13" s="321">
        <f>AR13*0.4+AS13*0.44</f>
        <v>14.6</v>
      </c>
      <c r="BE13" s="321">
        <f>AR13*0.25+AS13*0.73</f>
        <v>20.5</v>
      </c>
      <c r="BF13" s="321">
        <f>AS13*0.46</f>
        <v>11.5</v>
      </c>
      <c r="BG13" s="111">
        <v>5770</v>
      </c>
      <c r="BH13" s="317">
        <v>2327</v>
      </c>
      <c r="BJ13" s="136"/>
      <c r="BK13" s="139"/>
    </row>
    <row r="14" spans="1:63" s="78" customFormat="1" x14ac:dyDescent="0.25">
      <c r="A14" s="131" t="s">
        <v>179</v>
      </c>
      <c r="B14" s="131" t="s">
        <v>62</v>
      </c>
      <c r="C14" s="132">
        <f t="shared" ca="1" si="21"/>
        <v>15.741071428571429</v>
      </c>
      <c r="D14" s="315" t="s">
        <v>424</v>
      </c>
      <c r="E14" s="133">
        <v>18</v>
      </c>
      <c r="F14" s="58">
        <f ca="1">-43628+$D$1</f>
        <v>29</v>
      </c>
      <c r="G14" s="134" t="s">
        <v>105</v>
      </c>
      <c r="H14" s="309">
        <v>6</v>
      </c>
      <c r="I14" s="102">
        <v>1.2</v>
      </c>
      <c r="J14" s="185">
        <f t="shared" si="5"/>
        <v>0.45656357442960838</v>
      </c>
      <c r="K14" s="98">
        <f t="shared" si="6"/>
        <v>43.199999999999996</v>
      </c>
      <c r="L14" s="98">
        <f t="shared" si="7"/>
        <v>58.8</v>
      </c>
      <c r="M14" s="135">
        <v>3.9</v>
      </c>
      <c r="N14" s="178">
        <f t="shared" si="8"/>
        <v>58</v>
      </c>
      <c r="O14" s="303">
        <v>43633</v>
      </c>
      <c r="P14" s="304">
        <f t="shared" ca="1" si="22"/>
        <v>0.18470474700304157</v>
      </c>
      <c r="Q14" s="178">
        <v>4</v>
      </c>
      <c r="R14" s="199">
        <f t="shared" si="9"/>
        <v>0.7559289460184544</v>
      </c>
      <c r="S14" s="199">
        <f t="shared" si="10"/>
        <v>0.84430867747355465</v>
      </c>
      <c r="T14" s="111">
        <v>8330</v>
      </c>
      <c r="U14" s="268">
        <f t="shared" si="3"/>
        <v>-220</v>
      </c>
      <c r="V14" s="111">
        <v>1490</v>
      </c>
      <c r="W14" s="108">
        <f t="shared" si="4"/>
        <v>5.5906040268456376</v>
      </c>
      <c r="X14" s="184">
        <v>0</v>
      </c>
      <c r="Y14" s="185">
        <v>3</v>
      </c>
      <c r="Z14" s="184">
        <f>6+1/4</f>
        <v>6.25</v>
      </c>
      <c r="AA14" s="185">
        <v>2</v>
      </c>
      <c r="AB14" s="184">
        <v>6</v>
      </c>
      <c r="AC14" s="185">
        <v>9</v>
      </c>
      <c r="AD14" s="184">
        <v>2</v>
      </c>
      <c r="AE14" s="312">
        <v>675</v>
      </c>
      <c r="AF14" s="648">
        <f t="shared" ref="AF14" ca="1" si="23">(Z14+P14+J14)*(Q14/7)^0.5</f>
        <v>5.2093091989509466</v>
      </c>
      <c r="AG14" s="648">
        <f t="shared" ref="AG14" ca="1" si="24">(Z14+P14+J14)*(IF(Q14=7, (Q14/7)^0.5, ((Q14+1)/7)^0.5))</f>
        <v>5.824184742334646</v>
      </c>
      <c r="AH14" s="108">
        <f t="shared" ca="1" si="13"/>
        <v>1.5991492561604546</v>
      </c>
      <c r="AI14" s="108">
        <f t="shared" ca="1" si="14"/>
        <v>7.4513450671974457</v>
      </c>
      <c r="AJ14" s="108">
        <f t="shared" ca="1" si="15"/>
        <v>3.5840619650112688</v>
      </c>
      <c r="AK14" s="108">
        <f t="shared" ca="1" si="16"/>
        <v>0.56130146571461192</v>
      </c>
      <c r="AL14" s="108">
        <f t="shared" ca="1" si="17"/>
        <v>0.22488878250028552</v>
      </c>
      <c r="AM14" s="649">
        <f t="shared" ca="1" si="18"/>
        <v>1.7312887512558019</v>
      </c>
      <c r="AN14" s="649">
        <f t="shared" ca="1" si="19"/>
        <v>1.9356396682443489</v>
      </c>
      <c r="AO14" s="178">
        <v>4</v>
      </c>
      <c r="AP14" s="178">
        <v>2</v>
      </c>
      <c r="AQ14" s="241">
        <f t="shared" si="20"/>
        <v>0.157</v>
      </c>
      <c r="AR14" s="321">
        <v>6</v>
      </c>
      <c r="AS14" s="321">
        <v>17</v>
      </c>
      <c r="AT14" s="321">
        <v>32</v>
      </c>
      <c r="AU14" s="321">
        <v>1</v>
      </c>
      <c r="AV14" s="321">
        <f t="shared" ref="AV14:AV22" si="25">AR14*1+AS14*0.066</f>
        <v>7.1219999999999999</v>
      </c>
      <c r="AW14" s="321">
        <f t="shared" ref="AW14:AW22" si="26">AR14*0.919+AS14*0.167</f>
        <v>8.3529999999999998</v>
      </c>
      <c r="AX14" s="321">
        <f t="shared" ref="AX14:AX22" si="27">AR14*1+AS14*0.236</f>
        <v>10.012</v>
      </c>
      <c r="AY14" s="321">
        <f t="shared" ref="AY14:AY22" si="28">AR14*0.75+AS14*0.165</f>
        <v>7.3049999999999997</v>
      </c>
      <c r="AZ14" s="321">
        <f t="shared" ref="AZ14:AZ22" si="29">AR14*0.73+AS14*0.38</f>
        <v>10.84</v>
      </c>
      <c r="BA14" s="321">
        <f t="shared" ref="BA14:BA22" si="30">AR14*0.45+AS14*1</f>
        <v>19.7</v>
      </c>
      <c r="BB14" s="321">
        <f t="shared" ref="BB14:BB22" si="31">AR14*0.65+AS14*0.95</f>
        <v>20.049999999999997</v>
      </c>
      <c r="BC14" s="321">
        <f t="shared" ref="BC14:BC22" si="32">AR14*0.3+AS14*0.53</f>
        <v>10.809999999999999</v>
      </c>
      <c r="BD14" s="321">
        <f t="shared" ref="BD14:BD22" si="33">AR14*0.4+AS14*0.44</f>
        <v>9.8800000000000008</v>
      </c>
      <c r="BE14" s="321">
        <f t="shared" ref="BE14:BE22" si="34">AR14*0.25+AS14*0.73</f>
        <v>13.91</v>
      </c>
      <c r="BF14" s="321">
        <f t="shared" ref="BF14:BF22" si="35">AS14*0.46</f>
        <v>7.82</v>
      </c>
      <c r="BG14" s="111">
        <v>8550</v>
      </c>
      <c r="BH14" s="317">
        <v>4689</v>
      </c>
      <c r="BJ14" s="136"/>
      <c r="BK14" s="139"/>
    </row>
    <row r="15" spans="1:63" s="78" customFormat="1" x14ac:dyDescent="0.25">
      <c r="A15" s="131" t="s">
        <v>223</v>
      </c>
      <c r="B15" s="131" t="s">
        <v>62</v>
      </c>
      <c r="C15" s="132">
        <f ca="1">((34*112)-(E15*112)-(F15))/112</f>
        <v>15.089285714285714</v>
      </c>
      <c r="D15" s="315" t="s">
        <v>423</v>
      </c>
      <c r="E15" s="133">
        <v>18</v>
      </c>
      <c r="F15" s="58">
        <f ca="1">-43569+$D$1+14</f>
        <v>102</v>
      </c>
      <c r="G15" s="134" t="s">
        <v>96</v>
      </c>
      <c r="H15" s="130">
        <v>1</v>
      </c>
      <c r="I15" s="102">
        <v>1.8</v>
      </c>
      <c r="J15" s="185">
        <f>LOG(I15+1)*4/3</f>
        <v>0.59621070845629232</v>
      </c>
      <c r="K15" s="98">
        <f>(H15)*(H15)*(I15)</f>
        <v>1.8</v>
      </c>
      <c r="L15" s="98">
        <f>(H15+1)*(H15+1)*I15</f>
        <v>7.2</v>
      </c>
      <c r="M15" s="135">
        <v>4.0999999999999996</v>
      </c>
      <c r="N15" s="178">
        <f>M15*10+19</f>
        <v>60</v>
      </c>
      <c r="O15" s="303">
        <v>43630</v>
      </c>
      <c r="P15" s="304">
        <f ca="1">IF((TODAY()-O15)&gt;335,1,((TODAY()-O15)^0.64)/(336^0.64))</f>
        <v>0.199166215696265</v>
      </c>
      <c r="Q15" s="178">
        <v>5</v>
      </c>
      <c r="R15" s="199">
        <f>(Q15/7)^0.5</f>
        <v>0.84515425472851657</v>
      </c>
      <c r="S15" s="199">
        <f>IF(Q15=7,1,((Q15+0.99)/7)^0.5)</f>
        <v>0.92504826128926143</v>
      </c>
      <c r="T15" s="111">
        <v>9080</v>
      </c>
      <c r="U15" s="268">
        <f>T15-BG15</f>
        <v>850</v>
      </c>
      <c r="V15" s="111">
        <v>1044</v>
      </c>
      <c r="W15" s="108">
        <f>T15/V15</f>
        <v>8.6973180076628349</v>
      </c>
      <c r="X15" s="184">
        <v>0</v>
      </c>
      <c r="Y15" s="185">
        <v>4</v>
      </c>
      <c r="Z15" s="184">
        <f>8+3/5</f>
        <v>8.6</v>
      </c>
      <c r="AA15" s="185">
        <v>3</v>
      </c>
      <c r="AB15" s="184">
        <v>2</v>
      </c>
      <c r="AC15" s="185">
        <v>8</v>
      </c>
      <c r="AD15" s="184">
        <v>0</v>
      </c>
      <c r="AE15" s="312">
        <v>644</v>
      </c>
      <c r="AF15" s="648">
        <f ca="1">(Z15+P15+J15)*(Q15/7)^0.5</f>
        <v>7.9405427822256556</v>
      </c>
      <c r="AG15" s="648">
        <f ca="1">(Z15+P15+J15)*(IF(Q15=7, (Q15/7)^0.5, ((Q15+1)/7)^0.5))</f>
        <v>8.6984288013196469</v>
      </c>
      <c r="AH15" s="108">
        <f ca="1">(((Y15+P15+J15)+(AB15+P15+J15)*2)/8)*(Q15/7)^0.5</f>
        <v>1.0972353265636721</v>
      </c>
      <c r="AI15" s="108">
        <f ca="1">(1.66*(AC15+J15+P15)+0.55*(AD15+J15+P15)-7.6)*(Q15/7)^0.5</f>
        <v>6.2860739502064886</v>
      </c>
      <c r="AJ15" s="108">
        <f ca="1">((AD15+J15+P15)*0.7+(AC15+J15+P15)*0.3)*(Q15/7)^0.5</f>
        <v>2.7005864029088542</v>
      </c>
      <c r="AK15" s="108">
        <f ca="1">(0.5*(AC15+P15+J15)+ 0.3*(AD15+P15+J15))/10</f>
        <v>0.46363015393220453</v>
      </c>
      <c r="AL15" s="108">
        <f ca="1">(0.4*(Y15+P15+J15)+0.3*(AD15+P15+J15))/10</f>
        <v>0.21567638469067901</v>
      </c>
      <c r="AM15" s="649">
        <f ca="1">(AD15+P15+(LOG(I15)*4/3))*(Q15/7)^0.5</f>
        <v>0.45598569966489727</v>
      </c>
      <c r="AN15" s="649">
        <f ca="1">(AD15+P15+(LOG(I15)*4/3))*(IF(Q15=7, (Q15/7)^0.5, ((Q15+1)/7)^0.5))</f>
        <v>0.49950730721248016</v>
      </c>
      <c r="AO15" s="178">
        <v>3</v>
      </c>
      <c r="AP15" s="178">
        <v>0</v>
      </c>
      <c r="AQ15" s="241">
        <f>IF(AO15=4,IF(AP15=0,0.137+0.0697,0.137+0.02),IF(AO15=3,IF(AP15=0,0.0958+0.0697,0.0958+0.02),IF(AO15=2,IF(AP15=0,0.0415+0.0697,0.0415+0.02),IF(AO15=1,IF(AP15=0,0.0294+0.0697,0.0294+0.02),IF(AO15=0,IF(AP15=0,0.0063+0.0697,0.0063+0.02))))))</f>
        <v>0.16549999999999998</v>
      </c>
      <c r="AR15" s="321">
        <v>9</v>
      </c>
      <c r="AS15" s="321">
        <v>29</v>
      </c>
      <c r="AT15" s="321">
        <v>26</v>
      </c>
      <c r="AU15" s="321">
        <v>-1</v>
      </c>
      <c r="AV15" s="321">
        <f>AR15*1+AS15*0.066</f>
        <v>10.914</v>
      </c>
      <c r="AW15" s="321">
        <f>AR15*0.919+AS15*0.167</f>
        <v>13.114000000000001</v>
      </c>
      <c r="AX15" s="321">
        <f>AR15*1+AS15*0.236</f>
        <v>15.843999999999999</v>
      </c>
      <c r="AY15" s="321">
        <f>AR15*0.75+AS15*0.165</f>
        <v>11.535</v>
      </c>
      <c r="AZ15" s="321">
        <f>AR15*0.73+AS15*0.38</f>
        <v>17.59</v>
      </c>
      <c r="BA15" s="321">
        <f>AR15*0.45+AS15*1</f>
        <v>33.049999999999997</v>
      </c>
      <c r="BB15" s="321">
        <f>AR15*0.65+AS15*0.95</f>
        <v>33.4</v>
      </c>
      <c r="BC15" s="321">
        <f>AR15*0.3+AS15*0.53</f>
        <v>18.07</v>
      </c>
      <c r="BD15" s="321">
        <f>AR15*0.4+AS15*0.44</f>
        <v>16.36</v>
      </c>
      <c r="BE15" s="321">
        <f>AR15*0.25+AS15*0.73</f>
        <v>23.419999999999998</v>
      </c>
      <c r="BF15" s="321">
        <f>AS15*0.46</f>
        <v>13.34</v>
      </c>
      <c r="BG15" s="111">
        <v>8230</v>
      </c>
      <c r="BH15" s="317">
        <v>1887</v>
      </c>
      <c r="BJ15" s="136"/>
      <c r="BK15" s="139"/>
    </row>
    <row r="16" spans="1:63" s="78" customFormat="1" x14ac:dyDescent="0.25">
      <c r="A16" s="131" t="s">
        <v>172</v>
      </c>
      <c r="B16" s="131" t="s">
        <v>62</v>
      </c>
      <c r="C16" s="132">
        <f ca="1">((34*112)-(E16*112)-(F16))/112</f>
        <v>15.089285714285714</v>
      </c>
      <c r="D16" s="315" t="s">
        <v>418</v>
      </c>
      <c r="E16" s="133">
        <v>18</v>
      </c>
      <c r="F16" s="58">
        <f ca="1">-43569+$D$1+14</f>
        <v>102</v>
      </c>
      <c r="G16" s="134" t="s">
        <v>105</v>
      </c>
      <c r="H16" s="130">
        <v>1</v>
      </c>
      <c r="I16" s="102">
        <v>1.6</v>
      </c>
      <c r="J16" s="185">
        <f>LOG(I16+1)*4/3</f>
        <v>0.55329779729442397</v>
      </c>
      <c r="K16" s="98">
        <f>(H16)*(H16)*(I16)</f>
        <v>1.6</v>
      </c>
      <c r="L16" s="98">
        <f>(H16+1)*(H16+1)*I16</f>
        <v>6.4</v>
      </c>
      <c r="M16" s="135">
        <v>6.1</v>
      </c>
      <c r="N16" s="178">
        <f>M16*10+19</f>
        <v>80</v>
      </c>
      <c r="O16" s="303">
        <v>43627</v>
      </c>
      <c r="P16" s="304">
        <f ca="1">IF((TODAY()-O16)&gt;335,1,((TODAY()-O16)^0.64)/(336^0.64))</f>
        <v>0.21305928511808678</v>
      </c>
      <c r="Q16" s="178">
        <v>5</v>
      </c>
      <c r="R16" s="199">
        <f>(Q16/7)^0.5</f>
        <v>0.84515425472851657</v>
      </c>
      <c r="S16" s="199">
        <f>IF(Q16=7,1,((Q16+0.99)/7)^0.5)</f>
        <v>0.92504826128926143</v>
      </c>
      <c r="T16" s="111">
        <v>13720</v>
      </c>
      <c r="U16" s="268">
        <f>T16-BG16</f>
        <v>1770</v>
      </c>
      <c r="V16" s="111">
        <v>924</v>
      </c>
      <c r="W16" s="108">
        <f>T16/V16</f>
        <v>14.848484848484848</v>
      </c>
      <c r="X16" s="184">
        <v>0</v>
      </c>
      <c r="Y16" s="185">
        <v>2</v>
      </c>
      <c r="Z16" s="184">
        <f>8+4/5</f>
        <v>8.8000000000000007</v>
      </c>
      <c r="AA16" s="185">
        <v>5</v>
      </c>
      <c r="AB16" s="184">
        <v>4</v>
      </c>
      <c r="AC16" s="185">
        <v>8</v>
      </c>
      <c r="AD16" s="184">
        <v>6</v>
      </c>
      <c r="AE16" s="312">
        <v>696</v>
      </c>
      <c r="AF16" s="648">
        <f ca="1">(Z16+P16+J16)*(Q16/7)^0.5</f>
        <v>8.0850473904532123</v>
      </c>
      <c r="AG16" s="648">
        <f ca="1">(Z16+P16+J16)*(IF(Q16=7, (Q16/7)^0.5, ((Q16+1)/7)^0.5))</f>
        <v>8.8567256684990063</v>
      </c>
      <c r="AH16" s="108">
        <f ca="1">(((Y16+P16+J16)+(AB16+P16+J16)*2)/8)*(Q16/7)^0.5</f>
        <v>1.2993265492264954</v>
      </c>
      <c r="AI16" s="108">
        <f ca="1">(1.66*(AC16+J16+P16)+0.55*(AD16+J16+P16)-7.6)*(Q16/7)^0.5</f>
        <v>9.0208799944034848</v>
      </c>
      <c r="AJ16" s="108">
        <f ca="1">((AD16+J16+P16)*0.7+(AC16+J16+P16)*0.3)*(Q16/7)^0.5</f>
        <v>6.2257080300504741</v>
      </c>
      <c r="AK16" s="108">
        <f ca="1">(0.5*(AC16+P16+J16)+ 0.3*(AD16+P16+J16))/10</f>
        <v>0.64130856659300084</v>
      </c>
      <c r="AL16" s="108">
        <f ca="1">(0.4*(Y16+P16+J16)+0.3*(AD16+P16+J16))/10</f>
        <v>0.31364499576887572</v>
      </c>
      <c r="AM16" s="649">
        <f ca="1">(AD16+P16+(LOG(I16)*4/3))*(Q16/7)^0.5</f>
        <v>5.4810106521204212</v>
      </c>
      <c r="AN16" s="649">
        <f ca="1">(AD16+P16+(LOG(I16)*4/3))*(IF(Q16=7, (Q16/7)^0.5, ((Q16+1)/7)^0.5))</f>
        <v>6.0041463441849103</v>
      </c>
      <c r="AO16" s="178">
        <v>4</v>
      </c>
      <c r="AP16" s="178">
        <v>2</v>
      </c>
      <c r="AQ16" s="241">
        <f>IF(AO16=4,IF(AP16=0,0.137+0.0697,0.137+0.02),IF(AO16=3,IF(AP16=0,0.0958+0.0697,0.0958+0.02),IF(AO16=2,IF(AP16=0,0.0415+0.0697,0.0415+0.02),IF(AO16=1,IF(AP16=0,0.0294+0.0697,0.0294+0.02),IF(AO16=0,IF(AP16=0,0.0063+0.0697,0.0063+0.02))))))</f>
        <v>0.157</v>
      </c>
      <c r="AR16" s="321">
        <v>3</v>
      </c>
      <c r="AS16" s="321">
        <v>30</v>
      </c>
      <c r="AT16" s="321">
        <v>26</v>
      </c>
      <c r="AU16" s="321">
        <v>5</v>
      </c>
      <c r="AV16" s="321">
        <f>AR16*1+AS16*0.066</f>
        <v>4.9800000000000004</v>
      </c>
      <c r="AW16" s="321">
        <f>AR16*0.919+AS16*0.167</f>
        <v>7.7670000000000012</v>
      </c>
      <c r="AX16" s="321">
        <f>AR16*1+AS16*0.236</f>
        <v>10.08</v>
      </c>
      <c r="AY16" s="321">
        <f>AR16*0.75+AS16*0.165</f>
        <v>7.2</v>
      </c>
      <c r="AZ16" s="321">
        <f>AR16*0.73+AS16*0.38</f>
        <v>13.59</v>
      </c>
      <c r="BA16" s="321">
        <f>AR16*0.45+AS16*1</f>
        <v>31.35</v>
      </c>
      <c r="BB16" s="321">
        <f>AR16*0.65+AS16*0.95</f>
        <v>30.45</v>
      </c>
      <c r="BC16" s="321">
        <f>AR16*0.3+AS16*0.53</f>
        <v>16.8</v>
      </c>
      <c r="BD16" s="321">
        <f>AR16*0.4+AS16*0.44</f>
        <v>14.399999999999999</v>
      </c>
      <c r="BE16" s="321">
        <f>AR16*0.25+AS16*0.73</f>
        <v>22.65</v>
      </c>
      <c r="BF16" s="321">
        <f>AS16*0.46</f>
        <v>13.8</v>
      </c>
      <c r="BG16" s="111">
        <v>11950</v>
      </c>
      <c r="BH16" s="317">
        <v>3853</v>
      </c>
      <c r="BJ16" s="136"/>
      <c r="BK16" s="139"/>
    </row>
    <row r="17" spans="1:63" s="78" customFormat="1" x14ac:dyDescent="0.25">
      <c r="A17" s="131" t="s">
        <v>259</v>
      </c>
      <c r="B17" s="131" t="s">
        <v>62</v>
      </c>
      <c r="C17" s="132">
        <f ca="1">((34*112)-(E17*112)-(F17))/112</f>
        <v>14.678571428571429</v>
      </c>
      <c r="D17" s="315" t="s">
        <v>421</v>
      </c>
      <c r="E17" s="133">
        <v>19</v>
      </c>
      <c r="F17" s="58">
        <f ca="1">-43626+$D$1+5</f>
        <v>36</v>
      </c>
      <c r="G17" s="134" t="s">
        <v>220</v>
      </c>
      <c r="H17" s="130">
        <v>4</v>
      </c>
      <c r="I17" s="102">
        <v>0.3</v>
      </c>
      <c r="J17" s="185">
        <f>LOG(I17+1)*4/3</f>
        <v>0.15192446974244905</v>
      </c>
      <c r="K17" s="98">
        <f>(H17)*(H17)*(I17)</f>
        <v>4.8</v>
      </c>
      <c r="L17" s="98">
        <f>(H17+1)*(H17+1)*I17</f>
        <v>7.5</v>
      </c>
      <c r="M17" s="135">
        <v>4.9000000000000004</v>
      </c>
      <c r="N17" s="178">
        <f>M17*10+19</f>
        <v>68</v>
      </c>
      <c r="O17" s="303">
        <v>43628</v>
      </c>
      <c r="P17" s="304">
        <f ca="1">IF((TODAY()-O17)&gt;335,1,((TODAY()-O17)^0.64)/(336^0.64))</f>
        <v>0.20848632838563147</v>
      </c>
      <c r="Q17" s="178">
        <v>5</v>
      </c>
      <c r="R17" s="199">
        <f>(Q17/7)^0.5</f>
        <v>0.84515425472851657</v>
      </c>
      <c r="S17" s="199">
        <f>IF(Q17=7,1,((Q17+0.99)/7)^0.5)</f>
        <v>0.92504826128926143</v>
      </c>
      <c r="T17" s="111">
        <v>8900</v>
      </c>
      <c r="U17" s="268">
        <f>T17-BG17</f>
        <v>1190</v>
      </c>
      <c r="V17" s="111">
        <v>948</v>
      </c>
      <c r="W17" s="108">
        <f>T17/V17</f>
        <v>9.3881856540084385</v>
      </c>
      <c r="X17" s="184">
        <v>0</v>
      </c>
      <c r="Y17" s="185">
        <v>7</v>
      </c>
      <c r="Z17" s="184">
        <f>7+1/9+3/5</f>
        <v>7.7111111111111104</v>
      </c>
      <c r="AA17" s="185">
        <v>1</v>
      </c>
      <c r="AB17" s="184">
        <v>1</v>
      </c>
      <c r="AC17" s="185">
        <v>6</v>
      </c>
      <c r="AD17" s="184">
        <v>1</v>
      </c>
      <c r="AE17" s="312">
        <v>597</v>
      </c>
      <c r="AF17" s="648">
        <f ca="1">(Z17+P17+J17)*(Q17/7)^0.5</f>
        <v>6.8216810837279418</v>
      </c>
      <c r="AG17" s="648">
        <f ca="1">(Z17+P17+J17)*(IF(Q17=7, (Q17/7)^0.5, ((Q17+1)/7)^0.5))</f>
        <v>7.4727772193281625</v>
      </c>
      <c r="AH17" s="108">
        <f ca="1">(((Y17+P17+J17)+(AB17+P17+J17)*2)/8)*(Q17/7)^0.5</f>
        <v>1.0650245563775989</v>
      </c>
      <c r="AI17" s="108">
        <f ca="1">(1.66*(AC17+J17+P17)+0.55*(AD17+J17+P17)-7.6)*(Q17/7)^0.5</f>
        <v>3.1325708913285673</v>
      </c>
      <c r="AJ17" s="108">
        <f ca="1">((AD17+J17+P17)*0.7+(AC17+J17+P17)*0.3)*(Q17/7)^0.5</f>
        <v>2.417488356309339</v>
      </c>
      <c r="AK17" s="108">
        <f ca="1">(0.5*(AC17+P17+J17)+ 0.3*(AD17+P17+J17))/10</f>
        <v>0.35883286385024638</v>
      </c>
      <c r="AL17" s="108">
        <f ca="1">(0.4*(Y17+P17+J17)+0.3*(AD17+P17+J17))/10</f>
        <v>0.33522875586896561</v>
      </c>
      <c r="AM17" s="649">
        <f ca="1">(AD17+P17+(LOG(I17)*4/3))*(Q17/7)^0.5</f>
        <v>0.43213976717531227</v>
      </c>
      <c r="AN17" s="649">
        <f ca="1">(AD17+P17+(LOG(I17)*4/3))*(IF(Q17=7, (Q17/7)^0.5, ((Q17+1)/7)^0.5))</f>
        <v>0.47338539695389814</v>
      </c>
      <c r="AO17" s="178">
        <v>4</v>
      </c>
      <c r="AP17" s="178">
        <v>2</v>
      </c>
      <c r="AQ17" s="241">
        <f>IF(AO17=4,IF(AP17=0,0.137+0.0697,0.137+0.02),IF(AO17=3,IF(AP17=0,0.0958+0.0697,0.0958+0.02),IF(AO17=2,IF(AP17=0,0.0415+0.0697,0.0415+0.02),IF(AO17=1,IF(AP17=0,0.0294+0.0697,0.0294+0.02),IF(AO17=0,IF(AP17=0,0.0063+0.0697,0.0063+0.02))))))</f>
        <v>0.157</v>
      </c>
      <c r="AR17" s="321">
        <v>23</v>
      </c>
      <c r="AS17" s="321">
        <f>21.5+1+1+1</f>
        <v>24.5</v>
      </c>
      <c r="AT17" s="321">
        <v>16</v>
      </c>
      <c r="AU17" s="321">
        <v>0</v>
      </c>
      <c r="AV17" s="321">
        <f>AR17*1+AS17*0.066</f>
        <v>24.617000000000001</v>
      </c>
      <c r="AW17" s="321">
        <f>AR17*0.919+AS17*0.167</f>
        <v>25.2285</v>
      </c>
      <c r="AX17" s="321">
        <f>AR17*1+AS17*0.236</f>
        <v>28.782</v>
      </c>
      <c r="AY17" s="321">
        <f>AR17*0.75+AS17*0.165</f>
        <v>21.2925</v>
      </c>
      <c r="AZ17" s="321">
        <f>AR17*0.73+AS17*0.38</f>
        <v>26.1</v>
      </c>
      <c r="BA17" s="321">
        <f>AR17*0.45+AS17*1</f>
        <v>34.85</v>
      </c>
      <c r="BB17" s="321">
        <f>AR17*0.65+AS17*0.95</f>
        <v>38.225000000000001</v>
      </c>
      <c r="BC17" s="321">
        <f>AR17*0.3+AS17*0.53</f>
        <v>19.885000000000002</v>
      </c>
      <c r="BD17" s="321">
        <f>AR17*0.4+AS17*0.44</f>
        <v>19.98</v>
      </c>
      <c r="BE17" s="321">
        <f>AR17*0.25+AS17*0.73</f>
        <v>23.634999999999998</v>
      </c>
      <c r="BF17" s="321">
        <f>AS17*0.46</f>
        <v>11.270000000000001</v>
      </c>
      <c r="BG17" s="111">
        <v>7710</v>
      </c>
      <c r="BH17" s="317">
        <v>740</v>
      </c>
      <c r="BJ17" s="136"/>
      <c r="BK17" s="139"/>
    </row>
    <row r="18" spans="1:63" s="78" customFormat="1" x14ac:dyDescent="0.25">
      <c r="A18" s="131" t="s">
        <v>213</v>
      </c>
      <c r="B18" s="131" t="s">
        <v>62</v>
      </c>
      <c r="C18" s="132">
        <f ca="1">((34*112)-(E18*112)-(F18))/112</f>
        <v>14.723214285714286</v>
      </c>
      <c r="D18" s="315" t="s">
        <v>406</v>
      </c>
      <c r="E18" s="133">
        <v>19</v>
      </c>
      <c r="F18" s="58">
        <f ca="1">-43626+$D$1</f>
        <v>31</v>
      </c>
      <c r="G18" s="134" t="s">
        <v>67</v>
      </c>
      <c r="H18" s="130">
        <v>4</v>
      </c>
      <c r="I18" s="102">
        <v>1.8</v>
      </c>
      <c r="J18" s="185">
        <f>LOG(I18+1)*4/3</f>
        <v>0.59621070845629232</v>
      </c>
      <c r="K18" s="98">
        <f>(H18)*(H18)*(I18)</f>
        <v>28.8</v>
      </c>
      <c r="L18" s="98">
        <f>(H18+1)*(H18+1)*I18</f>
        <v>45</v>
      </c>
      <c r="M18" s="135">
        <v>3.6</v>
      </c>
      <c r="N18" s="178">
        <f>M18*10+19</f>
        <v>55</v>
      </c>
      <c r="O18" s="303">
        <v>43626</v>
      </c>
      <c r="P18" s="304">
        <f ca="1">IF((TODAY()-O18)&gt;335,1,((TODAY()-O18)^0.64)/(336^0.64))</f>
        <v>0.2175776824553268</v>
      </c>
      <c r="Q18" s="178">
        <v>5</v>
      </c>
      <c r="R18" s="199">
        <f>(Q18/7)^0.5</f>
        <v>0.84515425472851657</v>
      </c>
      <c r="S18" s="199">
        <f>IF(Q18=7,1,((Q18+0.99)/7)^0.5)</f>
        <v>0.92504826128926143</v>
      </c>
      <c r="T18" s="111">
        <v>8290</v>
      </c>
      <c r="U18" s="268">
        <f>T18-BG18</f>
        <v>610</v>
      </c>
      <c r="V18" s="111">
        <v>870</v>
      </c>
      <c r="W18" s="108">
        <f>T18/V18</f>
        <v>9.5287356321839081</v>
      </c>
      <c r="X18" s="184">
        <v>0</v>
      </c>
      <c r="Y18" s="185">
        <v>7</v>
      </c>
      <c r="Z18" s="184">
        <v>8</v>
      </c>
      <c r="AA18" s="185">
        <v>2</v>
      </c>
      <c r="AB18" s="184">
        <v>4</v>
      </c>
      <c r="AC18" s="185">
        <v>6</v>
      </c>
      <c r="AD18" s="184">
        <v>2</v>
      </c>
      <c r="AE18" s="312">
        <v>731</v>
      </c>
      <c r="AF18" s="648">
        <f ca="1">(Z18+P18+J18)*(Q18/7)^0.5</f>
        <v>7.4490107588557599</v>
      </c>
      <c r="AG18" s="648">
        <f ca="1">(Z18+P18+J18)*(IF(Q18=7, (Q18/7)^0.5, ((Q18+1)/7)^0.5))</f>
        <v>8.1599824474479501</v>
      </c>
      <c r="AH18" s="108">
        <f ca="1">(((Y18+P18+J18)+(AB18+P18+J18)*2)/8)*(Q18/7)^0.5</f>
        <v>1.8425804980013289</v>
      </c>
      <c r="AI18" s="108">
        <f ca="1">(1.66*(AC18+J18+P18)+0.55*(AD18+J18+P18)-7.6)*(Q18/7)^0.5</f>
        <v>4.444220274831725</v>
      </c>
      <c r="AJ18" s="108">
        <f ca="1">((AD18+J18+P18)*0.7+(AC18+J18+P18)*0.3)*(Q18/7)^0.5</f>
        <v>3.3922703361588806</v>
      </c>
      <c r="AK18" s="108">
        <f ca="1">(0.5*(AC18+P18+J18)+ 0.3*(AD18+P18+J18))/10</f>
        <v>0.42510307127292951</v>
      </c>
      <c r="AL18" s="108">
        <f ca="1">(0.4*(Y18+P18+J18)+0.3*(AD18+P18+J18))/10</f>
        <v>0.39696518736381331</v>
      </c>
      <c r="AM18" s="649">
        <f ca="1">(AD18+P18+(LOG(I18)*4/3))*(Q18/7)^0.5</f>
        <v>2.1618547385891445</v>
      </c>
      <c r="AN18" s="649">
        <f ca="1">(AD18+P18+(LOG(I18)*4/3))*(IF(Q18=7, (Q18/7)^0.5, ((Q18+1)/7)^0.5))</f>
        <v>2.3681932127494165</v>
      </c>
      <c r="AO18" s="178">
        <v>3</v>
      </c>
      <c r="AP18" s="178">
        <v>3</v>
      </c>
      <c r="AQ18" s="241">
        <f>IF(AO18=4,IF(AP18=0,0.137+0.0697,0.137+0.02),IF(AO18=3,IF(AP18=0,0.0958+0.0697,0.0958+0.02),IF(AO18=2,IF(AP18=0,0.0415+0.0697,0.0415+0.02),IF(AO18=1,IF(AP18=0,0.0294+0.0697,0.0294+0.02),IF(AO18=0,IF(AP18=0,0.0063+0.0697,0.0063+0.02))))))</f>
        <v>0.1158</v>
      </c>
      <c r="AR18" s="321">
        <v>23</v>
      </c>
      <c r="AS18" s="321">
        <v>26</v>
      </c>
      <c r="AT18" s="321">
        <v>16</v>
      </c>
      <c r="AU18" s="321">
        <v>1</v>
      </c>
      <c r="AV18" s="321">
        <f>AR18*1+AS18*0.066</f>
        <v>24.716000000000001</v>
      </c>
      <c r="AW18" s="321">
        <f>AR18*0.919+AS18*0.167</f>
        <v>25.478999999999999</v>
      </c>
      <c r="AX18" s="321">
        <f>AR18*1+AS18*0.236</f>
        <v>29.135999999999999</v>
      </c>
      <c r="AY18" s="321">
        <f>AR18*0.75+AS18*0.165</f>
        <v>21.54</v>
      </c>
      <c r="AZ18" s="321">
        <f>AR18*0.73+AS18*0.38</f>
        <v>26.67</v>
      </c>
      <c r="BA18" s="321">
        <f>AR18*0.45+AS18*1</f>
        <v>36.35</v>
      </c>
      <c r="BB18" s="321">
        <f>AR18*0.65+AS18*0.95</f>
        <v>39.65</v>
      </c>
      <c r="BC18" s="321">
        <f>AR18*0.3+AS18*0.53</f>
        <v>20.68</v>
      </c>
      <c r="BD18" s="321">
        <f>AR18*0.4+AS18*0.44</f>
        <v>20.64</v>
      </c>
      <c r="BE18" s="321">
        <f>AR18*0.25+AS18*0.73</f>
        <v>24.73</v>
      </c>
      <c r="BF18" s="321">
        <f>AS18*0.46</f>
        <v>11.96</v>
      </c>
      <c r="BG18" s="111">
        <v>7680</v>
      </c>
      <c r="BH18" s="317">
        <v>1308</v>
      </c>
      <c r="BJ18" s="136"/>
      <c r="BK18" s="139"/>
    </row>
    <row r="19" spans="1:63" s="78" customFormat="1" x14ac:dyDescent="0.25">
      <c r="A19" s="131" t="s">
        <v>426</v>
      </c>
      <c r="B19" s="131" t="s">
        <v>63</v>
      </c>
      <c r="C19" s="132">
        <f t="shared" ca="1" si="21"/>
        <v>11.098214285714286</v>
      </c>
      <c r="D19" s="343" t="s">
        <v>676</v>
      </c>
      <c r="E19" s="133">
        <v>22</v>
      </c>
      <c r="F19" s="58">
        <f ca="1">-43571+$D$1+15</f>
        <v>101</v>
      </c>
      <c r="G19" s="134" t="s">
        <v>220</v>
      </c>
      <c r="H19" s="130">
        <v>5</v>
      </c>
      <c r="I19" s="102">
        <v>1.6</v>
      </c>
      <c r="J19" s="185">
        <f t="shared" si="5"/>
        <v>0.55329779729442397</v>
      </c>
      <c r="K19" s="98">
        <f t="shared" si="6"/>
        <v>40</v>
      </c>
      <c r="L19" s="98">
        <f t="shared" si="7"/>
        <v>57.6</v>
      </c>
      <c r="M19" s="135">
        <v>6</v>
      </c>
      <c r="N19" s="178">
        <f t="shared" si="8"/>
        <v>79</v>
      </c>
      <c r="O19" s="303">
        <v>43650</v>
      </c>
      <c r="P19" s="304">
        <f ca="1">IF((TODAY()-O19)&gt;335,1,((TODAY()-O19)^0.64)/(336^0.64))</f>
        <v>8.394708266038052E-2</v>
      </c>
      <c r="Q19" s="178">
        <v>6</v>
      </c>
      <c r="R19" s="199">
        <f t="shared" si="9"/>
        <v>0.92582009977255142</v>
      </c>
      <c r="S19" s="199">
        <f t="shared" si="10"/>
        <v>0.99928545900129484</v>
      </c>
      <c r="T19" s="111">
        <v>17880</v>
      </c>
      <c r="U19" s="268">
        <f>T19-BG19</f>
        <v>0</v>
      </c>
      <c r="V19" s="111">
        <v>1884</v>
      </c>
      <c r="W19" s="108">
        <f t="shared" si="4"/>
        <v>9.4904458598726116</v>
      </c>
      <c r="X19" s="184">
        <v>0</v>
      </c>
      <c r="Y19" s="185">
        <v>3</v>
      </c>
      <c r="Z19" s="184">
        <v>8</v>
      </c>
      <c r="AA19" s="185">
        <v>9</v>
      </c>
      <c r="AB19" s="184">
        <v>6</v>
      </c>
      <c r="AC19" s="185">
        <v>3</v>
      </c>
      <c r="AD19" s="184">
        <v>3</v>
      </c>
      <c r="AE19" s="312">
        <v>698</v>
      </c>
      <c r="AF19" s="648">
        <f t="shared" ca="1" si="11"/>
        <v>7.9965349165197148</v>
      </c>
      <c r="AG19" s="648">
        <f t="shared" ca="1" si="12"/>
        <v>8.6372448799548032</v>
      </c>
      <c r="AH19" s="108">
        <f t="shared" ca="1" si="13"/>
        <v>1.9571529814507731</v>
      </c>
      <c r="AI19" s="108">
        <f t="shared" ca="1" si="14"/>
        <v>0.40579730475048764</v>
      </c>
      <c r="AJ19" s="108">
        <f t="shared" ca="1" si="15"/>
        <v>3.3674344176569586</v>
      </c>
      <c r="AK19" s="108">
        <f t="shared" ca="1" si="16"/>
        <v>0.29097959039638432</v>
      </c>
      <c r="AL19" s="108">
        <f t="shared" ca="1" si="17"/>
        <v>0.25460714159683634</v>
      </c>
      <c r="AM19" s="649">
        <f t="shared" ca="1" si="18"/>
        <v>3.1071513727060087</v>
      </c>
      <c r="AN19" s="649">
        <f t="shared" ca="1" si="19"/>
        <v>3.3561070595349469</v>
      </c>
      <c r="AO19" s="178">
        <v>1</v>
      </c>
      <c r="AP19" s="178">
        <v>2</v>
      </c>
      <c r="AQ19" s="241">
        <f t="shared" si="20"/>
        <v>4.9399999999999999E-2</v>
      </c>
      <c r="AR19" s="321">
        <v>3</v>
      </c>
      <c r="AS19" s="321">
        <v>21</v>
      </c>
      <c r="AT19" s="321">
        <v>2</v>
      </c>
      <c r="AU19" s="321">
        <v>1</v>
      </c>
      <c r="AV19" s="321">
        <f t="shared" si="25"/>
        <v>4.3860000000000001</v>
      </c>
      <c r="AW19" s="321">
        <f t="shared" si="26"/>
        <v>6.2640000000000002</v>
      </c>
      <c r="AX19" s="321">
        <f t="shared" si="27"/>
        <v>7.9559999999999995</v>
      </c>
      <c r="AY19" s="321">
        <f t="shared" si="28"/>
        <v>5.7149999999999999</v>
      </c>
      <c r="AZ19" s="321">
        <f t="shared" si="29"/>
        <v>10.17</v>
      </c>
      <c r="BA19" s="321">
        <f t="shared" si="30"/>
        <v>22.35</v>
      </c>
      <c r="BB19" s="321">
        <f t="shared" si="31"/>
        <v>21.9</v>
      </c>
      <c r="BC19" s="321">
        <f t="shared" si="32"/>
        <v>12.030000000000001</v>
      </c>
      <c r="BD19" s="321">
        <f t="shared" si="33"/>
        <v>10.440000000000001</v>
      </c>
      <c r="BE19" s="321">
        <f t="shared" si="34"/>
        <v>16.079999999999998</v>
      </c>
      <c r="BF19" s="321">
        <f t="shared" si="35"/>
        <v>9.66</v>
      </c>
      <c r="BG19" s="111">
        <v>17880</v>
      </c>
      <c r="BH19" s="317">
        <v>2017</v>
      </c>
      <c r="BJ19" s="136"/>
      <c r="BK19" s="139"/>
    </row>
    <row r="20" spans="1:63" s="78" customFormat="1" x14ac:dyDescent="0.25">
      <c r="A20" s="131" t="s">
        <v>292</v>
      </c>
      <c r="B20" s="131" t="s">
        <v>63</v>
      </c>
      <c r="C20" s="132">
        <f t="shared" ca="1" si="21"/>
        <v>8.0446428571428577</v>
      </c>
      <c r="D20" s="343" t="s">
        <v>442</v>
      </c>
      <c r="E20" s="133">
        <v>25</v>
      </c>
      <c r="F20" s="58">
        <f ca="1">-43570+$D$1+20</f>
        <v>107</v>
      </c>
      <c r="G20" s="134"/>
      <c r="H20" s="130">
        <v>5</v>
      </c>
      <c r="I20" s="102">
        <v>4.5</v>
      </c>
      <c r="J20" s="185">
        <f t="shared" si="5"/>
        <v>0.98715025265899181</v>
      </c>
      <c r="K20" s="98">
        <f t="shared" si="6"/>
        <v>112.5</v>
      </c>
      <c r="L20" s="98">
        <f t="shared" si="7"/>
        <v>162</v>
      </c>
      <c r="M20" s="135">
        <v>6.4</v>
      </c>
      <c r="N20" s="178">
        <f t="shared" si="8"/>
        <v>83</v>
      </c>
      <c r="O20" s="303">
        <v>43639</v>
      </c>
      <c r="P20" s="304">
        <f t="shared" ca="1" si="22"/>
        <v>0.15364458747949647</v>
      </c>
      <c r="Q20" s="178">
        <v>7</v>
      </c>
      <c r="R20" s="199">
        <f t="shared" si="9"/>
        <v>1</v>
      </c>
      <c r="S20" s="199">
        <f t="shared" si="10"/>
        <v>1</v>
      </c>
      <c r="T20" s="111">
        <v>22790</v>
      </c>
      <c r="U20" s="268">
        <f t="shared" si="3"/>
        <v>670</v>
      </c>
      <c r="V20" s="111">
        <v>2484</v>
      </c>
      <c r="W20" s="108">
        <f t="shared" si="4"/>
        <v>9.1747181964573272</v>
      </c>
      <c r="X20" s="184">
        <v>0</v>
      </c>
      <c r="Y20" s="185">
        <v>3</v>
      </c>
      <c r="Z20" s="184">
        <f>9+2/13</f>
        <v>9.1538461538461533</v>
      </c>
      <c r="AA20" s="185">
        <v>9</v>
      </c>
      <c r="AB20" s="184">
        <v>5</v>
      </c>
      <c r="AC20" s="185">
        <v>5</v>
      </c>
      <c r="AD20" s="184">
        <v>1</v>
      </c>
      <c r="AE20" s="312">
        <v>778</v>
      </c>
      <c r="AF20" s="648">
        <f t="shared" ca="1" si="11"/>
        <v>10.294640993984641</v>
      </c>
      <c r="AG20" s="648">
        <f t="shared" ca="1" si="12"/>
        <v>10.294640993984641</v>
      </c>
      <c r="AH20" s="108">
        <f t="shared" ca="1" si="13"/>
        <v>2.0527980650519329</v>
      </c>
      <c r="AI20" s="108">
        <f t="shared" ca="1" si="14"/>
        <v>3.7711565967060583</v>
      </c>
      <c r="AJ20" s="108">
        <f t="shared" ca="1" si="15"/>
        <v>3.3407948401384884</v>
      </c>
      <c r="AK20" s="108">
        <f t="shared" ca="1" si="16"/>
        <v>0.37126358721107905</v>
      </c>
      <c r="AL20" s="108">
        <f t="shared" ca="1" si="17"/>
        <v>0.22985563880969417</v>
      </c>
      <c r="AM20" s="649">
        <f t="shared" ca="1" si="18"/>
        <v>2.0245946058466213</v>
      </c>
      <c r="AN20" s="649">
        <f t="shared" ca="1" si="19"/>
        <v>2.0245946058466213</v>
      </c>
      <c r="AO20" s="178">
        <v>3</v>
      </c>
      <c r="AP20" s="178">
        <v>2</v>
      </c>
      <c r="AQ20" s="241">
        <f t="shared" si="20"/>
        <v>0.1158</v>
      </c>
      <c r="AR20" s="321">
        <v>6</v>
      </c>
      <c r="AS20" s="321">
        <f>26+0.5+0.5</f>
        <v>27</v>
      </c>
      <c r="AT20" s="321">
        <v>8</v>
      </c>
      <c r="AU20" s="321">
        <v>0</v>
      </c>
      <c r="AV20" s="321">
        <f t="shared" si="25"/>
        <v>7.782</v>
      </c>
      <c r="AW20" s="321">
        <f t="shared" si="26"/>
        <v>10.023</v>
      </c>
      <c r="AX20" s="321">
        <f t="shared" si="27"/>
        <v>12.372</v>
      </c>
      <c r="AY20" s="321">
        <f t="shared" si="28"/>
        <v>8.9550000000000001</v>
      </c>
      <c r="AZ20" s="321">
        <f t="shared" si="29"/>
        <v>14.64</v>
      </c>
      <c r="BA20" s="321">
        <f t="shared" si="30"/>
        <v>29.7</v>
      </c>
      <c r="BB20" s="321">
        <f t="shared" si="31"/>
        <v>29.549999999999997</v>
      </c>
      <c r="BC20" s="321">
        <f t="shared" si="32"/>
        <v>16.11</v>
      </c>
      <c r="BD20" s="321">
        <f t="shared" si="33"/>
        <v>14.280000000000001</v>
      </c>
      <c r="BE20" s="321">
        <f t="shared" si="34"/>
        <v>21.21</v>
      </c>
      <c r="BF20" s="321">
        <f t="shared" si="35"/>
        <v>12.42</v>
      </c>
      <c r="BG20" s="111">
        <v>22120</v>
      </c>
      <c r="BH20" s="317">
        <v>1486</v>
      </c>
      <c r="BJ20" s="136"/>
      <c r="BK20" s="139"/>
    </row>
    <row r="21" spans="1:63" s="78" customFormat="1" x14ac:dyDescent="0.25">
      <c r="A21" s="131" t="s">
        <v>425</v>
      </c>
      <c r="B21" s="131" t="s">
        <v>63</v>
      </c>
      <c r="C21" s="132">
        <f t="shared" ca="1" si="21"/>
        <v>15.214285714285714</v>
      </c>
      <c r="D21" s="343" t="s">
        <v>405</v>
      </c>
      <c r="E21" s="133">
        <v>18</v>
      </c>
      <c r="F21" s="58">
        <f ca="1">-43569+$D$1</f>
        <v>88</v>
      </c>
      <c r="G21" s="134" t="s">
        <v>220</v>
      </c>
      <c r="H21" s="130">
        <v>4</v>
      </c>
      <c r="I21" s="102">
        <v>0.6</v>
      </c>
      <c r="J21" s="185">
        <f t="shared" si="5"/>
        <v>0.27215997687456639</v>
      </c>
      <c r="K21" s="98">
        <f t="shared" si="6"/>
        <v>9.6</v>
      </c>
      <c r="L21" s="98">
        <f t="shared" si="7"/>
        <v>15</v>
      </c>
      <c r="M21" s="135">
        <v>5.5</v>
      </c>
      <c r="N21" s="178">
        <f t="shared" si="8"/>
        <v>74</v>
      </c>
      <c r="O21" s="303">
        <v>43626</v>
      </c>
      <c r="P21" s="304">
        <f t="shared" ca="1" si="22"/>
        <v>0.2175776824553268</v>
      </c>
      <c r="Q21" s="178">
        <v>5</v>
      </c>
      <c r="R21" s="199">
        <f t="shared" si="9"/>
        <v>0.84515425472851657</v>
      </c>
      <c r="S21" s="199">
        <f t="shared" si="10"/>
        <v>0.92504826128926143</v>
      </c>
      <c r="T21" s="111">
        <v>5920</v>
      </c>
      <c r="U21" s="268">
        <f t="shared" si="3"/>
        <v>-150</v>
      </c>
      <c r="V21" s="111">
        <v>660</v>
      </c>
      <c r="W21" s="108">
        <f t="shared" si="4"/>
        <v>8.9696969696969688</v>
      </c>
      <c r="X21" s="184">
        <v>0</v>
      </c>
      <c r="Y21" s="185">
        <v>6</v>
      </c>
      <c r="Z21" s="184">
        <f>6+1/30+3/8</f>
        <v>6.4083333333333332</v>
      </c>
      <c r="AA21" s="185">
        <v>2</v>
      </c>
      <c r="AB21" s="184">
        <v>3</v>
      </c>
      <c r="AC21" s="185">
        <v>6</v>
      </c>
      <c r="AD21" s="184">
        <v>8</v>
      </c>
      <c r="AE21" s="312">
        <v>605</v>
      </c>
      <c r="AF21" s="648">
        <f t="shared" ca="1" si="11"/>
        <v>5.8299340488686875</v>
      </c>
      <c r="AG21" s="648">
        <f t="shared" ca="1" si="12"/>
        <v>6.3863727746656105</v>
      </c>
      <c r="AH21" s="108">
        <f t="shared" ca="1" si="13"/>
        <v>1.4229453320240664</v>
      </c>
      <c r="AI21" s="108">
        <f t="shared" ca="1" si="14"/>
        <v>6.6279703068931832</v>
      </c>
      <c r="AJ21" s="108">
        <f t="shared" ca="1" si="15"/>
        <v>6.6680453514744658</v>
      </c>
      <c r="AK21" s="108">
        <f t="shared" ca="1" si="16"/>
        <v>0.57917901274639139</v>
      </c>
      <c r="AL21" s="108">
        <f t="shared" ca="1" si="17"/>
        <v>0.51428163615309253</v>
      </c>
      <c r="AM21" s="649">
        <f t="shared" ca="1" si="18"/>
        <v>6.6951255223632682</v>
      </c>
      <c r="AN21" s="649">
        <f t="shared" ca="1" si="19"/>
        <v>7.3341425478538405</v>
      </c>
      <c r="AO21" s="178">
        <v>2</v>
      </c>
      <c r="AP21" s="178">
        <v>3</v>
      </c>
      <c r="AQ21" s="241">
        <f t="shared" si="20"/>
        <v>6.1499999999999999E-2</v>
      </c>
      <c r="AR21" s="321">
        <v>18</v>
      </c>
      <c r="AS21" s="321">
        <f>16+0.16+0.5+0.5+0.5</f>
        <v>17.66</v>
      </c>
      <c r="AT21" s="321">
        <v>16</v>
      </c>
      <c r="AU21" s="321">
        <v>8</v>
      </c>
      <c r="AV21" s="321">
        <f t="shared" si="25"/>
        <v>19.165559999999999</v>
      </c>
      <c r="AW21" s="321">
        <f t="shared" si="26"/>
        <v>19.491220000000002</v>
      </c>
      <c r="AX21" s="321">
        <f t="shared" si="27"/>
        <v>22.167760000000001</v>
      </c>
      <c r="AY21" s="321">
        <f t="shared" si="28"/>
        <v>16.413900000000002</v>
      </c>
      <c r="AZ21" s="321">
        <f t="shared" si="29"/>
        <v>19.8508</v>
      </c>
      <c r="BA21" s="321">
        <f t="shared" si="30"/>
        <v>25.759999999999998</v>
      </c>
      <c r="BB21" s="321">
        <f t="shared" si="31"/>
        <v>28.477000000000004</v>
      </c>
      <c r="BC21" s="321">
        <f t="shared" si="32"/>
        <v>14.759799999999998</v>
      </c>
      <c r="BD21" s="321">
        <f t="shared" si="33"/>
        <v>14.970400000000001</v>
      </c>
      <c r="BE21" s="321">
        <f t="shared" si="34"/>
        <v>17.3918</v>
      </c>
      <c r="BF21" s="321">
        <f t="shared" si="35"/>
        <v>8.1235999999999997</v>
      </c>
      <c r="BG21" s="111">
        <v>6070</v>
      </c>
      <c r="BH21" s="317">
        <v>1548</v>
      </c>
      <c r="BJ21" s="136"/>
      <c r="BK21" s="139"/>
    </row>
    <row r="22" spans="1:63" s="78" customFormat="1" x14ac:dyDescent="0.25">
      <c r="A22" s="131" t="s">
        <v>259</v>
      </c>
      <c r="B22" s="131" t="s">
        <v>63</v>
      </c>
      <c r="C22" s="132">
        <f t="shared" ca="1" si="21"/>
        <v>10.080357142857142</v>
      </c>
      <c r="D22" s="343" t="s">
        <v>675</v>
      </c>
      <c r="E22" s="133">
        <v>23</v>
      </c>
      <c r="F22" s="58">
        <f ca="1">-43570+$D$1+33-17</f>
        <v>103</v>
      </c>
      <c r="G22" s="134" t="s">
        <v>96</v>
      </c>
      <c r="H22" s="130">
        <v>3</v>
      </c>
      <c r="I22" s="102">
        <v>3.7</v>
      </c>
      <c r="J22" s="185">
        <f t="shared" si="5"/>
        <v>0.8961304772476234</v>
      </c>
      <c r="K22" s="98">
        <f t="shared" si="6"/>
        <v>33.300000000000004</v>
      </c>
      <c r="L22" s="98">
        <f t="shared" si="7"/>
        <v>59.2</v>
      </c>
      <c r="M22" s="135">
        <v>8</v>
      </c>
      <c r="N22" s="178">
        <f t="shared" si="8"/>
        <v>99</v>
      </c>
      <c r="O22" s="303">
        <v>43650</v>
      </c>
      <c r="P22" s="304">
        <f t="shared" ca="1" si="22"/>
        <v>8.394708266038052E-2</v>
      </c>
      <c r="Q22" s="178">
        <v>6</v>
      </c>
      <c r="R22" s="199">
        <f t="shared" si="9"/>
        <v>0.92582009977255142</v>
      </c>
      <c r="S22" s="199">
        <f t="shared" si="10"/>
        <v>0.99928545900129484</v>
      </c>
      <c r="T22" s="111">
        <v>46830</v>
      </c>
      <c r="U22" s="268">
        <f t="shared" si="3"/>
        <v>-2090</v>
      </c>
      <c r="V22" s="111">
        <v>3132</v>
      </c>
      <c r="W22" s="108">
        <f t="shared" si="4"/>
        <v>14.952107279693486</v>
      </c>
      <c r="X22" s="184">
        <v>0</v>
      </c>
      <c r="Y22" s="185">
        <v>9</v>
      </c>
      <c r="Z22" s="184">
        <v>8</v>
      </c>
      <c r="AA22" s="185">
        <v>9</v>
      </c>
      <c r="AB22" s="184">
        <v>5</v>
      </c>
      <c r="AC22" s="185">
        <v>5</v>
      </c>
      <c r="AD22" s="184">
        <v>3</v>
      </c>
      <c r="AE22" s="312">
        <v>990</v>
      </c>
      <c r="AF22" s="648">
        <f t="shared" ca="1" si="11"/>
        <v>8.313936302479279</v>
      </c>
      <c r="AG22" s="648">
        <f t="shared" ca="1" si="12"/>
        <v>8.980077559908004</v>
      </c>
      <c r="AH22" s="108">
        <f t="shared" ca="1" si="13"/>
        <v>2.5390885510718846</v>
      </c>
      <c r="AI22" s="108">
        <f t="shared" ca="1" si="14"/>
        <v>4.1809770989659905</v>
      </c>
      <c r="AJ22" s="108">
        <f t="shared" ca="1" si="15"/>
        <v>4.2403278634800516</v>
      </c>
      <c r="AK22" s="108">
        <f t="shared" ca="1" si="16"/>
        <v>0.41840620479264035</v>
      </c>
      <c r="AL22" s="108">
        <f t="shared" ca="1" si="17"/>
        <v>0.51860542919356034</v>
      </c>
      <c r="AM22" s="649">
        <f t="shared" ca="1" si="18"/>
        <v>3.5565836315840902</v>
      </c>
      <c r="AN22" s="649">
        <f t="shared" ca="1" si="19"/>
        <v>3.8415493814163737</v>
      </c>
      <c r="AO22" s="178">
        <v>1</v>
      </c>
      <c r="AP22" s="178">
        <v>1</v>
      </c>
      <c r="AQ22" s="241">
        <f t="shared" si="20"/>
        <v>4.9399999999999999E-2</v>
      </c>
      <c r="AR22" s="321">
        <v>30</v>
      </c>
      <c r="AS22" s="321">
        <v>21</v>
      </c>
      <c r="AT22" s="321">
        <v>8</v>
      </c>
      <c r="AU22" s="321">
        <v>1</v>
      </c>
      <c r="AV22" s="321">
        <f t="shared" si="25"/>
        <v>31.385999999999999</v>
      </c>
      <c r="AW22" s="321">
        <f t="shared" si="26"/>
        <v>31.077000000000002</v>
      </c>
      <c r="AX22" s="321">
        <f t="shared" si="27"/>
        <v>34.956000000000003</v>
      </c>
      <c r="AY22" s="321">
        <f t="shared" si="28"/>
        <v>25.965</v>
      </c>
      <c r="AZ22" s="321">
        <f t="shared" si="29"/>
        <v>29.88</v>
      </c>
      <c r="BA22" s="321">
        <f t="shared" si="30"/>
        <v>34.5</v>
      </c>
      <c r="BB22" s="321">
        <f t="shared" si="31"/>
        <v>39.450000000000003</v>
      </c>
      <c r="BC22" s="321">
        <f t="shared" si="32"/>
        <v>20.130000000000003</v>
      </c>
      <c r="BD22" s="321">
        <f t="shared" si="33"/>
        <v>21.240000000000002</v>
      </c>
      <c r="BE22" s="321">
        <f t="shared" si="34"/>
        <v>22.83</v>
      </c>
      <c r="BF22" s="321">
        <f t="shared" si="35"/>
        <v>9.66</v>
      </c>
      <c r="BG22" s="111">
        <v>48920</v>
      </c>
      <c r="BH22" s="317">
        <v>3600</v>
      </c>
      <c r="BJ22" s="136"/>
      <c r="BK22" s="139"/>
    </row>
    <row r="23" spans="1:63" s="75" customFormat="1" x14ac:dyDescent="0.25">
      <c r="A23" s="131" t="s">
        <v>177</v>
      </c>
      <c r="B23" s="131" t="s">
        <v>64</v>
      </c>
      <c r="C23" s="132">
        <f ca="1">((34*112)-(E23*112)-(F23))/112</f>
        <v>-1.4553571428571428</v>
      </c>
      <c r="D23" s="640" t="s">
        <v>107</v>
      </c>
      <c r="E23" s="133">
        <v>35</v>
      </c>
      <c r="F23" s="138">
        <f ca="1">75-41471+$D$1-24-112-10-112-40-8-112-112-112-112-112-112-112-112-112-112-112-112-112-112-112-112-112</f>
        <v>51</v>
      </c>
      <c r="G23" s="134" t="s">
        <v>94</v>
      </c>
      <c r="H23" s="130">
        <v>2</v>
      </c>
      <c r="I23" s="102">
        <v>13.5</v>
      </c>
      <c r="J23" s="185">
        <f>LOG(I23+1)*4/3</f>
        <v>1.5484906696466332</v>
      </c>
      <c r="K23" s="98">
        <f>(H23)*(H23)*(I23)</f>
        <v>54</v>
      </c>
      <c r="L23" s="98">
        <f>(H23+1)*(H23+1)*I23</f>
        <v>121.5</v>
      </c>
      <c r="M23" s="135">
        <v>4.8</v>
      </c>
      <c r="N23" s="178">
        <f>M23*10+19</f>
        <v>67</v>
      </c>
      <c r="O23" s="178" t="s">
        <v>256</v>
      </c>
      <c r="P23" s="304">
        <v>1.5</v>
      </c>
      <c r="Q23" s="178">
        <v>7</v>
      </c>
      <c r="R23" s="199">
        <f>(Q23/7)^0.5</f>
        <v>1</v>
      </c>
      <c r="S23" s="199">
        <f>IF(Q23=7,1,((Q23+0.99)/7)^0.5)</f>
        <v>1</v>
      </c>
      <c r="T23" s="702">
        <v>8480</v>
      </c>
      <c r="U23" s="268">
        <f>T23-BG23</f>
        <v>-5610</v>
      </c>
      <c r="V23" s="111">
        <v>3410</v>
      </c>
      <c r="W23" s="108">
        <f>T23/V23</f>
        <v>2.4868035190615836</v>
      </c>
      <c r="X23" s="184">
        <v>0</v>
      </c>
      <c r="Y23" s="185">
        <f>7+0.11+0.11+1/33</f>
        <v>7.2503030303030309</v>
      </c>
      <c r="Z23" s="184">
        <f>10+0.1*0.5+0.1*0.5+0.1*0.5+0.1*0.5+0.1*0.5+0.1+0.1+0.1*0.5+0.1*0.5+0.1*0.5</f>
        <v>10.600000000000005</v>
      </c>
      <c r="AA23" s="185">
        <v>12.95</v>
      </c>
      <c r="AB23" s="184">
        <v>9.9499999999999993</v>
      </c>
      <c r="AC23" s="185">
        <v>3.95</v>
      </c>
      <c r="AD23" s="184">
        <v>18</v>
      </c>
      <c r="AE23" s="312">
        <v>1470</v>
      </c>
      <c r="AF23" s="648">
        <f>(Z23+P23+J23)*(Q23/7)^0.5</f>
        <v>13.648490669646637</v>
      </c>
      <c r="AG23" s="648">
        <f>(Z23+P23+J23)*(IF(Q23=7, (Q23/7)^0.5, ((Q23+1)/7)^0.5))</f>
        <v>13.648490669646637</v>
      </c>
      <c r="AH23" s="108">
        <f>(((Y23+P23+J23)+(AB23+P23+J23)*2)/8)*(Q23/7)^0.5</f>
        <v>4.5369718799053658</v>
      </c>
      <c r="AI23" s="108">
        <f>(1.66*(AC23+J23+P23)+0.55*(AD23+J23+P23)-7.6)*(Q23/7)^0.5</f>
        <v>15.594164379919059</v>
      </c>
      <c r="AJ23" s="108">
        <f>((AD23+J23+P23)*0.7+(AC23+J23+P23)*0.3)*(Q23/7)^0.5</f>
        <v>16.833490669646633</v>
      </c>
      <c r="AK23" s="108">
        <f>(0.5*(AC23+P23+J23)+ 0.3*(AD23+P23+J23))/10</f>
        <v>0.98137925357173061</v>
      </c>
      <c r="AL23" s="108">
        <f>(0.4*(Y23+P23+J23)+0.3*(AD23+P23+J23))/10</f>
        <v>1.0434064680873854</v>
      </c>
      <c r="AM23" s="649">
        <f>(AD23+P23+(LOG(I23)*4/3))*(Q23/7)^0.5</f>
        <v>21.007111691326674</v>
      </c>
      <c r="AN23" s="649">
        <f>(AD23+P23+(LOG(I23)*4/3))*(IF(Q23=7, (Q23/7)^0.5, ((Q23+1)/7)^0.5))</f>
        <v>21.007111691326674</v>
      </c>
      <c r="AO23" s="178">
        <v>4</v>
      </c>
      <c r="AP23" s="178">
        <v>4</v>
      </c>
      <c r="AQ23" s="241">
        <f>IF(AO23=4,IF(AP23=0,0.137+0.0697,0.137+0.02),IF(AO23=3,IF(AP23=0,0.0958+0.0697,0.0958+0.02),IF(AO23=2,IF(AP23=0,0.0415+0.0697,0.0415+0.02),IF(AO23=1,IF(AP23=0,0.0294+0.0697,0.0294+0.02),IF(AO23=0,IF(AP23=0,0.0063+0.0697,0.0063+0.02))))))</f>
        <v>0.157</v>
      </c>
      <c r="AR23" s="314"/>
      <c r="AS23" s="314"/>
      <c r="AT23" s="314"/>
      <c r="AU23" s="314"/>
      <c r="AV23" s="241"/>
      <c r="AW23" s="241"/>
      <c r="AX23" s="241"/>
      <c r="AY23" s="241"/>
      <c r="AZ23" s="241"/>
      <c r="BA23" s="241"/>
      <c r="BB23" s="241"/>
      <c r="BC23" s="241"/>
      <c r="BD23" s="241"/>
      <c r="BE23" s="241"/>
      <c r="BF23" s="241"/>
      <c r="BG23" s="313">
        <v>14090</v>
      </c>
      <c r="BH23" s="319"/>
      <c r="BJ23" s="136"/>
      <c r="BK23" s="139"/>
    </row>
    <row r="24" spans="1:63" s="81" customFormat="1" x14ac:dyDescent="0.25">
      <c r="A24" s="131" t="s">
        <v>176</v>
      </c>
      <c r="B24" s="131" t="s">
        <v>64</v>
      </c>
      <c r="C24" s="132">
        <f ca="1">((34*112)-(E24*112)-(F24))/112</f>
        <v>1.4107142857142858</v>
      </c>
      <c r="D24" s="640" t="s">
        <v>225</v>
      </c>
      <c r="E24" s="133">
        <v>32</v>
      </c>
      <c r="F24" s="58">
        <f ca="1">7-41471+$D$1-112-111-112+4-112-116-112-112-112-112-112-112-112-112-112-112-112-112-112-112</f>
        <v>66</v>
      </c>
      <c r="G24" s="134" t="s">
        <v>220</v>
      </c>
      <c r="H24" s="130">
        <v>2</v>
      </c>
      <c r="I24" s="102">
        <v>13</v>
      </c>
      <c r="J24" s="185">
        <f>LOG(I24+1)*4/3</f>
        <v>1.5281707142376506</v>
      </c>
      <c r="K24" s="98">
        <f>(H24)*(H24)*(I24)</f>
        <v>52</v>
      </c>
      <c r="L24" s="98">
        <f>(H24+1)*(H24+1)*I24</f>
        <v>117</v>
      </c>
      <c r="M24" s="135">
        <v>5.8</v>
      </c>
      <c r="N24" s="178">
        <f>M24*10+19</f>
        <v>77</v>
      </c>
      <c r="O24" s="178" t="s">
        <v>256</v>
      </c>
      <c r="P24" s="304">
        <v>1.5</v>
      </c>
      <c r="Q24" s="178">
        <v>5</v>
      </c>
      <c r="R24" s="199">
        <f>(Q24/7)^0.5</f>
        <v>0.84515425472851657</v>
      </c>
      <c r="S24" s="199">
        <f>IF(Q24=7,1,((Q24+0.99)/7)^0.5)</f>
        <v>0.92504826128926143</v>
      </c>
      <c r="T24" s="111">
        <v>87920</v>
      </c>
      <c r="U24" s="268">
        <f>T24-BG24</f>
        <v>-3390</v>
      </c>
      <c r="V24" s="111">
        <v>12210</v>
      </c>
      <c r="W24" s="108">
        <f>T24/V24</f>
        <v>7.2006552006552003</v>
      </c>
      <c r="X24" s="184">
        <v>0</v>
      </c>
      <c r="Y24" s="185">
        <f>8+0.12+0.12+0.12</f>
        <v>8.3599999999999977</v>
      </c>
      <c r="Z24" s="184">
        <f>8.4+0.22+0.22+(0.22*75/90)+(0.05*15/90)+0.17+0.17+0.17+0.17+0.17+1/7+0.16+0.16+0.16+0.125+0.16+0.16+0.14+0.14+0.05*61/90+0.11+0.11*0.5+0.11+0.11+0.11+0.1+0.1+0.1*0.5+0.1*0.5+0.1+0.1*0.5+0.09*0.5</f>
        <v>12.253412698412699</v>
      </c>
      <c r="AA24" s="185">
        <v>12.95</v>
      </c>
      <c r="AB24" s="184">
        <f>6+0.33+0.33+0.33+0.3+0.25+0.25+0.24+0.24+0.23+0.2+0.2+0.18+0.15+0.15+0.15+0.15+0.13+0.13+0.12+0.1+0.08</f>
        <v>10.24</v>
      </c>
      <c r="AC24" s="185">
        <v>6.95</v>
      </c>
      <c r="AD24" s="184">
        <v>16</v>
      </c>
      <c r="AE24" s="312">
        <v>1760</v>
      </c>
      <c r="AF24" s="648">
        <f>(Z24+P24+J24)*(Q24/7)^0.5</f>
        <v>12.915295240190167</v>
      </c>
      <c r="AG24" s="648">
        <f>(Z24+P24+J24)*(IF(Q24=7, (Q24/7)^0.5, ((Q24+1)/7)^0.5))</f>
        <v>14.147997079782513</v>
      </c>
      <c r="AH24" s="108">
        <f>(((Y24+P24+J24)+(AB24+P24+J24)*2)/8)*(Q24/7)^0.5</f>
        <v>4.0065078494896431</v>
      </c>
      <c r="AI24" s="108">
        <f>(1.66*(AC24+J24+P24)+0.55*(AD24+J24+P24)-7.6)*(Q24/7)^0.5</f>
        <v>16.420719455109868</v>
      </c>
      <c r="AJ24" s="108">
        <f>((AD24+J24+P24)*0.7+(AC24+J24+P24)*0.3)*(Q24/7)^0.5</f>
        <v>13.787145637250584</v>
      </c>
      <c r="AK24" s="108">
        <f>(0.5*(AC24+P24+J24)+ 0.3*(AD24+P24+J24))/10</f>
        <v>1.069753657139012</v>
      </c>
      <c r="AL24" s="108">
        <f>(0.4*(Y24+P24+J24)+0.3*(AD24+P24+J24))/10</f>
        <v>1.0263719499966355</v>
      </c>
      <c r="AM24" s="649">
        <f>(AD24+P24+(LOG(I24)*4/3))*(Q24/7)^0.5</f>
        <v>16.045471409387268</v>
      </c>
      <c r="AN24" s="649">
        <f>(AD24+P24+(LOG(I24)*4/3))*(IF(Q24=7, (Q24/7)^0.5, ((Q24+1)/7)^0.5))</f>
        <v>17.576933273451232</v>
      </c>
      <c r="AO24" s="178">
        <v>3</v>
      </c>
      <c r="AP24" s="178">
        <v>2</v>
      </c>
      <c r="AQ24" s="241">
        <f>IF(AO24=4,IF(AP24=0,0.137+0.0697,0.137+0.02),IF(AO24=3,IF(AP24=0,0.0958+0.0697,0.0958+0.02),IF(AO24=2,IF(AP24=0,0.0415+0.0697,0.0415+0.02),IF(AO24=1,IF(AP24=0,0.0294+0.0697,0.0294+0.02),IF(AO24=0,IF(AP24=0,0.0063+0.0697,0.0063+0.02))))))</f>
        <v>0.1158</v>
      </c>
      <c r="AR24" s="314"/>
      <c r="AS24" s="314"/>
      <c r="AT24" s="314"/>
      <c r="AU24" s="314"/>
      <c r="AV24" s="241"/>
      <c r="AW24" s="241"/>
      <c r="AX24" s="241"/>
      <c r="AY24" s="241"/>
      <c r="AZ24" s="241"/>
      <c r="BA24" s="241"/>
      <c r="BB24" s="241"/>
      <c r="BC24" s="241"/>
      <c r="BD24" s="241"/>
      <c r="BE24" s="241"/>
      <c r="BF24" s="241"/>
      <c r="BG24" s="111">
        <v>91310</v>
      </c>
      <c r="BH24" s="317"/>
      <c r="BJ24" s="136"/>
      <c r="BK24" s="139"/>
    </row>
    <row r="25" spans="1:63" s="81" customFormat="1" x14ac:dyDescent="0.25">
      <c r="A25" s="100" t="s">
        <v>178</v>
      </c>
      <c r="B25" s="79" t="s">
        <v>64</v>
      </c>
      <c r="C25" s="132">
        <f ca="1">((34*112)-(E25*112)-(F25))/112</f>
        <v>-1.5892857142857142</v>
      </c>
      <c r="D25" s="640" t="s">
        <v>169</v>
      </c>
      <c r="E25" s="57">
        <v>35</v>
      </c>
      <c r="F25" s="58">
        <f ca="1">7-41471+$D$1-112-111-112-112-112-112-112-112-112-112-112-112-112-112-112-112-112-112-112</f>
        <v>66</v>
      </c>
      <c r="G25" s="80"/>
      <c r="H25" s="130">
        <v>0</v>
      </c>
      <c r="I25" s="59">
        <v>12</v>
      </c>
      <c r="J25" s="185">
        <f>LOG(I25+1)*4/3</f>
        <v>1.4852578030757824</v>
      </c>
      <c r="K25" s="98">
        <f>(H25)*(H25)*(I25)</f>
        <v>0</v>
      </c>
      <c r="L25" s="98">
        <f>(H25+1)*(H25+1)*I25</f>
        <v>12</v>
      </c>
      <c r="M25" s="92">
        <v>4.8</v>
      </c>
      <c r="N25" s="178">
        <f>M25*10+19</f>
        <v>67</v>
      </c>
      <c r="O25" s="178" t="s">
        <v>256</v>
      </c>
      <c r="P25" s="304">
        <v>1.5</v>
      </c>
      <c r="Q25" s="179">
        <v>5</v>
      </c>
      <c r="R25" s="199">
        <f>(Q25/7)^0.5</f>
        <v>0.84515425472851657</v>
      </c>
      <c r="S25" s="199">
        <f>IF(Q25=7,1,((Q25+0.99)/7)^0.5)</f>
        <v>0.92504826128926143</v>
      </c>
      <c r="T25" s="111">
        <v>9500</v>
      </c>
      <c r="U25" s="268">
        <f>T25-BG25</f>
        <v>-410</v>
      </c>
      <c r="V25" s="269">
        <v>8340</v>
      </c>
      <c r="W25" s="108">
        <f>T25/V25</f>
        <v>1.1390887290167866</v>
      </c>
      <c r="X25" s="184">
        <v>0</v>
      </c>
      <c r="Y25" s="185">
        <v>5.95</v>
      </c>
      <c r="Z25" s="184">
        <v>14.1</v>
      </c>
      <c r="AA25" s="185">
        <v>2.95</v>
      </c>
      <c r="AB25" s="184">
        <v>8.9499999999999993</v>
      </c>
      <c r="AC25" s="185">
        <v>5.95</v>
      </c>
      <c r="AD25" s="184">
        <v>16.95</v>
      </c>
      <c r="AE25" s="312">
        <v>1357</v>
      </c>
      <c r="AF25" s="648">
        <f>(Z25+P25+J25)*(Q25/7)^0.5</f>
        <v>14.439678325403083</v>
      </c>
      <c r="AG25" s="648">
        <f>(Z25+P25+J25)*(IF(Q25=7, (Q25/7)^0.5, ((Q25+1)/7)^0.5))</f>
        <v>15.817875083883381</v>
      </c>
      <c r="AH25" s="108">
        <f>(((Y25+P25+J25)+(AB25+P25+J25)*2)/8)*(Q25/7)^0.5</f>
        <v>3.4657423720585152</v>
      </c>
      <c r="AI25" s="108">
        <f>(1.66*(AC25+J25+P25)+0.55*(AD25+J25+P25)-7.6)*(Q25/7)^0.5</f>
        <v>15.37920414526894</v>
      </c>
      <c r="AJ25" s="108">
        <f>((AD25+J25+P25)*0.7+(AC25+J25+P25)*0.3)*(Q25/7)^0.5</f>
        <v>14.059358910775252</v>
      </c>
      <c r="AK25" s="108">
        <f>(0.5*(AC25+P25+J25)+ 0.3*(AD25+P25+J25))/10</f>
        <v>1.0448206242460625</v>
      </c>
      <c r="AL25" s="108">
        <f>(0.4*(Y25+P25+J25)+0.3*(AD25+P25+J25))/10</f>
        <v>0.95546804621530479</v>
      </c>
      <c r="AM25" s="649">
        <f>(AD25+P25+(LOG(I25)*4/3))*(Q25/7)^0.5</f>
        <v>16.809195495368293</v>
      </c>
      <c r="AN25" s="649">
        <f>(AD25+P25+(LOG(I25)*4/3))*(IF(Q25=7, (Q25/7)^0.5, ((Q25+1)/7)^0.5))</f>
        <v>18.413551092654878</v>
      </c>
      <c r="AO25" s="179">
        <v>2</v>
      </c>
      <c r="AP25" s="179">
        <v>1</v>
      </c>
      <c r="AQ25" s="241">
        <f>IF(AO25=4,IF(AP25=0,0.137+0.0697,0.137+0.02),IF(AO25=3,IF(AP25=0,0.0958+0.0697,0.0958+0.02),IF(AO25=2,IF(AP25=0,0.0415+0.0697,0.0415+0.02),IF(AO25=1,IF(AP25=0,0.0294+0.0697,0.0294+0.02),IF(AO25=0,IF(AP25=0,0.0063+0.0697,0.0063+0.02))))))</f>
        <v>6.1499999999999999E-2</v>
      </c>
      <c r="AR25" s="314"/>
      <c r="AS25" s="314"/>
      <c r="AT25" s="314"/>
      <c r="AU25" s="314"/>
      <c r="AV25" s="241"/>
      <c r="AW25" s="241"/>
      <c r="AX25" s="241"/>
      <c r="AY25" s="241"/>
      <c r="AZ25" s="241"/>
      <c r="BA25" s="241"/>
      <c r="BB25" s="241"/>
      <c r="BC25" s="241"/>
      <c r="BD25" s="241"/>
      <c r="BE25" s="241"/>
      <c r="BF25" s="241"/>
      <c r="BG25" s="111">
        <v>9910</v>
      </c>
      <c r="BH25" s="317"/>
      <c r="BJ25" s="136"/>
      <c r="BK25" s="139"/>
    </row>
    <row r="26" spans="1:63" s="75" customFormat="1" x14ac:dyDescent="0.25">
      <c r="A26" s="131" t="s">
        <v>224</v>
      </c>
      <c r="B26" s="131" t="s">
        <v>64</v>
      </c>
      <c r="C26" s="132">
        <f ca="1">((34*112)-(E26*112)-(F26))/112</f>
        <v>-0.9196428571428571</v>
      </c>
      <c r="D26" s="640" t="s">
        <v>102</v>
      </c>
      <c r="E26" s="133">
        <v>34</v>
      </c>
      <c r="F26" s="138">
        <f ca="1">74-41471+$D$1-112-112-29-112-112-112-112-112-112-112-112-112-112-112-112-112-112-112-112-112</f>
        <v>103</v>
      </c>
      <c r="G26" s="134" t="s">
        <v>105</v>
      </c>
      <c r="H26" s="130">
        <v>3</v>
      </c>
      <c r="I26" s="102">
        <v>14.3</v>
      </c>
      <c r="J26" s="185">
        <f>LOG(I26+1)*4/3</f>
        <v>1.5795885744234652</v>
      </c>
      <c r="K26" s="98">
        <f>(H26)*(H26)*(I26)</f>
        <v>128.70000000000002</v>
      </c>
      <c r="L26" s="98">
        <f>(H26+1)*(H26+1)*I26</f>
        <v>228.8</v>
      </c>
      <c r="M26" s="135">
        <v>5.2</v>
      </c>
      <c r="N26" s="178">
        <f>M26*10+19</f>
        <v>71</v>
      </c>
      <c r="O26" s="178" t="s">
        <v>256</v>
      </c>
      <c r="P26" s="304">
        <v>1.5</v>
      </c>
      <c r="Q26" s="178">
        <v>5</v>
      </c>
      <c r="R26" s="199">
        <f>(Q26/7)^0.5</f>
        <v>0.84515425472851657</v>
      </c>
      <c r="S26" s="199">
        <f>IF(Q26=7,1,((Q26+0.99)/7)^0.5)</f>
        <v>0.92504826128926143</v>
      </c>
      <c r="T26" s="702">
        <v>3740</v>
      </c>
      <c r="U26" s="268">
        <f>T26-BG26</f>
        <v>2650</v>
      </c>
      <c r="V26" s="111">
        <v>1200</v>
      </c>
      <c r="W26" s="108">
        <f>T26/V26</f>
        <v>3.1166666666666667</v>
      </c>
      <c r="X26" s="184">
        <v>0</v>
      </c>
      <c r="Y26" s="185">
        <f>5+(5/7)+0.07+0.21+0.07+0.07+0.07+0.07+0.07+0.07+0.06+0.03+0.03+0.03+0.03+0.03+0.2*33/90+0.03+0.03+0.02+0.02+0.01+0.01+0.01+0.01</f>
        <v>6.8376190476190493</v>
      </c>
      <c r="Z26" s="184">
        <v>8.9499999999999993</v>
      </c>
      <c r="AA26" s="185">
        <f>7.9+0.165+0.165+0.21+0.13+0.03+0.03+0.03+0.02+0.02+0.02+0.01+0.01</f>
        <v>8.7399999999999967</v>
      </c>
      <c r="AB26" s="184">
        <v>9.9499999999999993</v>
      </c>
      <c r="AC26" s="185">
        <v>6.95</v>
      </c>
      <c r="AD26" s="184">
        <f>17.99+0.2+0.15+0.15+0.15+0.15+0.11+0.1</f>
        <v>18.999999999999993</v>
      </c>
      <c r="AE26" s="312">
        <v>1271</v>
      </c>
      <c r="AF26" s="648">
        <f>(Z26+P26+J26)*(Q26/7)^0.5</f>
        <v>10.166857966307541</v>
      </c>
      <c r="AG26" s="648">
        <f>(Z26+P26+J26)*(IF(Q26=7, (Q26/7)^0.5, ((Q26+1)/7)^0.5))</f>
        <v>11.137234894195476</v>
      </c>
      <c r="AH26" s="108">
        <f>(((Y26+P26+J26)+(AB26+P26+J26)*2)/8)*(Q26/7)^0.5</f>
        <v>3.8006993323584273</v>
      </c>
      <c r="AI26" s="108">
        <f>(1.66*(AC26+J26+P26)+0.55*(AD26+J26+P26)-7.6)*(Q26/7)^0.5</f>
        <v>17.911261786916143</v>
      </c>
      <c r="AJ26" s="108">
        <f>((AD26+J26+P26)*0.7+(AC26+J26+P26)*0.3)*(Q26/7)^0.5</f>
        <v>15.60542559548554</v>
      </c>
      <c r="AK26" s="108">
        <f>(0.5*(AC26+P26+J26)+ 0.3*(AD26+P26+J26))/10</f>
        <v>1.1638670859538771</v>
      </c>
      <c r="AL26" s="108">
        <f>(0.4*(Y26+P26+J26)+0.3*(AD26+P26+J26))/10</f>
        <v>1.0590759621144044</v>
      </c>
      <c r="AM26" s="649">
        <f>(AD26+P26+(LOG(I26)*4/3))*(Q26/7)^0.5</f>
        <v>18.627578445540959</v>
      </c>
      <c r="AN26" s="649">
        <f>(AD26+P26+(LOG(I26)*4/3))*(IF(Q26=7, (Q26/7)^0.5, ((Q26+1)/7)^0.5))</f>
        <v>20.405489812639601</v>
      </c>
      <c r="AO26" s="178">
        <v>4</v>
      </c>
      <c r="AP26" s="178">
        <v>2</v>
      </c>
      <c r="AQ26" s="241">
        <f>IF(AO26=4,IF(AP26=0,0.137+0.0697,0.137+0.02),IF(AO26=3,IF(AP26=0,0.0958+0.0697,0.0958+0.02),IF(AO26=2,IF(AP26=0,0.0415+0.0697,0.0415+0.02),IF(AO26=1,IF(AP26=0,0.0294+0.0697,0.0294+0.02),IF(AO26=0,IF(AP26=0,0.0063+0.0697,0.0063+0.02))))))</f>
        <v>0.157</v>
      </c>
      <c r="AR26" s="314"/>
      <c r="AS26" s="314"/>
      <c r="AT26" s="314"/>
      <c r="AU26" s="314"/>
      <c r="AV26" s="241"/>
      <c r="AW26" s="241"/>
      <c r="AX26" s="241"/>
      <c r="AY26" s="241"/>
      <c r="AZ26" s="241"/>
      <c r="BA26" s="241"/>
      <c r="BB26" s="241"/>
      <c r="BC26" s="241"/>
      <c r="BD26" s="241"/>
      <c r="BE26" s="241"/>
      <c r="BF26" s="241"/>
      <c r="BG26" s="111">
        <v>1090</v>
      </c>
      <c r="BH26" s="317"/>
      <c r="BJ26" s="136"/>
      <c r="BK26" s="139"/>
    </row>
    <row r="27" spans="1:63" s="82" customFormat="1" x14ac:dyDescent="0.25">
      <c r="A27" s="131" t="s">
        <v>250</v>
      </c>
      <c r="B27" s="131" t="s">
        <v>64</v>
      </c>
      <c r="C27" s="132">
        <f ca="1">((34*112)-(E27*112)-(F27))/112</f>
        <v>1.8035714285714286</v>
      </c>
      <c r="D27" s="640" t="s">
        <v>251</v>
      </c>
      <c r="E27" s="57">
        <v>32</v>
      </c>
      <c r="F27" s="58">
        <f ca="1">7-41471+$D$1-112-111-43-112-112-1-112-112-112-112-112-112-112-112-112-112-112-112-112-112-112</f>
        <v>22</v>
      </c>
      <c r="G27" s="80"/>
      <c r="H27" s="310">
        <v>5</v>
      </c>
      <c r="I27" s="59">
        <v>6.2</v>
      </c>
      <c r="J27" s="185">
        <f>LOG(I27+1)*4/3</f>
        <v>1.1431099952416914</v>
      </c>
      <c r="K27" s="98">
        <f>(H27)*(H27)*(I27)</f>
        <v>155</v>
      </c>
      <c r="L27" s="98">
        <f>(H27+1)*(H27+1)*I27</f>
        <v>223.20000000000002</v>
      </c>
      <c r="M27" s="92">
        <v>6</v>
      </c>
      <c r="N27" s="178">
        <f>M27*10+19</f>
        <v>79</v>
      </c>
      <c r="O27" s="178" t="s">
        <v>256</v>
      </c>
      <c r="P27" s="304">
        <v>1.5</v>
      </c>
      <c r="Q27" s="179">
        <v>5</v>
      </c>
      <c r="R27" s="199">
        <f>(Q27/7)^0.5</f>
        <v>0.84515425472851657</v>
      </c>
      <c r="S27" s="199">
        <f>IF(Q27=7,1,((Q27+0.99)/7)^0.5)</f>
        <v>0.92504826128926143</v>
      </c>
      <c r="T27" s="269">
        <v>11140</v>
      </c>
      <c r="U27" s="268">
        <f>T27-BG27</f>
        <v>1010</v>
      </c>
      <c r="V27" s="269">
        <v>2040</v>
      </c>
      <c r="W27" s="108">
        <f>T27/V27</f>
        <v>5.4607843137254903</v>
      </c>
      <c r="X27" s="184">
        <v>0</v>
      </c>
      <c r="Y27" s="185">
        <f>4+0.01+0.01</f>
        <v>4.0199999999999996</v>
      </c>
      <c r="Z27" s="184">
        <v>6</v>
      </c>
      <c r="AA27" s="185">
        <f>4.9+0.25+0.05+0.05+0.05+0.04+0.03+0.03+0.03+0.02+0.02+0.02+0.02</f>
        <v>5.5099999999999989</v>
      </c>
      <c r="AB27" s="184">
        <v>10.95</v>
      </c>
      <c r="AC27" s="185">
        <v>7.95</v>
      </c>
      <c r="AD27" s="184">
        <v>14</v>
      </c>
      <c r="AE27" s="312">
        <v>974</v>
      </c>
      <c r="AF27" s="648">
        <f>(Z27+P27+J27)*(Q27/7)^0.5</f>
        <v>7.3047611865650834</v>
      </c>
      <c r="AG27" s="648">
        <f>(Z27+P27+J27)*(IF(Q27=7, (Q27/7)^0.5, ((Q27+1)/7)^0.5))</f>
        <v>8.0019649581397978</v>
      </c>
      <c r="AH27" s="108">
        <f>(((Y27+P27+J27)+(AB27+P27+J27)*2)/8)*(Q27/7)^0.5</f>
        <v>3.5759881571431378</v>
      </c>
      <c r="AI27" s="108">
        <f>(1.66*(AC27+J27+P27)+0.55*(AD27+J27+P27)-7.6)*(Q27/7)^0.5</f>
        <v>16.17479292973379</v>
      </c>
      <c r="AJ27" s="108">
        <f>((AD27+J27+P27)*0.7+(AC27+J27+P27)*0.3)*(Q27/7)^0.5</f>
        <v>12.532040252060957</v>
      </c>
      <c r="AK27" s="108">
        <f>(0.5*(AC27+P27+J27)+ 0.3*(AD27+P27+J27))/10</f>
        <v>1.0289487996193352</v>
      </c>
      <c r="AL27" s="108">
        <f>(0.4*(Y27+P27+J27)+0.3*(AD27+P27+J27))/10</f>
        <v>0.76581769966691837</v>
      </c>
      <c r="AM27" s="649">
        <f>(AD27+P27+(LOG(I27)*4/3))*(Q27/7)^0.5</f>
        <v>13.992815225346629</v>
      </c>
      <c r="AN27" s="649">
        <f>(AD27+P27+(LOG(I27)*4/3))*(IF(Q27=7, (Q27/7)^0.5, ((Q27+1)/7)^0.5))</f>
        <v>15.328361083848163</v>
      </c>
      <c r="AO27" s="179">
        <v>2</v>
      </c>
      <c r="AP27" s="179">
        <v>1</v>
      </c>
      <c r="AQ27" s="241">
        <f>IF(AO27=4,IF(AP27=0,0.137+0.0697,0.137+0.02),IF(AO27=3,IF(AP27=0,0.0958+0.0697,0.0958+0.02),IF(AO27=2,IF(AP27=0,0.0415+0.0697,0.0415+0.02),IF(AO27=1,IF(AP27=0,0.0294+0.0697,0.0294+0.02),IF(AO27=0,IF(AP27=0,0.0063+0.0697,0.0063+0.02))))))</f>
        <v>6.1499999999999999E-2</v>
      </c>
      <c r="AR27" s="314"/>
      <c r="AS27" s="314"/>
      <c r="AT27" s="314"/>
      <c r="AU27" s="314"/>
      <c r="AV27" s="241"/>
      <c r="AW27" s="241"/>
      <c r="AX27" s="241"/>
      <c r="AY27" s="241"/>
      <c r="AZ27" s="241"/>
      <c r="BA27" s="241"/>
      <c r="BB27" s="241"/>
      <c r="BC27" s="241"/>
      <c r="BD27" s="241"/>
      <c r="BE27" s="241"/>
      <c r="BF27" s="241"/>
      <c r="BG27" s="269">
        <v>10130</v>
      </c>
      <c r="BH27" s="318"/>
      <c r="BJ27" s="136"/>
      <c r="BK27" s="139"/>
    </row>
    <row r="28" spans="1:63" x14ac:dyDescent="0.25">
      <c r="G28" s="2"/>
      <c r="H28"/>
      <c r="I28" s="84"/>
      <c r="J28" s="186"/>
      <c r="K28"/>
      <c r="T28" s="68">
        <f>SUM(T4:T27)</f>
        <v>407970</v>
      </c>
      <c r="U28" s="68">
        <f t="shared" ref="U28:V28" si="36">SUM(U4:U27)</f>
        <v>-1800</v>
      </c>
      <c r="V28" s="68">
        <f t="shared" si="36"/>
        <v>84582</v>
      </c>
      <c r="W28" s="107">
        <f t="shared" si="4"/>
        <v>4.8233666737603746</v>
      </c>
      <c r="X28"/>
      <c r="AD28" s="105"/>
      <c r="AE28" s="68"/>
      <c r="AH28" s="651"/>
      <c r="AI28" s="651"/>
      <c r="AJ28" s="651"/>
      <c r="AK28" s="651"/>
      <c r="AL28" s="651"/>
      <c r="AM28" s="651"/>
      <c r="AN28" s="651"/>
    </row>
    <row r="29" spans="1:63" x14ac:dyDescent="0.25">
      <c r="G29" s="181"/>
      <c r="K29" s="181"/>
      <c r="M29" s="181"/>
      <c r="N29" s="181"/>
      <c r="Q29" s="181"/>
      <c r="T29" s="106"/>
      <c r="U29" s="106"/>
      <c r="V29" s="106"/>
      <c r="W29" s="89"/>
      <c r="AE29" s="89"/>
      <c r="AH29" s="652"/>
      <c r="AI29" s="652"/>
      <c r="AJ29" s="652"/>
      <c r="AK29" s="652"/>
      <c r="AL29" s="652"/>
      <c r="AM29" s="652"/>
      <c r="AN29" s="652"/>
    </row>
    <row r="30" spans="1:63" x14ac:dyDescent="0.25">
      <c r="I30" s="83"/>
      <c r="Y30" s="48"/>
    </row>
    <row r="31" spans="1:63" x14ac:dyDescent="0.25">
      <c r="D31" s="251"/>
      <c r="I31" s="83"/>
      <c r="P31" s="49"/>
      <c r="Y31" s="48"/>
      <c r="AE31" s="295"/>
    </row>
    <row r="32" spans="1:63" x14ac:dyDescent="0.25">
      <c r="D32" s="251"/>
      <c r="I32" s="83"/>
      <c r="P32" s="49"/>
      <c r="V32" s="302"/>
      <c r="Y32" s="48"/>
    </row>
    <row r="33" spans="3:31" x14ac:dyDescent="0.25">
      <c r="D33" s="252"/>
      <c r="I33" s="83"/>
      <c r="V33" s="302"/>
      <c r="Y33" s="48"/>
    </row>
    <row r="34" spans="3:31" x14ac:dyDescent="0.25">
      <c r="I34" s="83"/>
      <c r="Y34" s="48"/>
    </row>
    <row r="35" spans="3:31" x14ac:dyDescent="0.25">
      <c r="I35" s="83"/>
      <c r="V35" s="302"/>
      <c r="Y35" s="48"/>
    </row>
    <row r="36" spans="3:31" x14ac:dyDescent="0.25">
      <c r="I36" s="83"/>
      <c r="Y36" s="48"/>
    </row>
    <row r="37" spans="3:31" x14ac:dyDescent="0.25">
      <c r="I37" s="83"/>
      <c r="Y37" s="48"/>
    </row>
    <row r="38" spans="3:31" x14ac:dyDescent="0.25">
      <c r="C38"/>
      <c r="D38"/>
      <c r="G38"/>
      <c r="H38"/>
      <c r="I38" s="83"/>
      <c r="K38"/>
      <c r="M38"/>
      <c r="N38"/>
      <c r="O38"/>
      <c r="P38"/>
      <c r="Q38"/>
      <c r="R38"/>
      <c r="S38"/>
      <c r="V38"/>
      <c r="W38"/>
      <c r="X38"/>
      <c r="AE38"/>
    </row>
    <row r="39" spans="3:31" x14ac:dyDescent="0.25">
      <c r="C39"/>
      <c r="D39"/>
      <c r="G39"/>
      <c r="H39"/>
      <c r="I39" s="83"/>
      <c r="K39"/>
      <c r="M39"/>
      <c r="N39"/>
      <c r="O39"/>
      <c r="P39"/>
      <c r="Q39"/>
      <c r="R39"/>
      <c r="S39"/>
      <c r="V39"/>
      <c r="W39"/>
      <c r="X39"/>
      <c r="AE39"/>
    </row>
    <row r="40" spans="3:31" x14ac:dyDescent="0.25">
      <c r="C40"/>
      <c r="D40"/>
      <c r="G40"/>
      <c r="H40"/>
      <c r="I40" s="83"/>
      <c r="K40"/>
      <c r="M40"/>
      <c r="N40"/>
      <c r="O40"/>
      <c r="P40"/>
      <c r="Q40"/>
      <c r="R40"/>
      <c r="S40"/>
      <c r="V40"/>
      <c r="W40"/>
      <c r="X40"/>
      <c r="AE40"/>
    </row>
    <row r="41" spans="3:31" x14ac:dyDescent="0.25">
      <c r="C41"/>
      <c r="D41"/>
      <c r="G41"/>
      <c r="H41"/>
      <c r="I41" s="83"/>
      <c r="K41"/>
      <c r="M41"/>
      <c r="N41"/>
      <c r="O41"/>
      <c r="P41"/>
      <c r="Q41"/>
      <c r="R41"/>
      <c r="S41"/>
      <c r="V41"/>
      <c r="W41"/>
      <c r="X41"/>
      <c r="AE41"/>
    </row>
  </sheetData>
  <sortState ref="A5:BG31">
    <sortCondition descending="1" ref="B5:B31"/>
  </sortState>
  <mergeCells count="1">
    <mergeCell ref="E1:G1"/>
  </mergeCells>
  <conditionalFormatting sqref="Q5:Q27">
    <cfRule type="cellIs" dxfId="52" priority="458" operator="greaterThan">
      <formula>6</formula>
    </cfRule>
    <cfRule type="cellIs" dxfId="51" priority="459" operator="lessThan">
      <formula>5</formula>
    </cfRule>
  </conditionalFormatting>
  <conditionalFormatting sqref="R5:S27">
    <cfRule type="cellIs" dxfId="50" priority="452" operator="greaterThan">
      <formula>0.95</formula>
    </cfRule>
    <cfRule type="cellIs" dxfId="49" priority="453" operator="lessThan">
      <formula>0.85</formula>
    </cfRule>
  </conditionalFormatting>
  <conditionalFormatting sqref="Q4">
    <cfRule type="cellIs" dxfId="48" priority="331" operator="greaterThan">
      <formula>6</formula>
    </cfRule>
    <cfRule type="cellIs" dxfId="47" priority="332" operator="lessThan">
      <formula>5</formula>
    </cfRule>
  </conditionalFormatting>
  <conditionalFormatting sqref="R4:S4">
    <cfRule type="cellIs" dxfId="46" priority="329" operator="greaterThan">
      <formula>0.95</formula>
    </cfRule>
    <cfRule type="cellIs" dxfId="45" priority="330" operator="lessThan">
      <formula>0.85</formula>
    </cfRule>
  </conditionalFormatting>
  <conditionalFormatting sqref="AQ4:AQ27">
    <cfRule type="cellIs" dxfId="44" priority="47" operator="lessThan">
      <formula>0.07</formula>
    </cfRule>
    <cfRule type="cellIs" dxfId="43" priority="48" operator="greaterThan">
      <formula>0.1</formula>
    </cfRule>
  </conditionalFormatting>
  <conditionalFormatting sqref="V4:V27">
    <cfRule type="dataBar" priority="3461">
      <dataBar>
        <cfvo type="min"/>
        <cfvo type="max"/>
        <color rgb="FFFF555A"/>
      </dataBar>
      <extLst>
        <ext xmlns:x14="http://schemas.microsoft.com/office/spreadsheetml/2009/9/main" uri="{B025F937-C7B1-47D3-B67F-A62EFF666E3E}">
          <x14:id>{E7C097D9-B680-432D-BF62-5F3C642AF0AD}</x14:id>
        </ext>
      </extLst>
    </cfRule>
  </conditionalFormatting>
  <conditionalFormatting sqref="W4:W27">
    <cfRule type="dataBar" priority="3463">
      <dataBar>
        <cfvo type="min"/>
        <cfvo type="max"/>
        <color rgb="FFFFB628"/>
      </dataBar>
      <extLst>
        <ext xmlns:x14="http://schemas.microsoft.com/office/spreadsheetml/2009/9/main" uri="{B025F937-C7B1-47D3-B67F-A62EFF666E3E}">
          <x14:id>{3567EDC3-F608-464A-AE0A-1EA832FCF3E8}</x14:id>
        </ext>
      </extLst>
    </cfRule>
  </conditionalFormatting>
  <conditionalFormatting sqref="T4:T27">
    <cfRule type="dataBar" priority="3465">
      <dataBar>
        <cfvo type="min"/>
        <cfvo type="max"/>
        <color rgb="FF638EC6"/>
      </dataBar>
      <extLst>
        <ext xmlns:x14="http://schemas.microsoft.com/office/spreadsheetml/2009/9/main" uri="{B025F937-C7B1-47D3-B67F-A62EFF666E3E}">
          <x14:id>{6526EE56-1374-458B-BF7F-FE05CE7F5717}</x14:id>
        </ext>
      </extLst>
    </cfRule>
  </conditionalFormatting>
  <conditionalFormatting sqref="AE4:AE27">
    <cfRule type="dataBar" priority="3467">
      <dataBar>
        <cfvo type="min"/>
        <cfvo type="max"/>
        <color rgb="FF008AEF"/>
      </dataBar>
      <extLst>
        <ext xmlns:x14="http://schemas.microsoft.com/office/spreadsheetml/2009/9/main" uri="{B025F937-C7B1-47D3-B67F-A62EFF666E3E}">
          <x14:id>{9C1C1947-295C-4847-A125-212D9BCEE319}</x14:id>
        </ext>
      </extLst>
    </cfRule>
  </conditionalFormatting>
  <conditionalFormatting sqref="C4:C27">
    <cfRule type="colorScale" priority="3471">
      <colorScale>
        <cfvo type="min"/>
        <cfvo type="percentile" val="50"/>
        <cfvo type="max"/>
        <color rgb="FFF8696B"/>
        <color rgb="FFFFEB84"/>
        <color rgb="FF63BE7B"/>
      </colorScale>
    </cfRule>
  </conditionalFormatting>
  <conditionalFormatting sqref="AF4:AG27">
    <cfRule type="colorScale" priority="3473">
      <colorScale>
        <cfvo type="min"/>
        <cfvo type="percentile" val="50"/>
        <cfvo type="max"/>
        <color rgb="FFF8696B"/>
        <color rgb="FFFFEB84"/>
        <color rgb="FF63BE7B"/>
      </colorScale>
    </cfRule>
  </conditionalFormatting>
  <conditionalFormatting sqref="AH4:AH27">
    <cfRule type="colorScale" priority="3475">
      <colorScale>
        <cfvo type="min"/>
        <cfvo type="percentile" val="50"/>
        <cfvo type="max"/>
        <color rgb="FFF8696B"/>
        <color rgb="FFFCFCFF"/>
        <color rgb="FF5A8AC6"/>
      </colorScale>
    </cfRule>
  </conditionalFormatting>
  <conditionalFormatting sqref="AI4:AI27">
    <cfRule type="colorScale" priority="3477">
      <colorScale>
        <cfvo type="min"/>
        <cfvo type="percentile" val="50"/>
        <cfvo type="max"/>
        <color rgb="FFF8696B"/>
        <color rgb="FFFFEB84"/>
        <color rgb="FF63BE7B"/>
      </colorScale>
    </cfRule>
  </conditionalFormatting>
  <conditionalFormatting sqref="AJ4:AJ27">
    <cfRule type="colorScale" priority="3479">
      <colorScale>
        <cfvo type="min"/>
        <cfvo type="percentile" val="50"/>
        <cfvo type="max"/>
        <color rgb="FFF8696B"/>
        <color rgb="FFFCFCFF"/>
        <color rgb="FF5A8AC6"/>
      </colorScale>
    </cfRule>
  </conditionalFormatting>
  <conditionalFormatting sqref="AK4:AL27">
    <cfRule type="colorScale" priority="3481">
      <colorScale>
        <cfvo type="min"/>
        <cfvo type="percentile" val="50"/>
        <cfvo type="max"/>
        <color rgb="FFF8696B"/>
        <color rgb="FFFFEB84"/>
        <color rgb="FF63BE7B"/>
      </colorScale>
    </cfRule>
  </conditionalFormatting>
  <conditionalFormatting sqref="AM4:AN27">
    <cfRule type="colorScale" priority="3483">
      <colorScale>
        <cfvo type="min"/>
        <cfvo type="percentile" val="50"/>
        <cfvo type="max"/>
        <color rgb="FFF8696B"/>
        <color rgb="FFFCFCFF"/>
        <color rgb="FF5A8AC6"/>
      </colorScale>
    </cfRule>
  </conditionalFormatting>
  <conditionalFormatting sqref="X4:AD27">
    <cfRule type="cellIs" dxfId="42" priority="3485" operator="greaterThan">
      <formula>10</formula>
    </cfRule>
    <cfRule type="colorScale" priority="3486">
      <colorScale>
        <cfvo type="min"/>
        <cfvo type="max"/>
        <color rgb="FFFCFCFF"/>
        <color rgb="FF63BE7B"/>
      </colorScale>
    </cfRule>
  </conditionalFormatting>
  <conditionalFormatting sqref="I4:I27">
    <cfRule type="colorScale" priority="3489">
      <colorScale>
        <cfvo type="min"/>
        <cfvo type="percentile" val="50"/>
        <cfvo type="max"/>
        <color rgb="FFF8696B"/>
        <color rgb="FFFFEB84"/>
        <color rgb="FF63BE7B"/>
      </colorScale>
    </cfRule>
  </conditionalFormatting>
  <conditionalFormatting sqref="BH4:BH27">
    <cfRule type="dataBar" priority="3491">
      <dataBar>
        <cfvo type="min"/>
        <cfvo type="max"/>
        <color rgb="FF638EC6"/>
      </dataBar>
      <extLst>
        <ext xmlns:x14="http://schemas.microsoft.com/office/spreadsheetml/2009/9/main" uri="{B025F937-C7B1-47D3-B67F-A62EFF666E3E}">
          <x14:id>{190BC4C4-46C6-4581-9B6D-BEE9C1D1F063}</x14:id>
        </ext>
      </extLst>
    </cfRule>
  </conditionalFormatting>
  <conditionalFormatting sqref="AR4:AU27">
    <cfRule type="colorScale" priority="3493">
      <colorScale>
        <cfvo type="min"/>
        <cfvo type="max"/>
        <color rgb="FFFCFCFF"/>
        <color rgb="FFF8696B"/>
      </colorScale>
    </cfRule>
  </conditionalFormatting>
  <conditionalFormatting sqref="AV4:BF27">
    <cfRule type="colorScale" priority="3495">
      <colorScale>
        <cfvo type="min"/>
        <cfvo type="percentile" val="50"/>
        <cfvo type="max"/>
        <color rgb="FFF8696B"/>
        <color rgb="FFFFEB84"/>
        <color rgb="FF63BE7B"/>
      </colorScale>
    </cfRule>
  </conditionalFormatting>
  <conditionalFormatting sqref="BH4:BH27">
    <cfRule type="dataBar" priority="3497">
      <dataBar>
        <cfvo type="min"/>
        <cfvo type="max"/>
        <color rgb="FFFFB628"/>
      </dataBar>
      <extLst>
        <ext xmlns:x14="http://schemas.microsoft.com/office/spreadsheetml/2009/9/main" uri="{B025F937-C7B1-47D3-B67F-A62EFF666E3E}">
          <x14:id>{C9496D44-6FC8-4BB5-9FE4-056827D2203E}</x14:id>
        </ext>
      </extLst>
    </cfRule>
  </conditionalFormatting>
  <conditionalFormatting sqref="U4:U27">
    <cfRule type="dataBar" priority="3501">
      <dataBar>
        <cfvo type="min"/>
        <cfvo type="max"/>
        <color rgb="FFFFB628"/>
      </dataBar>
      <extLst>
        <ext xmlns:x14="http://schemas.microsoft.com/office/spreadsheetml/2009/9/main" uri="{B025F937-C7B1-47D3-B67F-A62EFF666E3E}">
          <x14:id>{7BB4ADAD-44ED-41C2-BB15-58651F3681AE}</x14:id>
        </ext>
      </extLst>
    </cfRule>
  </conditionalFormatting>
  <conditionalFormatting sqref="BG4:BG27">
    <cfRule type="dataBar" priority="4">
      <dataBar>
        <cfvo type="min"/>
        <cfvo type="max"/>
        <color rgb="FF638EC6"/>
      </dataBar>
      <extLst>
        <ext xmlns:x14="http://schemas.microsoft.com/office/spreadsheetml/2009/9/main" uri="{B025F937-C7B1-47D3-B67F-A62EFF666E3E}">
          <x14:id>{62C639F6-494B-4689-8EDE-D5B6B8730F01}</x14:id>
        </ext>
      </extLst>
    </cfRule>
  </conditionalFormatting>
  <conditionalFormatting sqref="P4:P27">
    <cfRule type="colorScale" priority="2">
      <colorScale>
        <cfvo type="min"/>
        <cfvo type="max"/>
        <color rgb="FFFFEF9C"/>
        <color rgb="FF63BE7B"/>
      </colorScale>
    </cfRule>
  </conditionalFormatting>
  <conditionalFormatting sqref="N4:N27">
    <cfRule type="colorScale" priority="1">
      <colorScale>
        <cfvo type="min"/>
        <cfvo type="percentile" val="50"/>
        <cfvo type="max"/>
        <color rgb="FFF8696B"/>
        <color rgb="FFFFEB84"/>
        <color rgb="FF63BE7B"/>
      </colorScale>
    </cfRule>
  </conditionalFormatting>
  <pageMargins left="0.7" right="0.7" top="0.75" bottom="0.75" header="0.3" footer="0.3"/>
  <pageSetup paperSize="9" scale="53" orientation="landscape" r:id="rId1"/>
  <legacyDrawing r:id="rId2"/>
  <extLst>
    <ext xmlns:x14="http://schemas.microsoft.com/office/spreadsheetml/2009/9/main" uri="{78C0D931-6437-407d-A8EE-F0AAD7539E65}">
      <x14:conditionalFormattings>
        <x14:conditionalFormatting xmlns:xm="http://schemas.microsoft.com/office/excel/2006/main">
          <x14:cfRule type="dataBar" id="{E7C097D9-B680-432D-BF62-5F3C642AF0AD}">
            <x14:dataBar minLength="0" maxLength="100" gradient="0">
              <x14:cfvo type="autoMin"/>
              <x14:cfvo type="autoMax"/>
              <x14:negativeFillColor rgb="FFFF0000"/>
              <x14:axisColor rgb="FF000000"/>
            </x14:dataBar>
          </x14:cfRule>
          <xm:sqref>V4:V27</xm:sqref>
        </x14:conditionalFormatting>
        <x14:conditionalFormatting xmlns:xm="http://schemas.microsoft.com/office/excel/2006/main">
          <x14:cfRule type="dataBar" id="{3567EDC3-F608-464A-AE0A-1EA832FCF3E8}">
            <x14:dataBar minLength="0" maxLength="100" border="1" negativeBarBorderColorSameAsPositive="0">
              <x14:cfvo type="autoMin"/>
              <x14:cfvo type="autoMax"/>
              <x14:borderColor rgb="FFFFB628"/>
              <x14:negativeFillColor rgb="FFFF0000"/>
              <x14:negativeBorderColor rgb="FFFF0000"/>
              <x14:axisColor rgb="FF000000"/>
            </x14:dataBar>
          </x14:cfRule>
          <xm:sqref>W4:W27</xm:sqref>
        </x14:conditionalFormatting>
        <x14:conditionalFormatting xmlns:xm="http://schemas.microsoft.com/office/excel/2006/main">
          <x14:cfRule type="dataBar" id="{6526EE56-1374-458B-BF7F-FE05CE7F5717}">
            <x14:dataBar minLength="0" maxLength="100" border="1" negativeBarBorderColorSameAsPositive="0">
              <x14:cfvo type="autoMin"/>
              <x14:cfvo type="autoMax"/>
              <x14:borderColor rgb="FF638EC6"/>
              <x14:negativeFillColor rgb="FFFF0000"/>
              <x14:negativeBorderColor rgb="FFFF0000"/>
              <x14:axisColor rgb="FF000000"/>
            </x14:dataBar>
          </x14:cfRule>
          <xm:sqref>T4:T27</xm:sqref>
        </x14:conditionalFormatting>
        <x14:conditionalFormatting xmlns:xm="http://schemas.microsoft.com/office/excel/2006/main">
          <x14:cfRule type="dataBar" id="{9C1C1947-295C-4847-A125-212D9BCEE319}">
            <x14:dataBar minLength="0" maxLength="100" gradient="0">
              <x14:cfvo type="autoMin"/>
              <x14:cfvo type="autoMax"/>
              <x14:negativeFillColor rgb="FFFF0000"/>
              <x14:axisColor rgb="FF000000"/>
            </x14:dataBar>
          </x14:cfRule>
          <xm:sqref>AE4:AE27</xm:sqref>
        </x14:conditionalFormatting>
        <x14:conditionalFormatting xmlns:xm="http://schemas.microsoft.com/office/excel/2006/main">
          <x14:cfRule type="dataBar" id="{190BC4C4-46C6-4581-9B6D-BEE9C1D1F063}">
            <x14:dataBar minLength="0" maxLength="100" border="1" negativeBarBorderColorSameAsPositive="0">
              <x14:cfvo type="autoMin"/>
              <x14:cfvo type="autoMax"/>
              <x14:borderColor rgb="FF638EC6"/>
              <x14:negativeFillColor rgb="FFFF0000"/>
              <x14:negativeBorderColor rgb="FFFF0000"/>
              <x14:axisColor rgb="FF000000"/>
            </x14:dataBar>
          </x14:cfRule>
          <xm:sqref>BH4:BH27</xm:sqref>
        </x14:conditionalFormatting>
        <x14:conditionalFormatting xmlns:xm="http://schemas.microsoft.com/office/excel/2006/main">
          <x14:cfRule type="dataBar" id="{C9496D44-6FC8-4BB5-9FE4-056827D2203E}">
            <x14:dataBar minLength="0" maxLength="100" gradient="0">
              <x14:cfvo type="autoMin"/>
              <x14:cfvo type="autoMax"/>
              <x14:negativeFillColor rgb="FFFF0000"/>
              <x14:axisColor rgb="FF000000"/>
            </x14:dataBar>
          </x14:cfRule>
          <xm:sqref>BH4:BH27</xm:sqref>
        </x14:conditionalFormatting>
        <x14:conditionalFormatting xmlns:xm="http://schemas.microsoft.com/office/excel/2006/main">
          <x14:cfRule type="dataBar" id="{7BB4ADAD-44ED-41C2-BB15-58651F3681AE}">
            <x14:dataBar minLength="0" maxLength="100" gradient="0">
              <x14:cfvo type="autoMin"/>
              <x14:cfvo type="autoMax"/>
              <x14:negativeFillColor rgb="FFFF0000"/>
              <x14:axisColor rgb="FF000000"/>
            </x14:dataBar>
          </x14:cfRule>
          <xm:sqref>U4:U27</xm:sqref>
        </x14:conditionalFormatting>
        <x14:conditionalFormatting xmlns:xm="http://schemas.microsoft.com/office/excel/2006/main">
          <x14:cfRule type="dataBar" id="{62C639F6-494B-4689-8EDE-D5B6B8730F01}">
            <x14:dataBar minLength="0" maxLength="100" border="1" negativeBarBorderColorSameAsPositive="0">
              <x14:cfvo type="autoMin"/>
              <x14:cfvo type="autoMax"/>
              <x14:borderColor rgb="FF638EC6"/>
              <x14:negativeFillColor rgb="FFFF0000"/>
              <x14:negativeBorderColor rgb="FFFF0000"/>
              <x14:axisColor rgb="FF000000"/>
            </x14:dataBar>
          </x14:cfRule>
          <xm:sqref>BG4:BG27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41D06-EBAA-4550-8E7E-036B87EB5A03}">
  <sheetPr>
    <tabColor rgb="FF92D050"/>
  </sheetPr>
  <dimension ref="A1:BD104"/>
  <sheetViews>
    <sheetView workbookViewId="0">
      <selection activeCell="I22" sqref="I22"/>
    </sheetView>
  </sheetViews>
  <sheetFormatPr baseColWidth="10" defaultRowHeight="15" x14ac:dyDescent="0.25"/>
  <cols>
    <col min="1" max="1" width="17.85546875" bestFit="1" customWidth="1"/>
    <col min="2" max="2" width="5.28515625" bestFit="1" customWidth="1"/>
    <col min="3" max="3" width="4.7109375" bestFit="1" customWidth="1"/>
    <col min="4" max="5" width="4.5703125" bestFit="1" customWidth="1"/>
    <col min="6" max="6" width="13.85546875" customWidth="1"/>
    <col min="7" max="7" width="6.140625" customWidth="1"/>
    <col min="8" max="8" width="5.85546875" bestFit="1" customWidth="1"/>
    <col min="9" max="9" width="4.28515625" bestFit="1" customWidth="1"/>
    <col min="10" max="10" width="5.85546875" bestFit="1" customWidth="1"/>
    <col min="11" max="11" width="4.5703125" bestFit="1" customWidth="1"/>
    <col min="12" max="12" width="5.85546875" bestFit="1" customWidth="1"/>
    <col min="13" max="13" width="4.140625" bestFit="1" customWidth="1"/>
    <col min="14" max="14" width="5.85546875" bestFit="1" customWidth="1"/>
    <col min="15" max="15" width="4.42578125" bestFit="1" customWidth="1"/>
    <col min="16" max="16" width="5.85546875" bestFit="1" customWidth="1"/>
    <col min="17" max="17" width="5.140625" bestFit="1" customWidth="1"/>
    <col min="18" max="18" width="5.85546875" bestFit="1" customWidth="1"/>
    <col min="19" max="19" width="3.28515625" bestFit="1" customWidth="1"/>
    <col min="20" max="20" width="5" bestFit="1" customWidth="1"/>
    <col min="21" max="21" width="5.140625" bestFit="1" customWidth="1"/>
    <col min="22" max="22" width="5.85546875" bestFit="1" customWidth="1"/>
    <col min="23" max="23" width="4.5703125" bestFit="1" customWidth="1"/>
    <col min="24" max="24" width="4.28515625" bestFit="1" customWidth="1"/>
    <col min="25" max="25" width="3.28515625" bestFit="1" customWidth="1"/>
    <col min="26" max="26" width="6.140625" bestFit="1" customWidth="1"/>
    <col min="27" max="27" width="4.7109375" bestFit="1" customWidth="1"/>
    <col min="28" max="28" width="4.85546875" bestFit="1" customWidth="1"/>
    <col min="29" max="29" width="6.85546875" bestFit="1" customWidth="1"/>
    <col min="30" max="30" width="4.85546875" bestFit="1" customWidth="1"/>
    <col min="31" max="31" width="4.42578125" bestFit="1" customWidth="1"/>
    <col min="32" max="32" width="5.140625" bestFit="1" customWidth="1"/>
    <col min="33" max="33" width="3.28515625" bestFit="1" customWidth="1"/>
    <col min="34" max="34" width="21.7109375" bestFit="1" customWidth="1"/>
    <col min="35" max="35" width="6.85546875" bestFit="1" customWidth="1"/>
    <col min="36" max="36" width="5.28515625" customWidth="1"/>
    <col min="37" max="37" width="17" bestFit="1" customWidth="1"/>
    <col min="38" max="38" width="5.28515625" bestFit="1" customWidth="1"/>
    <col min="39" max="39" width="5.7109375" bestFit="1" customWidth="1"/>
    <col min="40" max="40" width="5.140625" bestFit="1" customWidth="1"/>
    <col min="41" max="41" width="4.7109375" bestFit="1" customWidth="1"/>
    <col min="42" max="42" width="5.85546875" bestFit="1" customWidth="1"/>
    <col min="43" max="43" width="5" bestFit="1" customWidth="1"/>
    <col min="44" max="44" width="7.5703125" bestFit="1" customWidth="1"/>
    <col min="45" max="45" width="5" bestFit="1" customWidth="1"/>
    <col min="46" max="46" width="7.28515625" bestFit="1" customWidth="1"/>
    <col min="47" max="47" width="5" bestFit="1" customWidth="1"/>
    <col min="48" max="48" width="7" bestFit="1" customWidth="1"/>
    <col min="49" max="49" width="7.42578125" bestFit="1" customWidth="1"/>
    <col min="50" max="50" width="8" bestFit="1" customWidth="1"/>
    <col min="51" max="51" width="5" bestFit="1" customWidth="1"/>
    <col min="52" max="52" width="7.42578125" bestFit="1" customWidth="1"/>
    <col min="53" max="53" width="5" bestFit="1" customWidth="1"/>
    <col min="54" max="54" width="5.85546875" bestFit="1" customWidth="1"/>
    <col min="56" max="56" width="255.7109375" bestFit="1" customWidth="1"/>
    <col min="64" max="64" width="255.7109375" bestFit="1" customWidth="1"/>
  </cols>
  <sheetData>
    <row r="1" spans="1:56" ht="18.75" x14ac:dyDescent="0.3">
      <c r="A1" s="658" t="s">
        <v>447</v>
      </c>
      <c r="B1" s="658"/>
      <c r="C1" s="658"/>
      <c r="D1" s="658"/>
      <c r="E1" s="658"/>
      <c r="F1" s="373"/>
      <c r="G1" s="373"/>
      <c r="H1" s="373"/>
      <c r="I1" s="373"/>
      <c r="J1" s="373"/>
      <c r="K1" s="373"/>
      <c r="L1" s="373"/>
      <c r="M1" s="373"/>
      <c r="N1" s="373"/>
      <c r="O1" s="373"/>
      <c r="P1" s="373"/>
      <c r="Q1" s="373"/>
      <c r="R1" s="373"/>
      <c r="S1" s="373"/>
      <c r="T1" s="373"/>
      <c r="U1" s="372"/>
      <c r="V1" s="372"/>
      <c r="W1" s="372"/>
      <c r="X1" s="372"/>
      <c r="Y1" s="372"/>
      <c r="Z1" s="372"/>
      <c r="AA1" s="372"/>
      <c r="AB1" s="372"/>
      <c r="AC1" s="372"/>
      <c r="AD1" s="372"/>
      <c r="AE1" s="372"/>
      <c r="AF1" s="372"/>
      <c r="AG1" s="372"/>
      <c r="AH1" s="374"/>
      <c r="AI1" s="375"/>
      <c r="AK1" s="661" t="s">
        <v>607</v>
      </c>
      <c r="AL1" s="661"/>
      <c r="AM1" s="661"/>
      <c r="AN1" s="661"/>
      <c r="AO1" s="425"/>
      <c r="AP1" s="425"/>
      <c r="AQ1" s="425"/>
      <c r="AR1" s="425"/>
      <c r="AS1" s="425"/>
      <c r="AT1" s="425"/>
      <c r="AU1" s="425"/>
      <c r="AV1" s="425"/>
      <c r="AW1" s="425"/>
      <c r="AX1" s="425"/>
      <c r="AY1" s="425"/>
      <c r="AZ1" s="425"/>
      <c r="BA1" s="425"/>
      <c r="BB1" s="425"/>
      <c r="BC1" s="425"/>
      <c r="BD1" s="439" t="s">
        <v>590</v>
      </c>
    </row>
    <row r="2" spans="1:56" x14ac:dyDescent="0.25">
      <c r="A2" s="376" t="s">
        <v>71</v>
      </c>
      <c r="B2" s="376" t="s">
        <v>448</v>
      </c>
      <c r="C2" s="376" t="s">
        <v>61</v>
      </c>
      <c r="D2" s="377" t="s">
        <v>449</v>
      </c>
      <c r="E2" s="376" t="s">
        <v>450</v>
      </c>
      <c r="F2" s="376" t="s">
        <v>331</v>
      </c>
      <c r="G2" s="376" t="s">
        <v>1</v>
      </c>
      <c r="H2" s="376" t="s">
        <v>451</v>
      </c>
      <c r="I2" s="378" t="s">
        <v>2</v>
      </c>
      <c r="J2" s="378" t="s">
        <v>451</v>
      </c>
      <c r="K2" s="376" t="s">
        <v>321</v>
      </c>
      <c r="L2" s="376" t="s">
        <v>451</v>
      </c>
      <c r="M2" s="378" t="s">
        <v>260</v>
      </c>
      <c r="N2" s="378" t="s">
        <v>451</v>
      </c>
      <c r="O2" s="376" t="s">
        <v>262</v>
      </c>
      <c r="P2" s="376" t="s">
        <v>451</v>
      </c>
      <c r="Q2" s="378" t="s">
        <v>322</v>
      </c>
      <c r="R2" s="378" t="s">
        <v>451</v>
      </c>
      <c r="S2" s="376" t="s">
        <v>0</v>
      </c>
      <c r="T2" s="376" t="s">
        <v>451</v>
      </c>
      <c r="U2" s="377" t="s">
        <v>452</v>
      </c>
      <c r="V2" s="377" t="s">
        <v>75</v>
      </c>
      <c r="W2" s="377" t="s">
        <v>67</v>
      </c>
      <c r="X2" s="377" t="s">
        <v>453</v>
      </c>
      <c r="Y2" s="377" t="s">
        <v>0</v>
      </c>
      <c r="Z2" s="377" t="s">
        <v>454</v>
      </c>
      <c r="AA2" s="377" t="s">
        <v>1</v>
      </c>
      <c r="AB2" s="377" t="s">
        <v>2</v>
      </c>
      <c r="AC2" s="377" t="s">
        <v>321</v>
      </c>
      <c r="AD2" s="377" t="s">
        <v>260</v>
      </c>
      <c r="AE2" s="377" t="s">
        <v>262</v>
      </c>
      <c r="AF2" s="377" t="s">
        <v>322</v>
      </c>
      <c r="AG2" s="377" t="s">
        <v>0</v>
      </c>
      <c r="AH2" s="379" t="s">
        <v>455</v>
      </c>
      <c r="AI2" s="380"/>
      <c r="BD2" s="440" t="s">
        <v>591</v>
      </c>
    </row>
    <row r="3" spans="1:56" x14ac:dyDescent="0.25">
      <c r="A3" s="662" t="s">
        <v>456</v>
      </c>
      <c r="B3" s="662"/>
      <c r="C3" s="662"/>
      <c r="D3" s="662"/>
      <c r="E3" s="662"/>
      <c r="F3" s="383"/>
      <c r="G3" s="383"/>
      <c r="H3" s="383"/>
      <c r="I3" s="383"/>
      <c r="J3" s="383"/>
      <c r="K3" s="383"/>
      <c r="L3" s="383"/>
      <c r="M3" s="383"/>
      <c r="N3" s="383"/>
      <c r="O3" s="383"/>
      <c r="P3" s="383"/>
      <c r="Q3" s="383"/>
      <c r="R3" s="383"/>
      <c r="S3" s="383"/>
      <c r="T3" s="383"/>
      <c r="U3" s="382"/>
      <c r="V3" s="382"/>
      <c r="W3" s="382"/>
      <c r="X3" s="382"/>
      <c r="Y3" s="382"/>
      <c r="Z3" s="382"/>
      <c r="AA3" s="382"/>
      <c r="AB3" s="382"/>
      <c r="AC3" s="382"/>
      <c r="AD3" s="382"/>
      <c r="AE3" s="382"/>
      <c r="AF3" s="382"/>
      <c r="AG3" s="382"/>
      <c r="AH3" s="384"/>
      <c r="AI3" s="375"/>
      <c r="AK3" s="659" t="s">
        <v>457</v>
      </c>
      <c r="AL3" s="659"/>
      <c r="AM3" s="659"/>
      <c r="AN3" s="659"/>
      <c r="AO3" s="660" t="s">
        <v>458</v>
      </c>
      <c r="AP3" s="660"/>
      <c r="AQ3" s="660"/>
      <c r="AR3" s="660"/>
      <c r="AS3" s="660"/>
      <c r="AT3" s="660"/>
      <c r="AU3" s="660"/>
      <c r="AV3" s="660"/>
      <c r="AW3" s="660"/>
      <c r="AX3" s="660"/>
      <c r="AY3" s="660"/>
      <c r="AZ3" s="660"/>
      <c r="BA3" s="660"/>
      <c r="BB3" s="660"/>
      <c r="BD3" s="441" t="s">
        <v>592</v>
      </c>
    </row>
    <row r="4" spans="1:56" x14ac:dyDescent="0.25">
      <c r="A4" s="385" t="s">
        <v>457</v>
      </c>
      <c r="B4" s="385"/>
      <c r="C4" s="385"/>
      <c r="D4" s="385"/>
      <c r="E4" s="385"/>
      <c r="F4" s="385"/>
      <c r="G4" s="385" t="s">
        <v>458</v>
      </c>
      <c r="H4" s="385"/>
      <c r="I4" s="385"/>
      <c r="J4" s="385"/>
      <c r="K4" s="385"/>
      <c r="L4" s="385"/>
      <c r="M4" s="385"/>
      <c r="N4" s="385"/>
      <c r="O4" s="385"/>
      <c r="P4" s="385"/>
      <c r="Q4" s="385"/>
      <c r="R4" s="385"/>
      <c r="S4" s="385"/>
      <c r="T4" s="385"/>
      <c r="U4" s="386"/>
      <c r="V4" s="386"/>
      <c r="W4" s="386"/>
      <c r="X4" s="386"/>
      <c r="Y4" s="386"/>
      <c r="Z4" s="386"/>
      <c r="AA4" s="386"/>
      <c r="AB4" s="386"/>
      <c r="AC4" s="386"/>
      <c r="AD4" s="386"/>
      <c r="AE4" s="386"/>
      <c r="AF4" s="386"/>
      <c r="AG4" s="386"/>
      <c r="AH4" s="387"/>
      <c r="AI4" s="388"/>
      <c r="AK4" s="429" t="s">
        <v>71</v>
      </c>
      <c r="AL4" s="429" t="s">
        <v>448</v>
      </c>
      <c r="AM4" s="429" t="s">
        <v>61</v>
      </c>
      <c r="AN4" s="458" t="s">
        <v>449</v>
      </c>
      <c r="AO4" s="459" t="s">
        <v>1</v>
      </c>
      <c r="AP4" s="459" t="s">
        <v>495</v>
      </c>
      <c r="AQ4" s="459" t="s">
        <v>2</v>
      </c>
      <c r="AR4" s="459" t="s">
        <v>496</v>
      </c>
      <c r="AS4" s="459" t="s">
        <v>321</v>
      </c>
      <c r="AT4" s="459" t="s">
        <v>497</v>
      </c>
      <c r="AU4" s="459" t="s">
        <v>260</v>
      </c>
      <c r="AV4" s="459" t="s">
        <v>498</v>
      </c>
      <c r="AW4" s="459" t="s">
        <v>322</v>
      </c>
      <c r="AX4" s="459" t="s">
        <v>499</v>
      </c>
      <c r="AY4" s="459" t="s">
        <v>262</v>
      </c>
      <c r="AZ4" s="459" t="s">
        <v>500</v>
      </c>
      <c r="BA4" s="459" t="s">
        <v>0</v>
      </c>
      <c r="BB4" s="459" t="s">
        <v>501</v>
      </c>
      <c r="BD4" s="441" t="s">
        <v>593</v>
      </c>
    </row>
    <row r="5" spans="1:56" x14ac:dyDescent="0.25">
      <c r="A5" s="385" t="s">
        <v>71</v>
      </c>
      <c r="B5" s="385" t="s">
        <v>448</v>
      </c>
      <c r="C5" s="385" t="s">
        <v>61</v>
      </c>
      <c r="D5" s="386" t="s">
        <v>449</v>
      </c>
      <c r="E5" s="385" t="s">
        <v>450</v>
      </c>
      <c r="F5" s="385" t="s">
        <v>331</v>
      </c>
      <c r="G5" s="385" t="s">
        <v>1</v>
      </c>
      <c r="H5" s="385" t="s">
        <v>451</v>
      </c>
      <c r="I5" s="389" t="s">
        <v>2</v>
      </c>
      <c r="J5" s="389" t="s">
        <v>451</v>
      </c>
      <c r="K5" s="385" t="s">
        <v>321</v>
      </c>
      <c r="L5" s="385" t="s">
        <v>451</v>
      </c>
      <c r="M5" s="389" t="s">
        <v>260</v>
      </c>
      <c r="N5" s="389" t="s">
        <v>451</v>
      </c>
      <c r="O5" s="385" t="s">
        <v>262</v>
      </c>
      <c r="P5" s="385" t="s">
        <v>451</v>
      </c>
      <c r="Q5" s="389" t="s">
        <v>322</v>
      </c>
      <c r="R5" s="389" t="s">
        <v>451</v>
      </c>
      <c r="S5" s="385" t="s">
        <v>0</v>
      </c>
      <c r="T5" s="385" t="s">
        <v>451</v>
      </c>
      <c r="U5" s="386" t="s">
        <v>452</v>
      </c>
      <c r="V5" s="386" t="s">
        <v>75</v>
      </c>
      <c r="W5" s="386" t="s">
        <v>67</v>
      </c>
      <c r="X5" s="386" t="s">
        <v>453</v>
      </c>
      <c r="Y5" s="386" t="s">
        <v>0</v>
      </c>
      <c r="Z5" s="386" t="s">
        <v>454</v>
      </c>
      <c r="AA5" s="386" t="s">
        <v>1</v>
      </c>
      <c r="AB5" s="386" t="s">
        <v>2</v>
      </c>
      <c r="AC5" s="386" t="s">
        <v>321</v>
      </c>
      <c r="AD5" s="386" t="s">
        <v>260</v>
      </c>
      <c r="AE5" s="386" t="s">
        <v>262</v>
      </c>
      <c r="AF5" s="386" t="s">
        <v>322</v>
      </c>
      <c r="AG5" s="386" t="s">
        <v>0</v>
      </c>
      <c r="AH5" s="387" t="s">
        <v>455</v>
      </c>
      <c r="AI5" s="380"/>
      <c r="AK5" s="499" t="s">
        <v>99</v>
      </c>
      <c r="AL5" s="432">
        <v>17</v>
      </c>
      <c r="AM5" s="433">
        <v>1798</v>
      </c>
      <c r="AN5" s="435" t="s">
        <v>220</v>
      </c>
      <c r="AO5" s="460"/>
      <c r="AP5" s="460"/>
      <c r="AQ5" s="461">
        <v>3</v>
      </c>
      <c r="AR5" s="461">
        <v>3.99</v>
      </c>
      <c r="AS5" s="461">
        <v>2</v>
      </c>
      <c r="AT5" s="461">
        <v>2.99</v>
      </c>
      <c r="AU5" s="460"/>
      <c r="AV5" s="462">
        <v>3.99</v>
      </c>
      <c r="AW5" s="460"/>
      <c r="AX5" s="462">
        <v>3.99</v>
      </c>
      <c r="AY5" s="461">
        <v>2</v>
      </c>
      <c r="AZ5" s="461">
        <v>2.99</v>
      </c>
      <c r="BA5" s="460"/>
      <c r="BB5" s="460"/>
      <c r="BD5" s="441" t="s">
        <v>594</v>
      </c>
    </row>
    <row r="6" spans="1:56" ht="15.75" x14ac:dyDescent="0.25">
      <c r="A6" s="449" t="s">
        <v>459</v>
      </c>
      <c r="B6" s="406">
        <v>17</v>
      </c>
      <c r="C6" s="391">
        <f ca="1">11+$A$32-$A$31</f>
        <v>24</v>
      </c>
      <c r="D6" s="407" t="s">
        <v>94</v>
      </c>
      <c r="E6" s="408">
        <f ca="1">F6-A32</f>
        <v>-13</v>
      </c>
      <c r="F6" s="393">
        <v>43644</v>
      </c>
      <c r="G6" s="406"/>
      <c r="H6" s="406"/>
      <c r="I6" s="397">
        <v>5</v>
      </c>
      <c r="J6" s="399">
        <v>6.99</v>
      </c>
      <c r="K6" s="395">
        <v>5</v>
      </c>
      <c r="L6" s="396">
        <v>5.99</v>
      </c>
      <c r="M6" s="628">
        <v>6</v>
      </c>
      <c r="N6" s="637">
        <v>6.99</v>
      </c>
      <c r="O6" s="395">
        <v>2</v>
      </c>
      <c r="P6" s="409">
        <v>2.99</v>
      </c>
      <c r="Q6" s="410">
        <v>3</v>
      </c>
      <c r="R6" s="411">
        <v>3.99</v>
      </c>
      <c r="S6" s="406"/>
      <c r="T6" s="406"/>
      <c r="U6" s="412" t="s">
        <v>460</v>
      </c>
      <c r="V6" s="402"/>
      <c r="W6" s="402">
        <f>COUNTA(H6,J6,L6,N6,P6,R6,T6)</f>
        <v>5</v>
      </c>
      <c r="X6" s="402">
        <v>8</v>
      </c>
      <c r="Y6" s="402">
        <v>0</v>
      </c>
      <c r="Z6" s="403">
        <v>2121</v>
      </c>
      <c r="AA6" s="404"/>
      <c r="AB6" s="404" t="s">
        <v>461</v>
      </c>
      <c r="AC6" s="404"/>
      <c r="AD6" s="404" t="s">
        <v>462</v>
      </c>
      <c r="AE6" s="404"/>
      <c r="AF6" s="404"/>
      <c r="AG6" s="404"/>
      <c r="AH6" s="405" t="s">
        <v>463</v>
      </c>
      <c r="AI6" s="370" t="s">
        <v>464</v>
      </c>
      <c r="AK6" s="499" t="s">
        <v>98</v>
      </c>
      <c r="AL6" s="432">
        <v>16</v>
      </c>
      <c r="AM6" s="433">
        <v>1849</v>
      </c>
      <c r="AN6" s="435"/>
      <c r="AO6" s="460"/>
      <c r="AP6" s="460"/>
      <c r="AQ6" s="461">
        <v>4</v>
      </c>
      <c r="AR6" s="461">
        <v>4.99</v>
      </c>
      <c r="AS6" s="460"/>
      <c r="AT6" s="460"/>
      <c r="AU6" s="461">
        <v>0</v>
      </c>
      <c r="AV6" s="461">
        <v>0.99</v>
      </c>
      <c r="AW6" s="463">
        <v>3</v>
      </c>
      <c r="AX6" s="462">
        <v>4.99</v>
      </c>
      <c r="AY6" s="461">
        <v>1</v>
      </c>
      <c r="AZ6" s="461">
        <v>1.99</v>
      </c>
      <c r="BA6" s="460"/>
      <c r="BB6" s="460"/>
      <c r="BD6" s="441" t="s">
        <v>595</v>
      </c>
    </row>
    <row r="7" spans="1:56" x14ac:dyDescent="0.25">
      <c r="A7" s="663" t="s">
        <v>465</v>
      </c>
      <c r="B7" s="663"/>
      <c r="C7" s="663"/>
      <c r="D7" s="663"/>
      <c r="E7" s="663"/>
      <c r="F7" s="442"/>
      <c r="G7" s="442"/>
      <c r="H7" s="442"/>
      <c r="I7" s="442"/>
      <c r="J7" s="442"/>
      <c r="K7" s="442"/>
      <c r="L7" s="442"/>
      <c r="M7" s="442"/>
      <c r="N7" s="442"/>
      <c r="O7" s="442"/>
      <c r="P7" s="442"/>
      <c r="Q7" s="442"/>
      <c r="R7" s="442"/>
      <c r="S7" s="442"/>
      <c r="T7" s="442"/>
      <c r="U7" s="443"/>
      <c r="V7" s="443"/>
      <c r="W7" s="443"/>
      <c r="X7" s="443"/>
      <c r="Y7" s="443"/>
      <c r="Z7" s="443"/>
      <c r="AA7" s="443"/>
      <c r="AB7" s="443"/>
      <c r="AC7" s="443"/>
      <c r="AD7" s="443"/>
      <c r="AE7" s="443"/>
      <c r="AF7" s="443"/>
      <c r="AG7" s="443"/>
      <c r="AH7" s="444"/>
      <c r="AI7" s="375"/>
      <c r="AK7" s="499" t="s">
        <v>502</v>
      </c>
      <c r="AL7" s="432">
        <v>18</v>
      </c>
      <c r="AM7" s="433">
        <v>1773</v>
      </c>
      <c r="AN7" s="435"/>
      <c r="AO7" s="460"/>
      <c r="AP7" s="460"/>
      <c r="AQ7" s="461">
        <v>4</v>
      </c>
      <c r="AR7" s="461">
        <v>4.99</v>
      </c>
      <c r="AS7" s="461">
        <v>2</v>
      </c>
      <c r="AT7" s="461">
        <v>2.99</v>
      </c>
      <c r="AU7" s="460"/>
      <c r="AV7" s="460"/>
      <c r="AW7" s="460"/>
      <c r="AX7" s="460"/>
      <c r="AY7" s="463">
        <v>4</v>
      </c>
      <c r="AZ7" s="462">
        <v>4.99</v>
      </c>
      <c r="BA7" s="460"/>
      <c r="BB7" s="462">
        <v>2.99</v>
      </c>
      <c r="BD7" s="441" t="s">
        <v>596</v>
      </c>
    </row>
    <row r="8" spans="1:56" x14ac:dyDescent="0.25">
      <c r="A8" s="445" t="s">
        <v>457</v>
      </c>
      <c r="B8" s="445"/>
      <c r="C8" s="445"/>
      <c r="D8" s="445"/>
      <c r="E8" s="445"/>
      <c r="F8" s="445"/>
      <c r="G8" s="445" t="s">
        <v>458</v>
      </c>
      <c r="H8" s="445"/>
      <c r="I8" s="445"/>
      <c r="J8" s="445"/>
      <c r="K8" s="445"/>
      <c r="L8" s="445"/>
      <c r="M8" s="445"/>
      <c r="N8" s="445"/>
      <c r="O8" s="445"/>
      <c r="P8" s="445"/>
      <c r="Q8" s="445"/>
      <c r="R8" s="445"/>
      <c r="S8" s="445"/>
      <c r="T8" s="445"/>
      <c r="U8" s="446"/>
      <c r="V8" s="446"/>
      <c r="W8" s="446"/>
      <c r="X8" s="446"/>
      <c r="Y8" s="446"/>
      <c r="Z8" s="446"/>
      <c r="AA8" s="446"/>
      <c r="AB8" s="446"/>
      <c r="AC8" s="446"/>
      <c r="AD8" s="446"/>
      <c r="AE8" s="446"/>
      <c r="AF8" s="446"/>
      <c r="AG8" s="446"/>
      <c r="AH8" s="447"/>
      <c r="AI8" s="388"/>
      <c r="AK8" s="499" t="s">
        <v>95</v>
      </c>
      <c r="AL8" s="432">
        <v>17</v>
      </c>
      <c r="AM8" s="433">
        <v>1752</v>
      </c>
      <c r="AN8" s="435"/>
      <c r="AO8" s="460"/>
      <c r="AP8" s="460">
        <v>1.99</v>
      </c>
      <c r="AQ8" s="464">
        <v>6</v>
      </c>
      <c r="AR8" s="465">
        <v>6.99</v>
      </c>
      <c r="AS8" s="466">
        <v>4</v>
      </c>
      <c r="AT8" s="466">
        <v>4.99</v>
      </c>
      <c r="AU8" s="461">
        <v>3</v>
      </c>
      <c r="AV8" s="461">
        <v>3.99</v>
      </c>
      <c r="AW8" s="463">
        <v>2</v>
      </c>
      <c r="AX8" s="462">
        <v>3.99</v>
      </c>
      <c r="AY8" s="461">
        <v>2</v>
      </c>
      <c r="AZ8" s="461">
        <v>2.99</v>
      </c>
      <c r="BA8" s="460"/>
      <c r="BB8" s="460"/>
      <c r="BD8" s="441" t="s">
        <v>597</v>
      </c>
    </row>
    <row r="9" spans="1:56" x14ac:dyDescent="0.25">
      <c r="A9" s="445" t="s">
        <v>71</v>
      </c>
      <c r="B9" s="445" t="s">
        <v>448</v>
      </c>
      <c r="C9" s="445" t="s">
        <v>61</v>
      </c>
      <c r="D9" s="446" t="s">
        <v>449</v>
      </c>
      <c r="E9" s="445" t="s">
        <v>450</v>
      </c>
      <c r="F9" s="445" t="s">
        <v>331</v>
      </c>
      <c r="G9" s="445" t="s">
        <v>1</v>
      </c>
      <c r="H9" s="445" t="s">
        <v>451</v>
      </c>
      <c r="I9" s="448" t="s">
        <v>2</v>
      </c>
      <c r="J9" s="448" t="s">
        <v>451</v>
      </c>
      <c r="K9" s="445" t="s">
        <v>321</v>
      </c>
      <c r="L9" s="445" t="s">
        <v>451</v>
      </c>
      <c r="M9" s="448" t="s">
        <v>260</v>
      </c>
      <c r="N9" s="448" t="s">
        <v>451</v>
      </c>
      <c r="O9" s="445" t="s">
        <v>262</v>
      </c>
      <c r="P9" s="445" t="s">
        <v>451</v>
      </c>
      <c r="Q9" s="448" t="s">
        <v>322</v>
      </c>
      <c r="R9" s="448" t="s">
        <v>451</v>
      </c>
      <c r="S9" s="445" t="s">
        <v>0</v>
      </c>
      <c r="T9" s="445" t="s">
        <v>451</v>
      </c>
      <c r="U9" s="446" t="s">
        <v>452</v>
      </c>
      <c r="V9" s="446" t="s">
        <v>75</v>
      </c>
      <c r="W9" s="446" t="s">
        <v>67</v>
      </c>
      <c r="X9" s="446" t="s">
        <v>453</v>
      </c>
      <c r="Y9" s="446" t="s">
        <v>0</v>
      </c>
      <c r="Z9" s="446" t="s">
        <v>454</v>
      </c>
      <c r="AA9" s="446" t="s">
        <v>1</v>
      </c>
      <c r="AB9" s="446" t="s">
        <v>2</v>
      </c>
      <c r="AC9" s="446" t="s">
        <v>321</v>
      </c>
      <c r="AD9" s="446" t="s">
        <v>260</v>
      </c>
      <c r="AE9" s="446" t="s">
        <v>262</v>
      </c>
      <c r="AF9" s="446" t="s">
        <v>322</v>
      </c>
      <c r="AG9" s="446" t="s">
        <v>0</v>
      </c>
      <c r="AH9" s="447" t="s">
        <v>455</v>
      </c>
      <c r="AI9" s="380"/>
      <c r="AK9" s="499" t="s">
        <v>97</v>
      </c>
      <c r="AL9" s="432">
        <v>17</v>
      </c>
      <c r="AM9" s="433">
        <v>1701</v>
      </c>
      <c r="AN9" s="435"/>
      <c r="AO9" s="460"/>
      <c r="AP9" s="460"/>
      <c r="AQ9" s="461">
        <v>1</v>
      </c>
      <c r="AR9" s="461">
        <v>1.99</v>
      </c>
      <c r="AS9" s="466">
        <v>5</v>
      </c>
      <c r="AT9" s="467">
        <v>5.99</v>
      </c>
      <c r="AU9" s="461">
        <v>2</v>
      </c>
      <c r="AV9" s="461">
        <v>2.99</v>
      </c>
      <c r="AW9" s="461">
        <v>2</v>
      </c>
      <c r="AX9" s="461">
        <v>2.99</v>
      </c>
      <c r="AY9" s="461">
        <v>2</v>
      </c>
      <c r="AZ9" s="461">
        <v>2.99</v>
      </c>
      <c r="BA9" s="460"/>
      <c r="BB9" s="460"/>
      <c r="BD9" s="431" t="s">
        <v>598</v>
      </c>
    </row>
    <row r="10" spans="1:56" ht="15.75" x14ac:dyDescent="0.25">
      <c r="A10" s="450" t="s">
        <v>466</v>
      </c>
      <c r="B10" s="370">
        <v>15</v>
      </c>
      <c r="C10" s="418">
        <f ca="1">58+$A$32-$A$31</f>
        <v>71</v>
      </c>
      <c r="D10" s="419"/>
      <c r="E10" s="436">
        <f ca="1">F10-$A$32</f>
        <v>153</v>
      </c>
      <c r="F10" s="393">
        <v>43810</v>
      </c>
      <c r="G10" s="369"/>
      <c r="H10" s="369"/>
      <c r="I10" s="369"/>
      <c r="J10" s="400">
        <v>1.99</v>
      </c>
      <c r="K10" s="369"/>
      <c r="L10" s="398">
        <v>5.99</v>
      </c>
      <c r="M10" s="397">
        <v>3</v>
      </c>
      <c r="N10" s="369"/>
      <c r="O10" s="369"/>
      <c r="P10" s="400">
        <v>2.99</v>
      </c>
      <c r="Q10" s="369"/>
      <c r="R10" s="369"/>
      <c r="S10" s="369"/>
      <c r="T10" s="369"/>
      <c r="U10" s="371" t="s">
        <v>468</v>
      </c>
      <c r="V10" s="370"/>
      <c r="W10" s="402">
        <f>COUNTA(H10,J10,L10,N10,P10,R10,T10)</f>
        <v>3</v>
      </c>
      <c r="X10" s="402">
        <v>0</v>
      </c>
      <c r="Y10" s="402">
        <v>0</v>
      </c>
      <c r="Z10" s="402"/>
      <c r="AA10" s="416"/>
      <c r="AB10" s="416"/>
      <c r="AC10" s="416"/>
      <c r="AD10" s="416"/>
      <c r="AE10" s="416"/>
      <c r="AF10" s="416"/>
      <c r="AG10" s="416"/>
      <c r="AH10" s="405" t="s">
        <v>470</v>
      </c>
      <c r="AI10" s="369"/>
      <c r="AK10" s="499" t="s">
        <v>503</v>
      </c>
      <c r="AL10" s="432">
        <v>17</v>
      </c>
      <c r="AM10" s="433">
        <v>1714</v>
      </c>
      <c r="AN10" s="435" t="s">
        <v>96</v>
      </c>
      <c r="AO10" s="468"/>
      <c r="AP10" s="468"/>
      <c r="AQ10" s="469">
        <v>5</v>
      </c>
      <c r="AR10" s="470">
        <v>5.99</v>
      </c>
      <c r="AS10" s="471">
        <v>2</v>
      </c>
      <c r="AT10" s="471">
        <v>2.99</v>
      </c>
      <c r="AU10" s="471">
        <v>4</v>
      </c>
      <c r="AV10" s="471">
        <v>4.99</v>
      </c>
      <c r="AW10" s="471">
        <v>5</v>
      </c>
      <c r="AX10" s="472">
        <v>5.99</v>
      </c>
      <c r="AY10" s="468"/>
      <c r="AZ10" s="473">
        <v>5.99</v>
      </c>
      <c r="BA10" s="468"/>
      <c r="BB10" s="462">
        <v>2.99</v>
      </c>
    </row>
    <row r="11" spans="1:56" ht="15.75" x14ac:dyDescent="0.25">
      <c r="A11" s="451" t="s">
        <v>467</v>
      </c>
      <c r="B11" s="390">
        <v>16</v>
      </c>
      <c r="C11" s="391">
        <f ca="1">4+$A$32-$A$31</f>
        <v>17</v>
      </c>
      <c r="D11" s="407"/>
      <c r="E11" s="436">
        <f ca="1">F11-$A$32</f>
        <v>95</v>
      </c>
      <c r="F11" s="393">
        <v>43752</v>
      </c>
      <c r="G11" s="394"/>
      <c r="H11" s="400">
        <v>1.99</v>
      </c>
      <c r="I11" s="395">
        <v>2</v>
      </c>
      <c r="J11" s="409">
        <v>2.99</v>
      </c>
      <c r="K11" s="397">
        <v>3</v>
      </c>
      <c r="L11" s="400">
        <v>4.99</v>
      </c>
      <c r="M11" s="628">
        <v>4</v>
      </c>
      <c r="N11" s="629">
        <v>4.99</v>
      </c>
      <c r="O11" s="394"/>
      <c r="P11" s="398">
        <v>5.99</v>
      </c>
      <c r="Q11" s="394"/>
      <c r="R11" s="400">
        <v>2.99</v>
      </c>
      <c r="S11" s="394"/>
      <c r="T11" s="394"/>
      <c r="U11" s="401" t="s">
        <v>468</v>
      </c>
      <c r="V11" s="402" t="s">
        <v>469</v>
      </c>
      <c r="W11" s="402">
        <f t="shared" ref="W11:W13" si="0">COUNTA(H11,J11,L11,N11,P11,R11,T11)</f>
        <v>6</v>
      </c>
      <c r="X11" s="402">
        <v>0</v>
      </c>
      <c r="Y11" s="402">
        <v>0</v>
      </c>
      <c r="Z11" s="402"/>
      <c r="AA11" s="416"/>
      <c r="AB11" s="416"/>
      <c r="AC11" s="416"/>
      <c r="AD11" s="416"/>
      <c r="AE11" s="416"/>
      <c r="AF11" s="416"/>
      <c r="AG11" s="416"/>
      <c r="AH11" s="405" t="s">
        <v>470</v>
      </c>
      <c r="AI11" s="369"/>
      <c r="AK11" s="499" t="s">
        <v>504</v>
      </c>
      <c r="AL11" s="432">
        <v>17</v>
      </c>
      <c r="AM11" s="433">
        <v>1719</v>
      </c>
      <c r="AN11" s="435" t="s">
        <v>220</v>
      </c>
      <c r="AO11" s="468"/>
      <c r="AP11" s="468"/>
      <c r="AQ11" s="474">
        <v>2</v>
      </c>
      <c r="AR11" s="468"/>
      <c r="AS11" s="474">
        <v>2</v>
      </c>
      <c r="AT11" s="468"/>
      <c r="AU11" s="468"/>
      <c r="AV11" s="474">
        <v>2.99</v>
      </c>
      <c r="AW11" s="469">
        <v>5</v>
      </c>
      <c r="AX11" s="470">
        <v>5.99</v>
      </c>
      <c r="AY11" s="469">
        <v>4</v>
      </c>
      <c r="AZ11" s="469">
        <v>4.99</v>
      </c>
      <c r="BA11" s="468"/>
      <c r="BB11" s="468"/>
    </row>
    <row r="12" spans="1:56" ht="15.75" x14ac:dyDescent="0.25">
      <c r="A12" s="449" t="s">
        <v>471</v>
      </c>
      <c r="B12" s="390">
        <v>17</v>
      </c>
      <c r="C12" s="391">
        <f ca="1">37+$A$32-$A$31</f>
        <v>50</v>
      </c>
      <c r="D12" s="407"/>
      <c r="E12" s="436">
        <f ca="1">F12-$A$32</f>
        <v>-13</v>
      </c>
      <c r="F12" s="393">
        <v>43644</v>
      </c>
      <c r="G12" s="394"/>
      <c r="H12" s="394"/>
      <c r="I12" s="397">
        <v>5</v>
      </c>
      <c r="J12" s="399">
        <v>6.99</v>
      </c>
      <c r="K12" s="397">
        <v>4</v>
      </c>
      <c r="L12" s="399">
        <v>6.99</v>
      </c>
      <c r="M12" s="638">
        <v>4</v>
      </c>
      <c r="N12" s="639">
        <v>4.99</v>
      </c>
      <c r="O12" s="394"/>
      <c r="P12" s="400">
        <v>2.99</v>
      </c>
      <c r="Q12" s="397">
        <v>3</v>
      </c>
      <c r="R12" s="400">
        <v>4.99</v>
      </c>
      <c r="S12" s="394"/>
      <c r="T12" s="394"/>
      <c r="U12" s="401" t="s">
        <v>468</v>
      </c>
      <c r="V12" s="402" t="s">
        <v>469</v>
      </c>
      <c r="W12" s="402">
        <f t="shared" si="0"/>
        <v>5</v>
      </c>
      <c r="X12" s="402">
        <v>0</v>
      </c>
      <c r="Y12" s="402">
        <v>0</v>
      </c>
      <c r="Z12" s="403">
        <v>2104</v>
      </c>
      <c r="AA12" s="404"/>
      <c r="AB12" s="404" t="s">
        <v>472</v>
      </c>
      <c r="AC12" s="404" t="s">
        <v>473</v>
      </c>
      <c r="AD12" s="404" t="s">
        <v>474</v>
      </c>
      <c r="AE12" s="404"/>
      <c r="AF12" s="404" t="s">
        <v>475</v>
      </c>
      <c r="AG12" s="404"/>
      <c r="AH12" s="405" t="s">
        <v>463</v>
      </c>
      <c r="AI12" s="370" t="s">
        <v>476</v>
      </c>
      <c r="AK12" s="499" t="s">
        <v>505</v>
      </c>
      <c r="AL12" s="432">
        <v>18</v>
      </c>
      <c r="AM12" s="433">
        <v>1715</v>
      </c>
      <c r="AN12" s="435"/>
      <c r="AO12" s="468"/>
      <c r="AP12" s="468"/>
      <c r="AQ12" s="468"/>
      <c r="AR12" s="474">
        <v>2.99</v>
      </c>
      <c r="AS12" s="471">
        <v>2</v>
      </c>
      <c r="AT12" s="471">
        <v>2.99</v>
      </c>
      <c r="AU12" s="474">
        <v>5</v>
      </c>
      <c r="AV12" s="475">
        <v>6.99</v>
      </c>
      <c r="AW12" s="469">
        <v>3</v>
      </c>
      <c r="AX12" s="469">
        <v>3.99</v>
      </c>
      <c r="AY12" s="468"/>
      <c r="AZ12" s="473">
        <v>5.99</v>
      </c>
      <c r="BA12" s="468"/>
      <c r="BB12" s="468"/>
    </row>
    <row r="13" spans="1:56" ht="15.75" x14ac:dyDescent="0.25">
      <c r="A13" s="449" t="s">
        <v>478</v>
      </c>
      <c r="B13" s="406">
        <v>17</v>
      </c>
      <c r="C13" s="391">
        <f ca="1">9+$A$32-$A$31</f>
        <v>22</v>
      </c>
      <c r="D13" s="407"/>
      <c r="E13" s="436">
        <f ca="1">F13-$A$32</f>
        <v>-13</v>
      </c>
      <c r="F13" s="393">
        <v>43644</v>
      </c>
      <c r="G13" s="406"/>
      <c r="H13" s="400">
        <v>1.99</v>
      </c>
      <c r="I13" s="395">
        <v>1</v>
      </c>
      <c r="J13" s="409">
        <v>1.99</v>
      </c>
      <c r="K13" s="395">
        <v>4</v>
      </c>
      <c r="L13" s="409">
        <v>4.99</v>
      </c>
      <c r="M13" s="630">
        <v>5</v>
      </c>
      <c r="N13" s="631">
        <v>5.99</v>
      </c>
      <c r="O13" s="410">
        <v>3</v>
      </c>
      <c r="P13" s="411">
        <v>3.99</v>
      </c>
      <c r="Q13" s="406"/>
      <c r="R13" s="399">
        <v>6.99</v>
      </c>
      <c r="S13" s="406"/>
      <c r="T13" s="406"/>
      <c r="U13" s="412" t="s">
        <v>460</v>
      </c>
      <c r="V13" s="402"/>
      <c r="W13" s="402">
        <f t="shared" si="0"/>
        <v>6</v>
      </c>
      <c r="X13" s="402">
        <v>0</v>
      </c>
      <c r="Y13" s="402">
        <v>0</v>
      </c>
      <c r="Z13" s="403">
        <v>2081</v>
      </c>
      <c r="AA13" s="404"/>
      <c r="AB13" s="404"/>
      <c r="AC13" s="404"/>
      <c r="AD13" s="404"/>
      <c r="AE13" s="404"/>
      <c r="AF13" s="404"/>
      <c r="AG13" s="404"/>
      <c r="AH13" s="405" t="s">
        <v>463</v>
      </c>
      <c r="AI13" s="369"/>
      <c r="AK13" s="499" t="s">
        <v>101</v>
      </c>
      <c r="AL13" s="432">
        <v>18</v>
      </c>
      <c r="AM13" s="433">
        <v>1707</v>
      </c>
      <c r="AN13" s="435" t="s">
        <v>94</v>
      </c>
      <c r="AO13" s="468"/>
      <c r="AP13" s="468"/>
      <c r="AQ13" s="474">
        <v>1</v>
      </c>
      <c r="AR13" s="474">
        <v>2.99</v>
      </c>
      <c r="AS13" s="474">
        <v>6</v>
      </c>
      <c r="AT13" s="475">
        <v>7</v>
      </c>
      <c r="AU13" s="469">
        <v>4</v>
      </c>
      <c r="AV13" s="469">
        <v>4.99</v>
      </c>
      <c r="AW13" s="468"/>
      <c r="AX13" s="468"/>
      <c r="AY13" s="471">
        <v>3</v>
      </c>
      <c r="AZ13" s="471">
        <v>3.99</v>
      </c>
      <c r="BA13" s="468"/>
      <c r="BB13" s="474">
        <v>4.99</v>
      </c>
      <c r="BD13" s="430" t="s">
        <v>599</v>
      </c>
    </row>
    <row r="14" spans="1:56" ht="15.75" x14ac:dyDescent="0.25">
      <c r="A14" s="658" t="s">
        <v>479</v>
      </c>
      <c r="B14" s="658"/>
      <c r="C14" s="658"/>
      <c r="D14" s="658"/>
      <c r="E14" s="658"/>
      <c r="F14" s="373"/>
      <c r="G14" s="373"/>
      <c r="H14" s="373"/>
      <c r="I14" s="373"/>
      <c r="J14" s="373"/>
      <c r="K14" s="373"/>
      <c r="L14" s="373"/>
      <c r="M14" s="373"/>
      <c r="N14" s="373"/>
      <c r="O14" s="373"/>
      <c r="P14" s="373"/>
      <c r="Q14" s="373"/>
      <c r="R14" s="373"/>
      <c r="S14" s="373"/>
      <c r="T14" s="373"/>
      <c r="U14" s="372"/>
      <c r="V14" s="372"/>
      <c r="W14" s="372"/>
      <c r="X14" s="372"/>
      <c r="Y14" s="372"/>
      <c r="Z14" s="372"/>
      <c r="AA14" s="372"/>
      <c r="AB14" s="372"/>
      <c r="AC14" s="372"/>
      <c r="AD14" s="372"/>
      <c r="AE14" s="372"/>
      <c r="AF14" s="372"/>
      <c r="AG14" s="372"/>
      <c r="AH14" s="417"/>
      <c r="AI14" s="369"/>
      <c r="AK14" s="499" t="s">
        <v>102</v>
      </c>
      <c r="AL14" s="432">
        <v>17</v>
      </c>
      <c r="AM14" s="433">
        <v>1601</v>
      </c>
      <c r="AN14" s="435" t="s">
        <v>105</v>
      </c>
      <c r="AO14" s="468"/>
      <c r="AP14" s="474">
        <v>1.99</v>
      </c>
      <c r="AQ14" s="474">
        <v>4</v>
      </c>
      <c r="AR14" s="473">
        <v>5.99</v>
      </c>
      <c r="AS14" s="471">
        <v>2</v>
      </c>
      <c r="AT14" s="471">
        <v>2.99</v>
      </c>
      <c r="AU14" s="471">
        <v>2</v>
      </c>
      <c r="AV14" s="471">
        <v>2.99</v>
      </c>
      <c r="AW14" s="471">
        <v>6</v>
      </c>
      <c r="AX14" s="476">
        <v>6.99</v>
      </c>
      <c r="AY14" s="471">
        <v>2</v>
      </c>
      <c r="AZ14" s="471">
        <v>2.99</v>
      </c>
      <c r="BA14" s="468"/>
      <c r="BB14" s="475">
        <v>7</v>
      </c>
      <c r="BD14" s="430" t="s">
        <v>600</v>
      </c>
    </row>
    <row r="15" spans="1:56" ht="15.75" x14ac:dyDescent="0.25">
      <c r="A15" s="376" t="s">
        <v>457</v>
      </c>
      <c r="B15" s="376"/>
      <c r="C15" s="376"/>
      <c r="D15" s="376"/>
      <c r="E15" s="376"/>
      <c r="F15" s="376"/>
      <c r="G15" s="376" t="s">
        <v>458</v>
      </c>
      <c r="H15" s="376"/>
      <c r="I15" s="376"/>
      <c r="J15" s="376"/>
      <c r="K15" s="376"/>
      <c r="L15" s="376"/>
      <c r="M15" s="376"/>
      <c r="N15" s="376"/>
      <c r="O15" s="376"/>
      <c r="P15" s="376"/>
      <c r="Q15" s="376"/>
      <c r="R15" s="376"/>
      <c r="S15" s="376"/>
      <c r="T15" s="376"/>
      <c r="U15" s="377"/>
      <c r="V15" s="377"/>
      <c r="W15" s="377"/>
      <c r="X15" s="377"/>
      <c r="Y15" s="377"/>
      <c r="Z15" s="377"/>
      <c r="AA15" s="377"/>
      <c r="AB15" s="377"/>
      <c r="AC15" s="377"/>
      <c r="AD15" s="377"/>
      <c r="AE15" s="377"/>
      <c r="AF15" s="377"/>
      <c r="AG15" s="377"/>
      <c r="AH15" s="417"/>
      <c r="AI15" s="375"/>
      <c r="AK15" s="499" t="s">
        <v>506</v>
      </c>
      <c r="AL15" s="432">
        <v>18</v>
      </c>
      <c r="AM15" s="433">
        <v>1658</v>
      </c>
      <c r="AN15" s="435"/>
      <c r="AO15" s="468"/>
      <c r="AP15" s="468"/>
      <c r="AQ15" s="469">
        <v>4</v>
      </c>
      <c r="AR15" s="469">
        <v>4.99</v>
      </c>
      <c r="AS15" s="469">
        <v>2</v>
      </c>
      <c r="AT15" s="469">
        <v>2.99</v>
      </c>
      <c r="AU15" s="469">
        <v>4</v>
      </c>
      <c r="AV15" s="469">
        <v>4.99</v>
      </c>
      <c r="AW15" s="474">
        <v>6</v>
      </c>
      <c r="AX15" s="475">
        <v>6.99</v>
      </c>
      <c r="AY15" s="469">
        <v>5</v>
      </c>
      <c r="AZ15" s="470">
        <v>5.99</v>
      </c>
      <c r="BA15" s="471">
        <v>4</v>
      </c>
      <c r="BB15" s="471">
        <v>4.99</v>
      </c>
      <c r="BD15" s="430" t="s">
        <v>601</v>
      </c>
    </row>
    <row r="16" spans="1:56" ht="15.75" x14ac:dyDescent="0.25">
      <c r="A16" s="376" t="s">
        <v>71</v>
      </c>
      <c r="B16" s="376" t="s">
        <v>448</v>
      </c>
      <c r="C16" s="376" t="s">
        <v>61</v>
      </c>
      <c r="D16" s="377" t="s">
        <v>449</v>
      </c>
      <c r="E16" s="376" t="s">
        <v>450</v>
      </c>
      <c r="F16" s="376" t="s">
        <v>331</v>
      </c>
      <c r="G16" s="376" t="s">
        <v>1</v>
      </c>
      <c r="H16" s="376" t="s">
        <v>451</v>
      </c>
      <c r="I16" s="378" t="s">
        <v>2</v>
      </c>
      <c r="J16" s="378" t="s">
        <v>451</v>
      </c>
      <c r="K16" s="376" t="s">
        <v>321</v>
      </c>
      <c r="L16" s="376" t="s">
        <v>451</v>
      </c>
      <c r="M16" s="378" t="s">
        <v>260</v>
      </c>
      <c r="N16" s="378" t="s">
        <v>451</v>
      </c>
      <c r="O16" s="376" t="s">
        <v>262</v>
      </c>
      <c r="P16" s="376" t="s">
        <v>451</v>
      </c>
      <c r="Q16" s="378" t="s">
        <v>322</v>
      </c>
      <c r="R16" s="378" t="s">
        <v>451</v>
      </c>
      <c r="S16" s="376" t="s">
        <v>0</v>
      </c>
      <c r="T16" s="376" t="s">
        <v>451</v>
      </c>
      <c r="U16" s="377" t="s">
        <v>452</v>
      </c>
      <c r="V16" s="377" t="s">
        <v>75</v>
      </c>
      <c r="W16" s="377" t="s">
        <v>67</v>
      </c>
      <c r="X16" s="377" t="s">
        <v>453</v>
      </c>
      <c r="Y16" s="377" t="s">
        <v>0</v>
      </c>
      <c r="Z16" s="377" t="s">
        <v>454</v>
      </c>
      <c r="AA16" s="377" t="s">
        <v>1</v>
      </c>
      <c r="AB16" s="377" t="s">
        <v>2</v>
      </c>
      <c r="AC16" s="377" t="s">
        <v>321</v>
      </c>
      <c r="AD16" s="377" t="s">
        <v>260</v>
      </c>
      <c r="AE16" s="377" t="s">
        <v>262</v>
      </c>
      <c r="AF16" s="377" t="s">
        <v>322</v>
      </c>
      <c r="AG16" s="377" t="s">
        <v>0</v>
      </c>
      <c r="AH16" s="417" t="s">
        <v>455</v>
      </c>
      <c r="AI16" s="388"/>
      <c r="AK16" s="499" t="s">
        <v>169</v>
      </c>
      <c r="AL16" s="432">
        <v>17</v>
      </c>
      <c r="AM16" s="433">
        <v>1676</v>
      </c>
      <c r="AN16" s="435"/>
      <c r="AO16" s="477"/>
      <c r="AP16" s="474">
        <v>1.99</v>
      </c>
      <c r="AQ16" s="474">
        <v>1</v>
      </c>
      <c r="AR16" s="477"/>
      <c r="AS16" s="471">
        <v>6</v>
      </c>
      <c r="AT16" s="476">
        <v>6.99</v>
      </c>
      <c r="AU16" s="477"/>
      <c r="AV16" s="474">
        <v>1.99</v>
      </c>
      <c r="AW16" s="474">
        <v>5</v>
      </c>
      <c r="AX16" s="475">
        <v>6.99</v>
      </c>
      <c r="AY16" s="471">
        <v>1</v>
      </c>
      <c r="AZ16" s="471">
        <v>1.99</v>
      </c>
      <c r="BA16" s="477"/>
      <c r="BB16" s="474">
        <v>2.99</v>
      </c>
      <c r="BD16" s="430" t="s">
        <v>602</v>
      </c>
    </row>
    <row r="17" spans="1:56" ht="15.75" x14ac:dyDescent="0.25">
      <c r="AI17" s="380"/>
      <c r="AK17" s="499" t="s">
        <v>107</v>
      </c>
      <c r="AL17" s="432">
        <v>18</v>
      </c>
      <c r="AM17" s="433">
        <v>1549</v>
      </c>
      <c r="AN17" s="435" t="s">
        <v>94</v>
      </c>
      <c r="AO17" s="478"/>
      <c r="AP17" s="478"/>
      <c r="AQ17" s="469">
        <v>3</v>
      </c>
      <c r="AR17" s="469">
        <v>3.99</v>
      </c>
      <c r="AS17" s="471">
        <v>3</v>
      </c>
      <c r="AT17" s="471">
        <v>3.99</v>
      </c>
      <c r="AU17" s="469">
        <v>5</v>
      </c>
      <c r="AV17" s="470">
        <v>5.99</v>
      </c>
      <c r="AW17" s="478"/>
      <c r="AX17" s="474">
        <v>2.99</v>
      </c>
      <c r="AY17" s="471">
        <v>4</v>
      </c>
      <c r="AZ17" s="471">
        <v>4.99</v>
      </c>
      <c r="BA17" s="471">
        <v>4</v>
      </c>
      <c r="BB17" s="471">
        <v>4.99</v>
      </c>
      <c r="BD17" s="430" t="s">
        <v>603</v>
      </c>
    </row>
    <row r="18" spans="1:56" ht="15.75" x14ac:dyDescent="0.25">
      <c r="A18" s="451" t="s">
        <v>480</v>
      </c>
      <c r="B18" s="406">
        <v>18</v>
      </c>
      <c r="C18" s="391">
        <f ca="1">1+$A$32-$A$31</f>
        <v>14</v>
      </c>
      <c r="D18" s="392"/>
      <c r="E18" s="436">
        <f ca="1">F18-$A$32</f>
        <v>-13</v>
      </c>
      <c r="F18" s="393">
        <v>43644</v>
      </c>
      <c r="G18" s="406"/>
      <c r="H18" s="400">
        <v>0.99</v>
      </c>
      <c r="I18" s="397">
        <v>5</v>
      </c>
      <c r="J18" s="399">
        <v>6.99</v>
      </c>
      <c r="K18" s="397">
        <v>4</v>
      </c>
      <c r="L18" s="398">
        <v>5.99</v>
      </c>
      <c r="M18" s="395">
        <v>3</v>
      </c>
      <c r="N18" s="409">
        <v>3.99</v>
      </c>
      <c r="O18" s="406"/>
      <c r="P18" s="400">
        <v>3.99</v>
      </c>
      <c r="Q18" s="397">
        <v>2</v>
      </c>
      <c r="R18" s="400">
        <v>3.99</v>
      </c>
      <c r="S18" s="406"/>
      <c r="T18" s="406"/>
      <c r="U18" s="401" t="s">
        <v>468</v>
      </c>
      <c r="V18" s="402" t="s">
        <v>469</v>
      </c>
      <c r="W18" s="402">
        <f t="shared" ref="W18:W27" si="1">COUNTA(H18,J18,L18,N18,P18,R18,T18)</f>
        <v>6</v>
      </c>
      <c r="X18" s="402">
        <v>0</v>
      </c>
      <c r="Y18" s="402">
        <v>0</v>
      </c>
      <c r="Z18" s="402"/>
      <c r="AA18" s="416"/>
      <c r="AB18" s="416"/>
      <c r="AC18" s="416"/>
      <c r="AD18" s="416"/>
      <c r="AE18" s="416"/>
      <c r="AF18" s="416"/>
      <c r="AG18" s="416"/>
      <c r="AH18" s="405" t="s">
        <v>470</v>
      </c>
      <c r="AK18" s="499" t="s">
        <v>507</v>
      </c>
      <c r="AL18" s="432">
        <v>16</v>
      </c>
      <c r="AM18" s="433">
        <v>1633</v>
      </c>
      <c r="AN18" s="435" t="s">
        <v>96</v>
      </c>
      <c r="AO18" s="479"/>
      <c r="AP18" s="479"/>
      <c r="AQ18" s="471">
        <v>2</v>
      </c>
      <c r="AR18" s="471">
        <v>2.99</v>
      </c>
      <c r="AS18" s="469">
        <v>5</v>
      </c>
      <c r="AT18" s="470">
        <v>5.99</v>
      </c>
      <c r="AU18" s="471">
        <v>2</v>
      </c>
      <c r="AV18" s="471">
        <v>2.99</v>
      </c>
      <c r="AW18" s="469">
        <v>4</v>
      </c>
      <c r="AX18" s="469">
        <v>4.99</v>
      </c>
      <c r="AY18" s="479"/>
      <c r="AZ18" s="474">
        <v>4.99</v>
      </c>
      <c r="BA18" s="479"/>
      <c r="BB18" s="474">
        <v>1.99</v>
      </c>
      <c r="BD18" s="430" t="s">
        <v>604</v>
      </c>
    </row>
    <row r="19" spans="1:56" ht="15.75" x14ac:dyDescent="0.25">
      <c r="A19" s="451" t="s">
        <v>481</v>
      </c>
      <c r="B19" s="406">
        <v>18</v>
      </c>
      <c r="C19" s="391">
        <f ca="1">103+$A$32-$A$31-112</f>
        <v>4</v>
      </c>
      <c r="D19" s="392"/>
      <c r="E19" s="436">
        <f t="shared" ref="E19:E27" ca="1" si="2">F19-$A$32</f>
        <v>-13</v>
      </c>
      <c r="F19" s="393">
        <v>43644</v>
      </c>
      <c r="G19" s="406"/>
      <c r="H19" s="400">
        <v>1.99</v>
      </c>
      <c r="I19" s="395">
        <v>4</v>
      </c>
      <c r="J19" s="409">
        <v>4.99</v>
      </c>
      <c r="K19" s="395">
        <v>3</v>
      </c>
      <c r="L19" s="409">
        <v>3.99</v>
      </c>
      <c r="M19" s="395">
        <v>1</v>
      </c>
      <c r="N19" s="409">
        <v>1.99</v>
      </c>
      <c r="O19" s="406"/>
      <c r="P19" s="398">
        <v>5.99</v>
      </c>
      <c r="Q19" s="397">
        <v>4</v>
      </c>
      <c r="R19" s="398">
        <v>5.99</v>
      </c>
      <c r="S19" s="406"/>
      <c r="T19" s="398">
        <v>5.99</v>
      </c>
      <c r="U19" s="412" t="s">
        <v>482</v>
      </c>
      <c r="V19" s="402"/>
      <c r="W19" s="402">
        <f t="shared" si="1"/>
        <v>7</v>
      </c>
      <c r="X19" s="402">
        <v>0</v>
      </c>
      <c r="Y19" s="402">
        <v>2</v>
      </c>
      <c r="Z19" s="402"/>
      <c r="AA19" s="416"/>
      <c r="AB19" s="416"/>
      <c r="AC19" s="416"/>
      <c r="AD19" s="416"/>
      <c r="AE19" s="416"/>
      <c r="AF19" s="416"/>
      <c r="AG19" s="416"/>
      <c r="AH19" s="405" t="s">
        <v>470</v>
      </c>
      <c r="AI19" s="406"/>
      <c r="AK19" s="499" t="s">
        <v>181</v>
      </c>
      <c r="AL19" s="432">
        <v>16</v>
      </c>
      <c r="AM19" s="433">
        <v>1626</v>
      </c>
      <c r="AN19" s="435"/>
      <c r="AO19" s="477"/>
      <c r="AP19" s="477"/>
      <c r="AQ19" s="471">
        <v>4</v>
      </c>
      <c r="AR19" s="471">
        <v>4.99</v>
      </c>
      <c r="AS19" s="471">
        <v>5</v>
      </c>
      <c r="AT19" s="472">
        <v>5.99</v>
      </c>
      <c r="AU19" s="471">
        <v>4</v>
      </c>
      <c r="AV19" s="471">
        <v>4.99</v>
      </c>
      <c r="AW19" s="477"/>
      <c r="AX19" s="477"/>
      <c r="AY19" s="469">
        <v>2</v>
      </c>
      <c r="AZ19" s="469">
        <v>2.99</v>
      </c>
      <c r="BA19" s="471">
        <v>1</v>
      </c>
      <c r="BB19" s="471">
        <v>1.99</v>
      </c>
      <c r="BD19" s="430" t="s">
        <v>605</v>
      </c>
    </row>
    <row r="20" spans="1:56" ht="15.75" x14ac:dyDescent="0.25">
      <c r="A20" s="451" t="s">
        <v>483</v>
      </c>
      <c r="B20" s="406">
        <v>17</v>
      </c>
      <c r="C20" s="391">
        <f ca="1">92+$A$32-$A$31</f>
        <v>105</v>
      </c>
      <c r="D20" s="392"/>
      <c r="E20" s="436">
        <f t="shared" ca="1" si="2"/>
        <v>-13</v>
      </c>
      <c r="F20" s="393">
        <v>43644</v>
      </c>
      <c r="G20" s="406"/>
      <c r="H20" s="400">
        <v>1.99</v>
      </c>
      <c r="I20" s="395">
        <v>4</v>
      </c>
      <c r="J20" s="409">
        <v>4.99</v>
      </c>
      <c r="K20" s="395">
        <v>3</v>
      </c>
      <c r="L20" s="409">
        <v>3.99</v>
      </c>
      <c r="M20" s="406"/>
      <c r="N20" s="400">
        <v>2.99</v>
      </c>
      <c r="O20" s="406"/>
      <c r="P20" s="398">
        <v>5.99</v>
      </c>
      <c r="Q20" s="395">
        <v>3</v>
      </c>
      <c r="R20" s="409">
        <v>3.99</v>
      </c>
      <c r="S20" s="406"/>
      <c r="T20" s="406"/>
      <c r="U20" s="412" t="s">
        <v>484</v>
      </c>
      <c r="V20" s="402"/>
      <c r="W20" s="402">
        <f t="shared" si="1"/>
        <v>6</v>
      </c>
      <c r="X20" s="402">
        <v>0</v>
      </c>
      <c r="Y20" s="402">
        <v>0</v>
      </c>
      <c r="Z20" s="402"/>
      <c r="AA20" s="416"/>
      <c r="AB20" s="416"/>
      <c r="AC20" s="416"/>
      <c r="AD20" s="416"/>
      <c r="AE20" s="416"/>
      <c r="AF20" s="416"/>
      <c r="AG20" s="416"/>
      <c r="AH20" s="405" t="s">
        <v>470</v>
      </c>
      <c r="AI20" s="369"/>
      <c r="AK20" s="499" t="s">
        <v>508</v>
      </c>
      <c r="AL20" s="432">
        <v>17</v>
      </c>
      <c r="AM20" s="433">
        <v>1561</v>
      </c>
      <c r="AN20" s="435" t="s">
        <v>94</v>
      </c>
      <c r="AO20" s="468"/>
      <c r="AP20" s="468"/>
      <c r="AQ20" s="471">
        <v>4</v>
      </c>
      <c r="AR20" s="471">
        <v>4.99</v>
      </c>
      <c r="AS20" s="469">
        <v>5</v>
      </c>
      <c r="AT20" s="470">
        <v>5.99</v>
      </c>
      <c r="AU20" s="471">
        <v>4</v>
      </c>
      <c r="AV20" s="471">
        <v>4.99</v>
      </c>
      <c r="AW20" s="468"/>
      <c r="AX20" s="468"/>
      <c r="AY20" s="468"/>
      <c r="AZ20" s="474">
        <v>2.99</v>
      </c>
      <c r="BA20" s="471">
        <v>3</v>
      </c>
      <c r="BB20" s="471">
        <v>3.99</v>
      </c>
    </row>
    <row r="21" spans="1:56" ht="15.75" x14ac:dyDescent="0.25">
      <c r="A21" s="451" t="s">
        <v>485</v>
      </c>
      <c r="B21" s="390">
        <v>17</v>
      </c>
      <c r="C21" s="420">
        <f ca="1">75+$A$32-$A$31</f>
        <v>88</v>
      </c>
      <c r="D21" s="369"/>
      <c r="E21" s="436">
        <f t="shared" ca="1" si="2"/>
        <v>-13</v>
      </c>
      <c r="F21" s="393">
        <v>43644</v>
      </c>
      <c r="G21" s="369"/>
      <c r="H21" s="400">
        <v>1.99</v>
      </c>
      <c r="I21" s="369"/>
      <c r="J21" s="400">
        <v>3.99</v>
      </c>
      <c r="K21" s="395">
        <v>3</v>
      </c>
      <c r="L21" s="409">
        <v>3.99</v>
      </c>
      <c r="M21" s="397">
        <v>4</v>
      </c>
      <c r="N21" s="398">
        <v>5.99</v>
      </c>
      <c r="O21" s="410">
        <v>4</v>
      </c>
      <c r="P21" s="411">
        <v>4.99</v>
      </c>
      <c r="Q21" s="369"/>
      <c r="R21" s="400">
        <v>3.99</v>
      </c>
      <c r="S21" s="369"/>
      <c r="T21" s="369"/>
      <c r="U21" s="401" t="s">
        <v>468</v>
      </c>
      <c r="V21" s="369"/>
      <c r="W21" s="402">
        <f t="shared" si="1"/>
        <v>6</v>
      </c>
      <c r="X21" s="371">
        <v>0</v>
      </c>
      <c r="Y21" s="371">
        <v>0</v>
      </c>
      <c r="Z21" s="369"/>
      <c r="AA21" s="421"/>
      <c r="AB21" s="421"/>
      <c r="AC21" s="421"/>
      <c r="AD21" s="421"/>
      <c r="AE21" s="421"/>
      <c r="AF21" s="421"/>
      <c r="AG21" s="421"/>
      <c r="AH21" s="405" t="s">
        <v>470</v>
      </c>
      <c r="AI21" s="369"/>
      <c r="AK21" s="499" t="s">
        <v>509</v>
      </c>
      <c r="AL21" s="432">
        <v>17</v>
      </c>
      <c r="AM21" s="433">
        <v>1515</v>
      </c>
      <c r="AN21" s="435"/>
      <c r="AO21" s="477"/>
      <c r="AP21" s="477"/>
      <c r="AQ21" s="469">
        <v>3</v>
      </c>
      <c r="AR21" s="469">
        <v>3.99</v>
      </c>
      <c r="AS21" s="471">
        <v>4</v>
      </c>
      <c r="AT21" s="471">
        <v>4.99</v>
      </c>
      <c r="AU21" s="471">
        <v>5</v>
      </c>
      <c r="AV21" s="472">
        <v>5.99</v>
      </c>
      <c r="AW21" s="477"/>
      <c r="AX21" s="477"/>
      <c r="AY21" s="471">
        <v>3</v>
      </c>
      <c r="AZ21" s="471">
        <v>3.99</v>
      </c>
      <c r="BA21" s="477"/>
      <c r="BB21" s="477"/>
    </row>
    <row r="22" spans="1:56" ht="15.75" x14ac:dyDescent="0.25">
      <c r="A22" s="451" t="s">
        <v>486</v>
      </c>
      <c r="B22" s="406">
        <v>17</v>
      </c>
      <c r="C22" s="391">
        <f ca="1">75+$A$32-$A$31</f>
        <v>88</v>
      </c>
      <c r="D22" s="407" t="s">
        <v>94</v>
      </c>
      <c r="E22" s="436">
        <f t="shared" ca="1" si="2"/>
        <v>-13</v>
      </c>
      <c r="F22" s="393">
        <v>43644</v>
      </c>
      <c r="G22" s="406"/>
      <c r="H22" s="406"/>
      <c r="I22" s="395">
        <v>2</v>
      </c>
      <c r="J22" s="409">
        <v>2.99</v>
      </c>
      <c r="K22" s="395">
        <v>2</v>
      </c>
      <c r="L22" s="409">
        <v>2.99</v>
      </c>
      <c r="M22" s="397">
        <v>4</v>
      </c>
      <c r="N22" s="399">
        <v>6.99</v>
      </c>
      <c r="O22" s="406"/>
      <c r="P22" s="398">
        <v>5.99</v>
      </c>
      <c r="Q22" s="397">
        <v>2</v>
      </c>
      <c r="R22" s="400">
        <v>3.99</v>
      </c>
      <c r="S22" s="406"/>
      <c r="T22" s="400">
        <v>3.99</v>
      </c>
      <c r="U22" s="401" t="s">
        <v>468</v>
      </c>
      <c r="V22" s="402"/>
      <c r="W22" s="402">
        <f t="shared" si="1"/>
        <v>6</v>
      </c>
      <c r="X22" s="402">
        <v>0</v>
      </c>
      <c r="Y22" s="402">
        <v>0</v>
      </c>
      <c r="Z22" s="415">
        <v>1896</v>
      </c>
      <c r="AA22" s="416"/>
      <c r="AB22" s="416"/>
      <c r="AC22" s="416"/>
      <c r="AD22" s="416"/>
      <c r="AE22" s="416"/>
      <c r="AF22" s="416"/>
      <c r="AG22" s="416"/>
      <c r="AH22" s="405" t="s">
        <v>463</v>
      </c>
      <c r="AI22" s="369"/>
      <c r="AK22" s="499" t="s">
        <v>510</v>
      </c>
      <c r="AL22" s="432">
        <v>19</v>
      </c>
      <c r="AM22" s="433">
        <v>1502</v>
      </c>
      <c r="AN22" s="435"/>
      <c r="AO22" s="477"/>
      <c r="AP22" s="474">
        <v>1.99</v>
      </c>
      <c r="AQ22" s="477"/>
      <c r="AR22" s="474">
        <v>2.99</v>
      </c>
      <c r="AS22" s="474">
        <v>3</v>
      </c>
      <c r="AT22" s="477"/>
      <c r="AU22" s="477"/>
      <c r="AV22" s="477"/>
      <c r="AW22" s="469">
        <v>5</v>
      </c>
      <c r="AX22" s="480">
        <v>5.99</v>
      </c>
      <c r="AY22" s="477"/>
      <c r="AZ22" s="474">
        <v>2.99</v>
      </c>
      <c r="BA22" s="477"/>
      <c r="BB22" s="477"/>
    </row>
    <row r="23" spans="1:56" ht="15.75" x14ac:dyDescent="0.25">
      <c r="A23" s="449" t="s">
        <v>487</v>
      </c>
      <c r="B23" s="390">
        <v>17</v>
      </c>
      <c r="C23" s="391">
        <f ca="1">48+$A$32-$A$31</f>
        <v>61</v>
      </c>
      <c r="D23" s="407" t="s">
        <v>67</v>
      </c>
      <c r="E23" s="436">
        <f t="shared" ca="1" si="2"/>
        <v>-13</v>
      </c>
      <c r="F23" s="393">
        <v>43644</v>
      </c>
      <c r="G23" s="394"/>
      <c r="H23" s="400">
        <v>1.99</v>
      </c>
      <c r="I23" s="630">
        <v>4</v>
      </c>
      <c r="J23" s="642">
        <v>4.99</v>
      </c>
      <c r="K23" s="395">
        <v>3</v>
      </c>
      <c r="L23" s="409">
        <v>3.99</v>
      </c>
      <c r="M23" s="395">
        <v>2</v>
      </c>
      <c r="N23" s="409">
        <v>2.99</v>
      </c>
      <c r="O23" s="394"/>
      <c r="P23" s="400">
        <v>2.99</v>
      </c>
      <c r="Q23" s="397">
        <v>4</v>
      </c>
      <c r="R23" s="399">
        <v>6.99</v>
      </c>
      <c r="S23" s="394"/>
      <c r="T23" s="394"/>
      <c r="U23" s="401" t="s">
        <v>468</v>
      </c>
      <c r="V23" s="402" t="s">
        <v>469</v>
      </c>
      <c r="W23" s="402">
        <f t="shared" si="1"/>
        <v>6</v>
      </c>
      <c r="X23" s="402">
        <v>0</v>
      </c>
      <c r="Y23" s="402">
        <v>0</v>
      </c>
      <c r="Z23" s="415">
        <v>1969</v>
      </c>
      <c r="AA23" s="416"/>
      <c r="AB23" s="416"/>
      <c r="AC23" s="416"/>
      <c r="AD23" s="416"/>
      <c r="AE23" s="416"/>
      <c r="AF23" s="416"/>
      <c r="AG23" s="416"/>
      <c r="AH23" s="405" t="s">
        <v>470</v>
      </c>
      <c r="AI23" s="369"/>
      <c r="AK23" s="499" t="s">
        <v>511</v>
      </c>
      <c r="AL23" s="432">
        <v>18</v>
      </c>
      <c r="AM23" s="433">
        <v>1561</v>
      </c>
      <c r="AN23" s="435"/>
      <c r="AO23" s="468"/>
      <c r="AP23" s="468"/>
      <c r="AQ23" s="474">
        <v>1</v>
      </c>
      <c r="AR23" s="474">
        <v>2.99</v>
      </c>
      <c r="AS23" s="469">
        <v>3</v>
      </c>
      <c r="AT23" s="469">
        <v>3.99</v>
      </c>
      <c r="AU23" s="468"/>
      <c r="AV23" s="473">
        <v>5.99</v>
      </c>
      <c r="AW23" s="474">
        <v>3</v>
      </c>
      <c r="AX23" s="474">
        <v>4.99</v>
      </c>
      <c r="AY23" s="471">
        <v>1</v>
      </c>
      <c r="AZ23" s="471">
        <v>1.99</v>
      </c>
      <c r="BA23" s="468"/>
      <c r="BB23" s="468"/>
    </row>
    <row r="24" spans="1:56" ht="15.75" x14ac:dyDescent="0.25">
      <c r="A24" s="452" t="s">
        <v>488</v>
      </c>
      <c r="B24" s="390">
        <v>16</v>
      </c>
      <c r="C24" s="391">
        <f ca="1">76+$A$32-$A$31</f>
        <v>89</v>
      </c>
      <c r="D24" s="407" t="s">
        <v>67</v>
      </c>
      <c r="E24" s="436">
        <f t="shared" ca="1" si="2"/>
        <v>23</v>
      </c>
      <c r="F24" s="393">
        <v>43680</v>
      </c>
      <c r="G24" s="394"/>
      <c r="H24" s="400">
        <v>0.99</v>
      </c>
      <c r="I24" s="395">
        <v>3</v>
      </c>
      <c r="J24" s="409">
        <v>3.99</v>
      </c>
      <c r="K24" s="410">
        <v>4</v>
      </c>
      <c r="L24" s="411">
        <v>4.99</v>
      </c>
      <c r="M24" s="394"/>
      <c r="N24" s="400">
        <v>3.99</v>
      </c>
      <c r="O24" s="394"/>
      <c r="P24" s="399">
        <v>6.99</v>
      </c>
      <c r="Q24" s="394"/>
      <c r="R24" s="400">
        <v>4.99</v>
      </c>
      <c r="S24" s="394"/>
      <c r="T24" s="394"/>
      <c r="U24" s="412" t="s">
        <v>489</v>
      </c>
      <c r="V24" s="402" t="s">
        <v>469</v>
      </c>
      <c r="W24" s="402">
        <f t="shared" si="1"/>
        <v>6</v>
      </c>
      <c r="X24" s="402">
        <v>0</v>
      </c>
      <c r="Y24" s="402">
        <v>0</v>
      </c>
      <c r="Z24" s="415">
        <v>1968</v>
      </c>
      <c r="AA24" s="416"/>
      <c r="AB24" s="416"/>
      <c r="AC24" s="416"/>
      <c r="AD24" s="416"/>
      <c r="AE24" s="416"/>
      <c r="AF24" s="416"/>
      <c r="AG24" s="416"/>
      <c r="AH24" s="405" t="s">
        <v>463</v>
      </c>
      <c r="AI24" s="406"/>
      <c r="AK24" s="499" t="s">
        <v>512</v>
      </c>
      <c r="AL24" s="432">
        <v>18</v>
      </c>
      <c r="AM24" s="433">
        <v>1540</v>
      </c>
      <c r="AN24" s="435" t="s">
        <v>105</v>
      </c>
      <c r="AO24" s="477"/>
      <c r="AP24" s="477"/>
      <c r="AQ24" s="477"/>
      <c r="AR24" s="474">
        <v>4.99</v>
      </c>
      <c r="AS24" s="471">
        <v>5.5</v>
      </c>
      <c r="AT24" s="472">
        <v>5.99</v>
      </c>
      <c r="AU24" s="471">
        <v>1</v>
      </c>
      <c r="AV24" s="471">
        <v>1.99</v>
      </c>
      <c r="AW24" s="471">
        <v>2</v>
      </c>
      <c r="AX24" s="471">
        <v>2.99</v>
      </c>
      <c r="AY24" s="471">
        <v>3</v>
      </c>
      <c r="AZ24" s="471">
        <v>3.99</v>
      </c>
      <c r="BA24" s="477"/>
      <c r="BB24" s="477"/>
    </row>
    <row r="25" spans="1:56" ht="15.75" x14ac:dyDescent="0.25">
      <c r="A25" s="449" t="s">
        <v>490</v>
      </c>
      <c r="B25" s="390">
        <v>17</v>
      </c>
      <c r="C25" s="391">
        <f ca="1">27+$A$32-$A$31</f>
        <v>40</v>
      </c>
      <c r="D25" s="407"/>
      <c r="E25" s="436">
        <f t="shared" ca="1" si="2"/>
        <v>28</v>
      </c>
      <c r="F25" s="393">
        <v>43685</v>
      </c>
      <c r="G25" s="394"/>
      <c r="H25" s="394"/>
      <c r="I25" s="394"/>
      <c r="J25" s="394"/>
      <c r="K25" s="397">
        <v>2</v>
      </c>
      <c r="L25" s="394"/>
      <c r="M25" s="394"/>
      <c r="N25" s="394"/>
      <c r="O25" s="394"/>
      <c r="P25" s="399">
        <v>7</v>
      </c>
      <c r="Q25" s="394"/>
      <c r="R25" s="394"/>
      <c r="S25" s="394"/>
      <c r="T25" s="394"/>
      <c r="U25" s="401" t="s">
        <v>468</v>
      </c>
      <c r="V25" s="402" t="s">
        <v>469</v>
      </c>
      <c r="W25" s="402">
        <f t="shared" si="1"/>
        <v>1</v>
      </c>
      <c r="X25" s="402">
        <v>0</v>
      </c>
      <c r="Y25" s="402">
        <v>0</v>
      </c>
      <c r="Z25" s="402"/>
      <c r="AA25" s="416"/>
      <c r="AB25" s="416"/>
      <c r="AC25" s="416"/>
      <c r="AD25" s="416"/>
      <c r="AE25" s="416"/>
      <c r="AF25" s="416"/>
      <c r="AG25" s="416"/>
      <c r="AH25" s="405" t="s">
        <v>470</v>
      </c>
      <c r="AI25" s="369"/>
      <c r="AK25" s="499" t="s">
        <v>513</v>
      </c>
      <c r="AL25" s="432">
        <v>18</v>
      </c>
      <c r="AM25" s="433">
        <v>1501</v>
      </c>
      <c r="AN25" s="435" t="s">
        <v>67</v>
      </c>
      <c r="AO25" s="477"/>
      <c r="AP25" s="474">
        <v>1.99</v>
      </c>
      <c r="AQ25" s="477"/>
      <c r="AR25" s="474">
        <v>1.99</v>
      </c>
      <c r="AS25" s="469">
        <v>5</v>
      </c>
      <c r="AT25" s="470">
        <v>5.99</v>
      </c>
      <c r="AU25" s="477"/>
      <c r="AV25" s="474">
        <v>3.99</v>
      </c>
      <c r="AW25" s="471">
        <v>3</v>
      </c>
      <c r="AX25" s="471">
        <v>3.99</v>
      </c>
      <c r="AY25" s="469">
        <v>2</v>
      </c>
      <c r="AZ25" s="469">
        <v>2.99</v>
      </c>
      <c r="BA25" s="477"/>
      <c r="BB25" s="477"/>
    </row>
    <row r="26" spans="1:56" ht="15.75" x14ac:dyDescent="0.25">
      <c r="A26" s="453" t="s">
        <v>491</v>
      </c>
      <c r="B26" s="406">
        <v>16</v>
      </c>
      <c r="C26" s="391">
        <f ca="1">68+$A$32-$A$31</f>
        <v>81</v>
      </c>
      <c r="D26" s="392"/>
      <c r="E26" s="436">
        <f t="shared" ca="1" si="2"/>
        <v>31</v>
      </c>
      <c r="F26" s="393">
        <v>43688</v>
      </c>
      <c r="G26" s="406"/>
      <c r="H26" s="399">
        <v>6.99</v>
      </c>
      <c r="I26" s="413">
        <v>2</v>
      </c>
      <c r="J26" s="414">
        <v>2.99</v>
      </c>
      <c r="K26" s="413">
        <v>1</v>
      </c>
      <c r="L26" s="414">
        <v>1.99</v>
      </c>
      <c r="M26" s="395">
        <v>0</v>
      </c>
      <c r="N26" s="409">
        <v>0.99</v>
      </c>
      <c r="O26" s="406"/>
      <c r="P26" s="400">
        <v>0.99</v>
      </c>
      <c r="Q26" s="406"/>
      <c r="R26" s="400">
        <v>1.99</v>
      </c>
      <c r="S26" s="406"/>
      <c r="T26" s="400">
        <v>1.99</v>
      </c>
      <c r="U26" s="412" t="s">
        <v>492</v>
      </c>
      <c r="V26" s="402"/>
      <c r="W26" s="402">
        <f t="shared" si="1"/>
        <v>7</v>
      </c>
      <c r="X26" s="402">
        <v>0</v>
      </c>
      <c r="Y26" s="402">
        <v>0</v>
      </c>
      <c r="Z26" s="402">
        <v>1808</v>
      </c>
      <c r="AA26" s="416"/>
      <c r="AB26" s="416"/>
      <c r="AC26" s="416"/>
      <c r="AD26" s="416"/>
      <c r="AE26" s="416"/>
      <c r="AF26" s="416"/>
      <c r="AG26" s="416"/>
      <c r="AH26" s="405" t="s">
        <v>470</v>
      </c>
      <c r="AI26" s="406"/>
      <c r="AK26" s="499" t="s">
        <v>514</v>
      </c>
      <c r="AL26" s="432">
        <v>16</v>
      </c>
      <c r="AM26" s="433">
        <v>1510</v>
      </c>
      <c r="AN26" s="435"/>
      <c r="AO26" s="468"/>
      <c r="AP26" s="474">
        <v>1.99</v>
      </c>
      <c r="AQ26" s="471">
        <v>3</v>
      </c>
      <c r="AR26" s="472">
        <v>3.99</v>
      </c>
      <c r="AS26" s="471">
        <v>5.4</v>
      </c>
      <c r="AT26" s="472">
        <v>5.99</v>
      </c>
      <c r="AU26" s="471">
        <v>2</v>
      </c>
      <c r="AV26" s="471">
        <v>2.99</v>
      </c>
      <c r="AW26" s="468"/>
      <c r="AX26" s="468"/>
      <c r="AY26" s="471">
        <v>4</v>
      </c>
      <c r="AZ26" s="471">
        <v>4.99</v>
      </c>
      <c r="BA26" s="477"/>
      <c r="BB26" s="474">
        <v>3.99</v>
      </c>
    </row>
    <row r="27" spans="1:56" ht="15.75" x14ac:dyDescent="0.25">
      <c r="A27" s="451" t="s">
        <v>493</v>
      </c>
      <c r="B27" s="406">
        <v>17</v>
      </c>
      <c r="C27" s="391">
        <f ca="1">3+$A$32-$A$31</f>
        <v>16</v>
      </c>
      <c r="D27" s="392"/>
      <c r="E27" s="436">
        <f t="shared" ca="1" si="2"/>
        <v>40</v>
      </c>
      <c r="F27" s="393">
        <v>43697</v>
      </c>
      <c r="G27" s="406"/>
      <c r="H27" s="406"/>
      <c r="I27" s="397">
        <v>5</v>
      </c>
      <c r="J27" s="399">
        <v>6.99</v>
      </c>
      <c r="K27" s="369"/>
      <c r="L27" s="400">
        <v>2.99</v>
      </c>
      <c r="M27" s="406"/>
      <c r="N27" s="400">
        <v>1.99</v>
      </c>
      <c r="O27" s="406"/>
      <c r="P27" s="400">
        <v>2.99</v>
      </c>
      <c r="Q27" s="406"/>
      <c r="R27" s="399">
        <v>6.99</v>
      </c>
      <c r="S27" s="406"/>
      <c r="T27" s="406"/>
      <c r="U27" s="422" t="s">
        <v>468</v>
      </c>
      <c r="V27" s="402"/>
      <c r="W27" s="402">
        <f t="shared" si="1"/>
        <v>5</v>
      </c>
      <c r="X27" s="402">
        <v>0</v>
      </c>
      <c r="Y27" s="402">
        <v>0</v>
      </c>
      <c r="Z27" s="402"/>
      <c r="AA27" s="416"/>
      <c r="AB27" s="416"/>
      <c r="AC27" s="416"/>
      <c r="AD27" s="416"/>
      <c r="AE27" s="416"/>
      <c r="AF27" s="416"/>
      <c r="AG27" s="416"/>
      <c r="AH27" s="405" t="s">
        <v>470</v>
      </c>
      <c r="AI27" s="369"/>
      <c r="AK27" s="499" t="s">
        <v>515</v>
      </c>
      <c r="AL27" s="432">
        <v>17</v>
      </c>
      <c r="AM27" s="433">
        <v>1456</v>
      </c>
      <c r="AN27" s="435"/>
      <c r="AO27" s="481"/>
      <c r="AP27" s="481"/>
      <c r="AQ27" s="481"/>
      <c r="AR27" s="474">
        <v>3.99</v>
      </c>
      <c r="AS27" s="471">
        <v>2</v>
      </c>
      <c r="AT27" s="471">
        <v>2.99</v>
      </c>
      <c r="AU27" s="471">
        <v>4</v>
      </c>
      <c r="AV27" s="471">
        <v>4.99</v>
      </c>
      <c r="AW27" s="471">
        <v>5</v>
      </c>
      <c r="AX27" s="472">
        <v>5.99</v>
      </c>
      <c r="AY27" s="471">
        <v>6</v>
      </c>
      <c r="AZ27" s="476">
        <v>6.99</v>
      </c>
      <c r="BA27" s="481"/>
      <c r="BB27" s="481"/>
    </row>
    <row r="28" spans="1:56" ht="15.75" x14ac:dyDescent="0.25">
      <c r="A28" s="449" t="s">
        <v>678</v>
      </c>
      <c r="B28" s="406">
        <v>16</v>
      </c>
      <c r="C28" s="391">
        <f ca="1">45+$A$32-$A$31+24</f>
        <v>82</v>
      </c>
      <c r="D28" s="407"/>
      <c r="E28" s="436">
        <f ca="1">F28-$A$32</f>
        <v>108</v>
      </c>
      <c r="F28" s="393">
        <v>43765</v>
      </c>
      <c r="G28" s="406"/>
      <c r="H28" s="400">
        <v>4.99</v>
      </c>
      <c r="I28" s="434"/>
      <c r="J28" s="434"/>
      <c r="K28" s="397">
        <v>0</v>
      </c>
      <c r="L28" s="434"/>
      <c r="M28" s="434"/>
      <c r="N28" s="434"/>
      <c r="O28" s="434"/>
      <c r="P28" s="434"/>
      <c r="Q28" s="434"/>
      <c r="R28" s="434"/>
      <c r="S28" s="434"/>
      <c r="T28" s="406"/>
      <c r="U28" s="401"/>
      <c r="V28" s="402"/>
      <c r="W28" s="402">
        <f t="shared" ref="W28" si="3">COUNTA(H28,J28,L28,N28,P28,R28,T28)</f>
        <v>1</v>
      </c>
      <c r="X28" s="402">
        <v>0</v>
      </c>
      <c r="Y28" s="402">
        <v>0</v>
      </c>
      <c r="Z28" s="416"/>
      <c r="AA28" s="416"/>
      <c r="AB28" s="416"/>
      <c r="AC28" s="416"/>
      <c r="AD28" s="416"/>
      <c r="AE28" s="416"/>
      <c r="AF28" s="416"/>
      <c r="AG28" s="416"/>
      <c r="AH28" s="405"/>
      <c r="AI28" s="369"/>
      <c r="AK28" s="499" t="s">
        <v>516</v>
      </c>
      <c r="AL28" s="432">
        <v>17</v>
      </c>
      <c r="AM28" s="433">
        <v>1439</v>
      </c>
      <c r="AN28" s="435" t="s">
        <v>220</v>
      </c>
      <c r="AO28" s="477"/>
      <c r="AP28" s="477"/>
      <c r="AQ28" s="471">
        <v>2</v>
      </c>
      <c r="AR28" s="471">
        <v>2.99</v>
      </c>
      <c r="AS28" s="469">
        <v>4</v>
      </c>
      <c r="AT28" s="469">
        <v>4.99</v>
      </c>
      <c r="AU28" s="477"/>
      <c r="AV28" s="474">
        <v>3.99</v>
      </c>
      <c r="AW28" s="477"/>
      <c r="AX28" s="474">
        <v>3.99</v>
      </c>
      <c r="AY28" s="471">
        <v>4</v>
      </c>
      <c r="AZ28" s="471">
        <v>4.99</v>
      </c>
      <c r="BA28" s="477"/>
      <c r="BB28" s="477"/>
    </row>
    <row r="29" spans="1:56" ht="15.75" x14ac:dyDescent="0.25">
      <c r="A29" s="406"/>
      <c r="B29" s="406"/>
      <c r="C29" s="420"/>
      <c r="D29" s="422"/>
      <c r="E29" s="406"/>
      <c r="F29" s="406"/>
      <c r="G29" s="406"/>
      <c r="H29" s="406"/>
      <c r="I29" s="406"/>
      <c r="J29" s="406"/>
      <c r="K29" s="406"/>
      <c r="L29" s="406"/>
      <c r="M29" s="406"/>
      <c r="N29" s="406"/>
      <c r="O29" s="406"/>
      <c r="P29" s="406"/>
      <c r="Q29" s="406"/>
      <c r="R29" s="406"/>
      <c r="S29" s="406"/>
      <c r="T29" s="406"/>
      <c r="U29" s="422"/>
      <c r="V29" s="422"/>
      <c r="W29" s="422"/>
      <c r="X29" s="422"/>
      <c r="Y29" s="422"/>
      <c r="Z29" s="422"/>
      <c r="AA29" s="422"/>
      <c r="AB29" s="422"/>
      <c r="AC29" s="422"/>
      <c r="AD29" s="422"/>
      <c r="AE29" s="422"/>
      <c r="AF29" s="422"/>
      <c r="AG29" s="422"/>
      <c r="AH29" s="423"/>
      <c r="AI29" s="406"/>
      <c r="AK29" s="499" t="s">
        <v>225</v>
      </c>
      <c r="AL29" s="432">
        <v>17</v>
      </c>
      <c r="AM29" s="433">
        <v>1340</v>
      </c>
      <c r="AN29" s="435" t="s">
        <v>220</v>
      </c>
      <c r="AO29" s="477"/>
      <c r="AP29" s="477"/>
      <c r="AQ29" s="469">
        <v>2</v>
      </c>
      <c r="AR29" s="469">
        <v>2.99</v>
      </c>
      <c r="AS29" s="471">
        <v>6.1</v>
      </c>
      <c r="AT29" s="476">
        <v>6.2</v>
      </c>
      <c r="AU29" s="471">
        <v>4</v>
      </c>
      <c r="AV29" s="471">
        <v>4.99</v>
      </c>
      <c r="AW29" s="471">
        <v>4</v>
      </c>
      <c r="AX29" s="471">
        <v>4.99</v>
      </c>
      <c r="AY29" s="472">
        <v>5</v>
      </c>
      <c r="AZ29" s="472">
        <v>5.99</v>
      </c>
      <c r="BA29" s="477"/>
      <c r="BB29" s="477"/>
    </row>
    <row r="30" spans="1:56" ht="15.75" x14ac:dyDescent="0.25">
      <c r="A30" s="454" t="s">
        <v>494</v>
      </c>
      <c r="B30" s="456"/>
      <c r="C30" s="456"/>
      <c r="D30" s="434"/>
      <c r="E30" s="418"/>
      <c r="F30" s="369"/>
      <c r="G30" s="369"/>
      <c r="H30" s="369"/>
      <c r="I30" s="369"/>
      <c r="J30" s="369"/>
      <c r="K30" s="369"/>
      <c r="L30" s="369"/>
      <c r="M30" s="369"/>
      <c r="N30" s="369"/>
      <c r="O30" s="369"/>
      <c r="P30" s="369"/>
      <c r="Q30" s="406"/>
      <c r="R30" s="406"/>
      <c r="S30" s="369"/>
      <c r="T30" s="369"/>
      <c r="U30" s="369"/>
      <c r="V30" s="369"/>
      <c r="W30" s="369"/>
      <c r="X30" s="369"/>
      <c r="Y30" s="369"/>
      <c r="Z30" s="369"/>
      <c r="AA30" s="369"/>
      <c r="AB30" s="369"/>
      <c r="AC30" s="369"/>
      <c r="AD30" s="369"/>
      <c r="AE30" s="369"/>
      <c r="AF30" s="369"/>
      <c r="AG30" s="369"/>
      <c r="AH30" s="369"/>
      <c r="AI30" s="369"/>
      <c r="AK30" s="499" t="s">
        <v>517</v>
      </c>
      <c r="AL30" s="432">
        <v>19</v>
      </c>
      <c r="AM30" s="433">
        <v>1416</v>
      </c>
      <c r="AN30" s="435" t="s">
        <v>67</v>
      </c>
      <c r="AO30" s="479"/>
      <c r="AP30" s="474">
        <v>1.99</v>
      </c>
      <c r="AQ30" s="474">
        <v>5</v>
      </c>
      <c r="AR30" s="475">
        <v>6.99</v>
      </c>
      <c r="AS30" s="471">
        <v>1</v>
      </c>
      <c r="AT30" s="471">
        <v>1.99</v>
      </c>
      <c r="AU30" s="471">
        <v>3</v>
      </c>
      <c r="AV30" s="471">
        <v>3.99</v>
      </c>
      <c r="AW30" s="479"/>
      <c r="AX30" s="474">
        <v>3.99</v>
      </c>
      <c r="AY30" s="471">
        <v>2</v>
      </c>
      <c r="AZ30" s="471">
        <v>2.99</v>
      </c>
      <c r="BA30" s="479"/>
      <c r="BB30" s="474">
        <v>2.99</v>
      </c>
    </row>
    <row r="31" spans="1:56" ht="15.75" x14ac:dyDescent="0.25">
      <c r="A31" s="455">
        <v>43644</v>
      </c>
      <c r="B31" s="457"/>
      <c r="C31" s="456"/>
      <c r="D31" s="434"/>
      <c r="E31" s="418"/>
      <c r="F31" s="381" t="s">
        <v>235</v>
      </c>
      <c r="G31" s="371"/>
      <c r="H31" s="369"/>
      <c r="I31" s="369"/>
      <c r="J31" s="369"/>
      <c r="K31" s="369"/>
      <c r="L31" s="369"/>
      <c r="M31" s="369"/>
      <c r="N31" s="369"/>
      <c r="O31" s="369"/>
      <c r="P31" s="369"/>
      <c r="Q31" s="406"/>
      <c r="R31" s="406"/>
      <c r="S31" s="369"/>
      <c r="T31" s="369"/>
      <c r="U31" s="369"/>
      <c r="V31" s="369"/>
      <c r="W31" s="369"/>
      <c r="X31" s="369"/>
      <c r="Y31" s="369"/>
      <c r="Z31" s="369"/>
      <c r="AA31" s="369"/>
      <c r="AB31" s="369"/>
      <c r="AC31" s="369"/>
      <c r="AD31" s="369"/>
      <c r="AE31" s="369"/>
      <c r="AF31" s="369"/>
      <c r="AG31" s="369"/>
      <c r="AH31" s="424"/>
      <c r="AI31" s="369"/>
      <c r="AK31" s="499" t="s">
        <v>518</v>
      </c>
      <c r="AL31" s="432">
        <v>19</v>
      </c>
      <c r="AM31" s="433">
        <v>1289</v>
      </c>
      <c r="AN31" s="435"/>
      <c r="AO31" s="479"/>
      <c r="AP31" s="479"/>
      <c r="AQ31" s="479"/>
      <c r="AR31" s="473">
        <v>5.99</v>
      </c>
      <c r="AS31" s="469">
        <v>4</v>
      </c>
      <c r="AT31" s="469">
        <v>4.99</v>
      </c>
      <c r="AU31" s="479"/>
      <c r="AV31" s="474">
        <v>2.99</v>
      </c>
      <c r="AW31" s="474">
        <v>5</v>
      </c>
      <c r="AX31" s="473">
        <v>5.99</v>
      </c>
      <c r="AY31" s="471">
        <v>5</v>
      </c>
      <c r="AZ31" s="472">
        <v>5.99</v>
      </c>
      <c r="BA31" s="471">
        <v>2</v>
      </c>
      <c r="BB31" s="471">
        <v>2.99</v>
      </c>
    </row>
    <row r="32" spans="1:56" ht="15.75" x14ac:dyDescent="0.25">
      <c r="A32" s="437">
        <f ca="1">TODAY()</f>
        <v>43657</v>
      </c>
      <c r="B32" s="434"/>
      <c r="C32" s="434"/>
      <c r="D32" s="434"/>
      <c r="E32" s="406"/>
      <c r="F32" s="370" t="s">
        <v>606</v>
      </c>
      <c r="G32" s="369"/>
      <c r="H32" s="369"/>
      <c r="I32" s="369"/>
      <c r="J32" s="369"/>
      <c r="K32" s="369"/>
      <c r="L32" s="369"/>
      <c r="M32" s="369"/>
      <c r="N32" s="369"/>
      <c r="O32" s="369"/>
      <c r="P32" s="370"/>
      <c r="Q32" s="406"/>
      <c r="R32" s="406"/>
      <c r="S32" s="369"/>
      <c r="T32" s="369"/>
      <c r="U32" s="369"/>
      <c r="V32" s="369"/>
      <c r="W32" s="369"/>
      <c r="X32" s="369"/>
      <c r="Y32" s="369"/>
      <c r="Z32" s="369"/>
      <c r="AA32" s="369"/>
      <c r="AB32" s="369"/>
      <c r="AC32" s="369"/>
      <c r="AD32" s="369"/>
      <c r="AE32" s="369"/>
      <c r="AF32" s="369"/>
      <c r="AG32" s="369"/>
      <c r="AH32" s="369"/>
      <c r="AI32" s="369"/>
      <c r="AK32" s="499" t="s">
        <v>519</v>
      </c>
      <c r="AL32" s="432">
        <v>17</v>
      </c>
      <c r="AM32" s="433">
        <v>1296</v>
      </c>
      <c r="AN32" s="435"/>
      <c r="AO32" s="482"/>
      <c r="AP32" s="474">
        <v>1.99</v>
      </c>
      <c r="AQ32" s="471">
        <v>2</v>
      </c>
      <c r="AR32" s="471">
        <v>2.99</v>
      </c>
      <c r="AS32" s="469">
        <v>3</v>
      </c>
      <c r="AT32" s="469">
        <v>3.99</v>
      </c>
      <c r="AU32" s="471">
        <v>3</v>
      </c>
      <c r="AV32" s="471">
        <v>3.99</v>
      </c>
      <c r="AW32" s="471">
        <v>6</v>
      </c>
      <c r="AX32" s="476">
        <v>6.99</v>
      </c>
      <c r="AY32" s="469">
        <v>6</v>
      </c>
      <c r="AZ32" s="483">
        <v>6.99</v>
      </c>
      <c r="BA32" s="482"/>
      <c r="BB32" s="482"/>
    </row>
    <row r="33" spans="1:54" ht="15.75" x14ac:dyDescent="0.25">
      <c r="A33" s="437"/>
      <c r="B33" s="438"/>
      <c r="C33" s="438"/>
      <c r="D33" s="434"/>
      <c r="E33" s="406"/>
      <c r="F33" s="369"/>
      <c r="G33" s="369"/>
      <c r="H33" s="369"/>
      <c r="I33" s="369"/>
      <c r="J33" s="369"/>
      <c r="K33" s="369"/>
      <c r="L33" s="369"/>
      <c r="M33" s="369"/>
      <c r="N33" s="369"/>
      <c r="O33" s="369"/>
      <c r="P33" s="370"/>
      <c r="Q33" s="406"/>
      <c r="R33" s="406"/>
      <c r="AK33" s="499" t="s">
        <v>520</v>
      </c>
      <c r="AL33" s="432">
        <v>17</v>
      </c>
      <c r="AM33" s="433">
        <v>1291</v>
      </c>
      <c r="AN33" s="435"/>
      <c r="AO33" s="477"/>
      <c r="AP33" s="477"/>
      <c r="AQ33" s="471">
        <v>1</v>
      </c>
      <c r="AR33" s="471">
        <v>1.99</v>
      </c>
      <c r="AS33" s="474">
        <v>4</v>
      </c>
      <c r="AT33" s="475">
        <v>6.99</v>
      </c>
      <c r="AU33" s="471">
        <v>3</v>
      </c>
      <c r="AV33" s="471">
        <v>3.99</v>
      </c>
      <c r="AW33" s="477"/>
      <c r="AX33" s="474">
        <v>2.99</v>
      </c>
      <c r="AY33" s="471">
        <v>3</v>
      </c>
      <c r="AZ33" s="471">
        <v>3.99</v>
      </c>
      <c r="BA33" s="477"/>
      <c r="BB33" s="477"/>
    </row>
    <row r="34" spans="1:54" ht="15.75" x14ac:dyDescent="0.25">
      <c r="A34" s="434"/>
      <c r="B34" s="434"/>
      <c r="C34" s="434"/>
      <c r="D34" s="434"/>
      <c r="E34" s="406"/>
      <c r="F34" s="369"/>
      <c r="G34" s="369"/>
      <c r="H34" s="369"/>
      <c r="I34" s="369"/>
      <c r="J34" s="369"/>
      <c r="K34" s="369"/>
      <c r="L34" s="369"/>
      <c r="M34" s="369"/>
      <c r="N34" s="369"/>
      <c r="O34" s="369"/>
      <c r="P34" s="370"/>
      <c r="Q34" s="406"/>
      <c r="R34" s="406"/>
      <c r="AK34" s="499" t="s">
        <v>521</v>
      </c>
      <c r="AL34" s="432">
        <v>17</v>
      </c>
      <c r="AM34" s="433">
        <v>1328</v>
      </c>
      <c r="AN34" s="435"/>
      <c r="AO34" s="477"/>
      <c r="AP34" s="477"/>
      <c r="AQ34" s="471">
        <v>3</v>
      </c>
      <c r="AR34" s="471">
        <v>3.99</v>
      </c>
      <c r="AS34" s="471">
        <v>6</v>
      </c>
      <c r="AT34" s="476">
        <v>6.99</v>
      </c>
      <c r="AU34" s="471">
        <v>3</v>
      </c>
      <c r="AV34" s="471">
        <v>3.99</v>
      </c>
      <c r="AW34" s="469">
        <v>4</v>
      </c>
      <c r="AX34" s="469">
        <v>4.99</v>
      </c>
      <c r="AY34" s="471">
        <v>4</v>
      </c>
      <c r="AZ34" s="471">
        <v>4.99</v>
      </c>
      <c r="BA34" s="477"/>
      <c r="BB34" s="477"/>
    </row>
    <row r="35" spans="1:54" ht="15.75" x14ac:dyDescent="0.25">
      <c r="AK35" s="499" t="s">
        <v>522</v>
      </c>
      <c r="AL35" s="432">
        <v>17</v>
      </c>
      <c r="AM35" s="433">
        <v>-628</v>
      </c>
      <c r="AN35" s="435"/>
      <c r="AO35" s="477"/>
      <c r="AP35" s="477"/>
      <c r="AQ35" s="469">
        <v>6</v>
      </c>
      <c r="AR35" s="483">
        <v>6.99</v>
      </c>
      <c r="AS35" s="469">
        <v>4</v>
      </c>
      <c r="AT35" s="469">
        <v>4.99</v>
      </c>
      <c r="AU35" s="471">
        <v>1</v>
      </c>
      <c r="AV35" s="471">
        <v>1.99</v>
      </c>
      <c r="AW35" s="477"/>
      <c r="AX35" s="474">
        <v>3.99</v>
      </c>
      <c r="AY35" s="471">
        <v>1</v>
      </c>
      <c r="AZ35" s="471">
        <v>1.99</v>
      </c>
      <c r="BA35" s="477"/>
      <c r="BB35" s="474">
        <v>4.99</v>
      </c>
    </row>
    <row r="36" spans="1:54" ht="15.75" x14ac:dyDescent="0.25">
      <c r="AK36" s="499" t="s">
        <v>523</v>
      </c>
      <c r="AL36" s="432">
        <v>17</v>
      </c>
      <c r="AM36" s="433">
        <v>1272</v>
      </c>
      <c r="AN36" s="435"/>
      <c r="AO36" s="484"/>
      <c r="AP36" s="484"/>
      <c r="AQ36" s="471">
        <v>2</v>
      </c>
      <c r="AR36" s="471">
        <v>2.99</v>
      </c>
      <c r="AS36" s="469">
        <v>6</v>
      </c>
      <c r="AT36" s="483">
        <v>6.99</v>
      </c>
      <c r="AU36" s="471">
        <v>3</v>
      </c>
      <c r="AV36" s="471">
        <v>3.99</v>
      </c>
      <c r="AW36" s="471">
        <v>3</v>
      </c>
      <c r="AX36" s="471">
        <v>3.99</v>
      </c>
      <c r="AY36" s="471">
        <v>2</v>
      </c>
      <c r="AZ36" s="471">
        <v>2.99</v>
      </c>
      <c r="BA36" s="471">
        <v>2</v>
      </c>
      <c r="BB36" s="471">
        <v>2.99</v>
      </c>
    </row>
    <row r="37" spans="1:54" ht="15.75" x14ac:dyDescent="0.25">
      <c r="AK37" s="499" t="s">
        <v>258</v>
      </c>
      <c r="AL37" s="432">
        <v>18</v>
      </c>
      <c r="AM37" s="433">
        <v>1200</v>
      </c>
      <c r="AN37" s="435"/>
      <c r="AO37" s="479"/>
      <c r="AP37" s="479"/>
      <c r="AQ37" s="471">
        <v>6</v>
      </c>
      <c r="AR37" s="476">
        <v>6.99</v>
      </c>
      <c r="AS37" s="471">
        <v>6.7</v>
      </c>
      <c r="AT37" s="476">
        <v>6.99</v>
      </c>
      <c r="AU37" s="471">
        <v>5</v>
      </c>
      <c r="AV37" s="472">
        <v>5.99</v>
      </c>
      <c r="AW37" s="471">
        <v>2</v>
      </c>
      <c r="AX37" s="471">
        <v>2.99</v>
      </c>
      <c r="AY37" s="471">
        <v>3</v>
      </c>
      <c r="AZ37" s="471">
        <v>3.99</v>
      </c>
      <c r="BA37" s="479"/>
      <c r="BB37" s="474">
        <v>2.99</v>
      </c>
    </row>
    <row r="38" spans="1:54" ht="15.75" x14ac:dyDescent="0.25">
      <c r="AK38" s="499" t="s">
        <v>524</v>
      </c>
      <c r="AL38" s="432">
        <v>18</v>
      </c>
      <c r="AM38" s="433">
        <v>1220</v>
      </c>
      <c r="AN38" s="435"/>
      <c r="AO38" s="477"/>
      <c r="AP38" s="474">
        <v>1.99</v>
      </c>
      <c r="AQ38" s="469">
        <v>6</v>
      </c>
      <c r="AR38" s="483">
        <v>6.99</v>
      </c>
      <c r="AS38" s="477"/>
      <c r="AT38" s="474">
        <v>3.99</v>
      </c>
      <c r="AU38" s="471">
        <v>3</v>
      </c>
      <c r="AV38" s="471">
        <v>3.99</v>
      </c>
      <c r="AW38" s="471">
        <v>2</v>
      </c>
      <c r="AX38" s="471">
        <v>2.99</v>
      </c>
      <c r="AY38" s="471">
        <v>4</v>
      </c>
      <c r="AZ38" s="471">
        <v>4.99</v>
      </c>
      <c r="BA38" s="477"/>
      <c r="BB38" s="473">
        <v>5.99</v>
      </c>
    </row>
    <row r="39" spans="1:54" ht="15.75" x14ac:dyDescent="0.25">
      <c r="AK39" s="499" t="s">
        <v>525</v>
      </c>
      <c r="AL39" s="432">
        <v>18</v>
      </c>
      <c r="AM39" s="433">
        <v>-673</v>
      </c>
      <c r="AN39" s="435"/>
      <c r="AO39" s="477"/>
      <c r="AP39" s="474">
        <v>1.99</v>
      </c>
      <c r="AQ39" s="471">
        <v>2</v>
      </c>
      <c r="AR39" s="471">
        <v>2.99</v>
      </c>
      <c r="AS39" s="471">
        <v>2</v>
      </c>
      <c r="AT39" s="471">
        <v>2.99</v>
      </c>
      <c r="AU39" s="471">
        <v>5</v>
      </c>
      <c r="AV39" s="472">
        <v>5.99</v>
      </c>
      <c r="AW39" s="474">
        <v>5</v>
      </c>
      <c r="AX39" s="475">
        <v>6.99</v>
      </c>
      <c r="AY39" s="471">
        <v>4</v>
      </c>
      <c r="AZ39" s="471">
        <v>4.99</v>
      </c>
      <c r="BA39" s="477"/>
      <c r="BB39" s="474">
        <v>4.99</v>
      </c>
    </row>
    <row r="40" spans="1:54" ht="15.75" x14ac:dyDescent="0.25">
      <c r="AK40" s="499" t="s">
        <v>297</v>
      </c>
      <c r="AL40" s="432">
        <v>17</v>
      </c>
      <c r="AM40" s="433">
        <v>1145</v>
      </c>
      <c r="AN40" s="435" t="s">
        <v>220</v>
      </c>
      <c r="AO40" s="477"/>
      <c r="AP40" s="474">
        <v>1.99</v>
      </c>
      <c r="AQ40" s="471">
        <v>5</v>
      </c>
      <c r="AR40" s="472">
        <v>5.99</v>
      </c>
      <c r="AS40" s="485">
        <v>7</v>
      </c>
      <c r="AT40" s="486">
        <v>7</v>
      </c>
      <c r="AU40" s="471">
        <v>1</v>
      </c>
      <c r="AV40" s="471">
        <v>1.99</v>
      </c>
      <c r="AW40" s="477"/>
      <c r="AX40" s="474">
        <v>2.99</v>
      </c>
      <c r="AY40" s="471">
        <v>1</v>
      </c>
      <c r="AZ40" s="471">
        <v>1.99</v>
      </c>
      <c r="BA40" s="477"/>
      <c r="BB40" s="477"/>
    </row>
    <row r="41" spans="1:54" ht="15.75" x14ac:dyDescent="0.25">
      <c r="AK41" s="499" t="s">
        <v>526</v>
      </c>
      <c r="AL41" s="432">
        <v>19</v>
      </c>
      <c r="AM41" s="433">
        <v>1042</v>
      </c>
      <c r="AN41" s="435" t="s">
        <v>94</v>
      </c>
      <c r="AO41" s="477"/>
      <c r="AP41" s="474">
        <v>1.99</v>
      </c>
      <c r="AQ41" s="474">
        <v>5</v>
      </c>
      <c r="AR41" s="475">
        <v>6.99</v>
      </c>
      <c r="AS41" s="469">
        <v>4</v>
      </c>
      <c r="AT41" s="469">
        <v>4.99</v>
      </c>
      <c r="AU41" s="471">
        <v>1</v>
      </c>
      <c r="AV41" s="471">
        <v>1.99</v>
      </c>
      <c r="AW41" s="477"/>
      <c r="AX41" s="474">
        <v>2.99</v>
      </c>
      <c r="AY41" s="474">
        <v>2</v>
      </c>
      <c r="AZ41" s="474">
        <v>3.99</v>
      </c>
      <c r="BA41" s="477"/>
      <c r="BB41" s="474">
        <v>1.99</v>
      </c>
    </row>
    <row r="42" spans="1:54" ht="15.75" x14ac:dyDescent="0.25">
      <c r="AK42" s="499" t="s">
        <v>527</v>
      </c>
      <c r="AL42" s="432">
        <v>19</v>
      </c>
      <c r="AM42" s="433">
        <v>-813</v>
      </c>
      <c r="AN42" s="435"/>
      <c r="AO42" s="479"/>
      <c r="AP42" s="474">
        <v>0.99</v>
      </c>
      <c r="AQ42" s="471">
        <v>3</v>
      </c>
      <c r="AR42" s="471">
        <v>3.99</v>
      </c>
      <c r="AS42" s="469">
        <v>5</v>
      </c>
      <c r="AT42" s="470">
        <v>5.99</v>
      </c>
      <c r="AU42" s="471">
        <v>5</v>
      </c>
      <c r="AV42" s="472">
        <v>5.99</v>
      </c>
      <c r="AW42" s="479"/>
      <c r="AX42" s="479">
        <v>3.99</v>
      </c>
      <c r="AY42" s="479"/>
      <c r="AZ42" s="487">
        <v>5.99</v>
      </c>
      <c r="BA42" s="479"/>
      <c r="BB42" s="479"/>
    </row>
    <row r="43" spans="1:54" ht="15.75" x14ac:dyDescent="0.25">
      <c r="AK43" s="499" t="s">
        <v>528</v>
      </c>
      <c r="AL43" s="432">
        <v>18</v>
      </c>
      <c r="AM43" s="433">
        <v>4</v>
      </c>
      <c r="AN43" s="435" t="s">
        <v>94</v>
      </c>
      <c r="AO43" s="477"/>
      <c r="AP43" s="474">
        <v>1.99</v>
      </c>
      <c r="AQ43" s="471">
        <v>4</v>
      </c>
      <c r="AR43" s="471">
        <v>4.99</v>
      </c>
      <c r="AS43" s="471">
        <v>3</v>
      </c>
      <c r="AT43" s="471">
        <v>3.99</v>
      </c>
      <c r="AU43" s="477"/>
      <c r="AV43" s="475">
        <v>6.99</v>
      </c>
      <c r="AW43" s="477"/>
      <c r="AX43" s="474">
        <v>3.99</v>
      </c>
      <c r="AY43" s="471">
        <v>2</v>
      </c>
      <c r="AZ43" s="471">
        <v>2.99</v>
      </c>
      <c r="BA43" s="477"/>
      <c r="BB43" s="477">
        <v>3.99</v>
      </c>
    </row>
    <row r="44" spans="1:54" ht="15.75" x14ac:dyDescent="0.25">
      <c r="AK44" s="499" t="s">
        <v>529</v>
      </c>
      <c r="AL44" s="432">
        <v>16</v>
      </c>
      <c r="AM44" s="433">
        <v>-718</v>
      </c>
      <c r="AN44" s="435" t="s">
        <v>220</v>
      </c>
      <c r="AO44" s="479"/>
      <c r="AP44" s="474">
        <v>1.99</v>
      </c>
      <c r="AQ44" s="471">
        <v>1</v>
      </c>
      <c r="AR44" s="471">
        <v>1.99</v>
      </c>
      <c r="AS44" s="469">
        <v>6</v>
      </c>
      <c r="AT44" s="483">
        <v>6.99</v>
      </c>
      <c r="AU44" s="479"/>
      <c r="AV44" s="474">
        <v>3.99</v>
      </c>
      <c r="AW44" s="479"/>
      <c r="AX44" s="474">
        <v>3.99</v>
      </c>
      <c r="AY44" s="471">
        <v>2</v>
      </c>
      <c r="AZ44" s="471">
        <v>2.99</v>
      </c>
      <c r="BA44" s="479"/>
      <c r="BB44" s="474">
        <v>2.99</v>
      </c>
    </row>
    <row r="45" spans="1:54" ht="15.75" x14ac:dyDescent="0.25">
      <c r="AK45" s="499" t="s">
        <v>530</v>
      </c>
      <c r="AL45" s="432">
        <v>18</v>
      </c>
      <c r="AM45" s="433">
        <v>1028</v>
      </c>
      <c r="AN45" s="435"/>
      <c r="AO45" s="488"/>
      <c r="AP45" s="488"/>
      <c r="AQ45" s="469">
        <v>5</v>
      </c>
      <c r="AR45" s="470">
        <v>5.99</v>
      </c>
      <c r="AS45" s="471">
        <v>6</v>
      </c>
      <c r="AT45" s="476">
        <v>6.99</v>
      </c>
      <c r="AU45" s="471">
        <v>2</v>
      </c>
      <c r="AV45" s="471">
        <v>2.99</v>
      </c>
      <c r="AW45" s="488"/>
      <c r="AX45" s="474">
        <v>2.99</v>
      </c>
      <c r="AY45" s="471">
        <v>4</v>
      </c>
      <c r="AZ45" s="471">
        <v>4.99</v>
      </c>
      <c r="BA45" s="488"/>
      <c r="BB45" s="488"/>
    </row>
    <row r="46" spans="1:54" ht="15.75" x14ac:dyDescent="0.25">
      <c r="AK46" s="499" t="s">
        <v>531</v>
      </c>
      <c r="AL46" s="432">
        <v>17</v>
      </c>
      <c r="AM46" s="433">
        <v>932</v>
      </c>
      <c r="AN46" s="435"/>
      <c r="AO46" s="477"/>
      <c r="AP46" s="477"/>
      <c r="AQ46" s="471">
        <v>2</v>
      </c>
      <c r="AR46" s="471">
        <v>2.99</v>
      </c>
      <c r="AS46" s="469">
        <v>7</v>
      </c>
      <c r="AT46" s="483">
        <v>7</v>
      </c>
      <c r="AU46" s="469">
        <v>3</v>
      </c>
      <c r="AV46" s="469">
        <v>3.99</v>
      </c>
      <c r="AW46" s="471">
        <v>1</v>
      </c>
      <c r="AX46" s="471">
        <v>1.99</v>
      </c>
      <c r="AY46" s="477"/>
      <c r="AZ46" s="474">
        <v>3.99</v>
      </c>
      <c r="BA46" s="477"/>
      <c r="BB46" s="477"/>
    </row>
    <row r="47" spans="1:54" ht="15.75" x14ac:dyDescent="0.25">
      <c r="AK47" s="499" t="s">
        <v>532</v>
      </c>
      <c r="AL47" s="432">
        <v>18</v>
      </c>
      <c r="AM47" s="433">
        <v>1032</v>
      </c>
      <c r="AN47" s="435" t="s">
        <v>105</v>
      </c>
      <c r="AO47" s="488"/>
      <c r="AP47" s="474">
        <v>1.99</v>
      </c>
      <c r="AQ47" s="488"/>
      <c r="AR47" s="474">
        <v>2.99</v>
      </c>
      <c r="AS47" s="471">
        <v>3</v>
      </c>
      <c r="AT47" s="471">
        <v>3.99</v>
      </c>
      <c r="AU47" s="471">
        <v>5</v>
      </c>
      <c r="AV47" s="472">
        <v>5.99</v>
      </c>
      <c r="AW47" s="471">
        <v>6</v>
      </c>
      <c r="AX47" s="476">
        <v>6.99</v>
      </c>
      <c r="AY47" s="471">
        <v>2</v>
      </c>
      <c r="AZ47" s="471">
        <v>2.99</v>
      </c>
      <c r="BA47" s="471">
        <v>4</v>
      </c>
      <c r="BB47" s="471">
        <v>4.99</v>
      </c>
    </row>
    <row r="48" spans="1:54" ht="15.75" x14ac:dyDescent="0.25">
      <c r="AK48" s="499" t="s">
        <v>533</v>
      </c>
      <c r="AL48" s="432">
        <v>17</v>
      </c>
      <c r="AM48" s="433">
        <v>959</v>
      </c>
      <c r="AN48" s="435"/>
      <c r="AO48" s="489"/>
      <c r="AP48" s="489">
        <v>1.99</v>
      </c>
      <c r="AQ48" s="489"/>
      <c r="AR48" s="474">
        <v>3.99</v>
      </c>
      <c r="AS48" s="469">
        <v>5</v>
      </c>
      <c r="AT48" s="470">
        <v>5.99</v>
      </c>
      <c r="AU48" s="488"/>
      <c r="AV48" s="474">
        <v>2.99</v>
      </c>
      <c r="AW48" s="471">
        <v>5</v>
      </c>
      <c r="AX48" s="472">
        <v>5.99</v>
      </c>
      <c r="AY48" s="469">
        <v>4</v>
      </c>
      <c r="AZ48" s="469">
        <v>4.99</v>
      </c>
      <c r="BA48" s="488"/>
      <c r="BB48" s="488">
        <v>3.99</v>
      </c>
    </row>
    <row r="49" spans="37:54" ht="15.75" x14ac:dyDescent="0.25">
      <c r="AK49" s="499" t="s">
        <v>534</v>
      </c>
      <c r="AL49" s="432">
        <v>17</v>
      </c>
      <c r="AM49" s="433">
        <v>852</v>
      </c>
      <c r="AN49" s="435"/>
      <c r="AO49" s="479"/>
      <c r="AP49" s="479"/>
      <c r="AQ49" s="479"/>
      <c r="AR49" s="474">
        <v>4.99</v>
      </c>
      <c r="AS49" s="471">
        <v>3</v>
      </c>
      <c r="AT49" s="471">
        <v>3.99</v>
      </c>
      <c r="AU49" s="469">
        <v>5</v>
      </c>
      <c r="AV49" s="470">
        <v>5.99</v>
      </c>
      <c r="AW49" s="479"/>
      <c r="AX49" s="474">
        <v>2.99</v>
      </c>
      <c r="AY49" s="471">
        <v>4</v>
      </c>
      <c r="AZ49" s="471">
        <v>4.99</v>
      </c>
      <c r="BA49" s="479"/>
      <c r="BB49" s="479"/>
    </row>
    <row r="50" spans="37:54" ht="15.75" x14ac:dyDescent="0.25">
      <c r="AK50" s="499" t="s">
        <v>535</v>
      </c>
      <c r="AL50" s="432">
        <v>18</v>
      </c>
      <c r="AM50" s="433">
        <v>908</v>
      </c>
      <c r="AN50" s="435" t="s">
        <v>220</v>
      </c>
      <c r="AO50" s="488"/>
      <c r="AP50" s="488"/>
      <c r="AQ50" s="474">
        <v>4</v>
      </c>
      <c r="AR50" s="473">
        <v>5.99</v>
      </c>
      <c r="AS50" s="471">
        <v>3</v>
      </c>
      <c r="AT50" s="471">
        <v>3.99</v>
      </c>
      <c r="AU50" s="469">
        <v>6</v>
      </c>
      <c r="AV50" s="483">
        <v>6.99</v>
      </c>
      <c r="AW50" s="474">
        <v>6</v>
      </c>
      <c r="AX50" s="475">
        <v>7</v>
      </c>
      <c r="AY50" s="471">
        <v>4</v>
      </c>
      <c r="AZ50" s="471">
        <v>4.99</v>
      </c>
      <c r="BA50" s="488"/>
      <c r="BB50" s="474">
        <v>2.99</v>
      </c>
    </row>
    <row r="51" spans="37:54" ht="15.75" x14ac:dyDescent="0.25">
      <c r="AK51" s="499" t="s">
        <v>536</v>
      </c>
      <c r="AL51" s="432">
        <v>17</v>
      </c>
      <c r="AM51" s="433">
        <v>856</v>
      </c>
      <c r="AN51" s="435" t="s">
        <v>220</v>
      </c>
      <c r="AO51" s="477"/>
      <c r="AP51" s="474">
        <v>0.99</v>
      </c>
      <c r="AQ51" s="474">
        <v>4</v>
      </c>
      <c r="AR51" s="473">
        <v>5.99</v>
      </c>
      <c r="AS51" s="471">
        <v>3</v>
      </c>
      <c r="AT51" s="471">
        <v>3.99</v>
      </c>
      <c r="AU51" s="471">
        <v>3</v>
      </c>
      <c r="AV51" s="471">
        <v>3.99</v>
      </c>
      <c r="AW51" s="471">
        <v>5.3</v>
      </c>
      <c r="AX51" s="472">
        <v>5.99</v>
      </c>
      <c r="AY51" s="474">
        <v>5</v>
      </c>
      <c r="AZ51" s="475">
        <v>6.99</v>
      </c>
      <c r="BA51" s="477"/>
      <c r="BB51" s="477"/>
    </row>
    <row r="52" spans="37:54" ht="15.75" x14ac:dyDescent="0.25">
      <c r="AK52" s="499" t="s">
        <v>537</v>
      </c>
      <c r="AL52" s="432">
        <v>18</v>
      </c>
      <c r="AM52" s="433">
        <v>-975</v>
      </c>
      <c r="AN52" s="435" t="s">
        <v>105</v>
      </c>
      <c r="AO52" s="477"/>
      <c r="AP52" s="474">
        <v>1.99</v>
      </c>
      <c r="AQ52" s="474">
        <v>4</v>
      </c>
      <c r="AR52" s="473">
        <v>5.99</v>
      </c>
      <c r="AS52" s="469">
        <v>5</v>
      </c>
      <c r="AT52" s="470">
        <v>5.99</v>
      </c>
      <c r="AU52" s="469">
        <v>4</v>
      </c>
      <c r="AV52" s="469">
        <v>4.99</v>
      </c>
      <c r="AW52" s="471">
        <v>4</v>
      </c>
      <c r="AX52" s="471">
        <v>4.99</v>
      </c>
      <c r="AY52" s="469">
        <v>3</v>
      </c>
      <c r="AZ52" s="469">
        <v>3.99</v>
      </c>
      <c r="BA52" s="477"/>
      <c r="BB52" s="477"/>
    </row>
    <row r="53" spans="37:54" ht="15.75" x14ac:dyDescent="0.25">
      <c r="AK53" s="499" t="s">
        <v>538</v>
      </c>
      <c r="AL53" s="432">
        <v>17</v>
      </c>
      <c r="AM53" s="433">
        <v>724</v>
      </c>
      <c r="AN53" s="435"/>
      <c r="AO53" s="477"/>
      <c r="AP53" s="474">
        <v>1.99</v>
      </c>
      <c r="AQ53" s="471">
        <v>4</v>
      </c>
      <c r="AR53" s="471">
        <v>4.99</v>
      </c>
      <c r="AS53" s="469">
        <v>6</v>
      </c>
      <c r="AT53" s="483">
        <v>6.99</v>
      </c>
      <c r="AU53" s="477"/>
      <c r="AV53" s="474">
        <v>3.99</v>
      </c>
      <c r="AW53" s="471">
        <v>2</v>
      </c>
      <c r="AX53" s="471">
        <v>2.99</v>
      </c>
      <c r="AY53" s="471">
        <v>3</v>
      </c>
      <c r="AZ53" s="471">
        <v>3.99</v>
      </c>
      <c r="BA53" s="477"/>
      <c r="BB53" s="473">
        <v>5.99</v>
      </c>
    </row>
    <row r="54" spans="37:54" ht="15.75" x14ac:dyDescent="0.25">
      <c r="AK54" s="499" t="s">
        <v>539</v>
      </c>
      <c r="AL54" s="432">
        <v>17</v>
      </c>
      <c r="AM54" s="433">
        <v>789</v>
      </c>
      <c r="AN54" s="435" t="s">
        <v>105</v>
      </c>
      <c r="AO54" s="479"/>
      <c r="AP54" s="479"/>
      <c r="AQ54" s="469">
        <v>5</v>
      </c>
      <c r="AR54" s="470">
        <v>5.99</v>
      </c>
      <c r="AS54" s="479"/>
      <c r="AT54" s="474">
        <v>2.99</v>
      </c>
      <c r="AU54" s="474">
        <v>5</v>
      </c>
      <c r="AV54" s="475">
        <v>7</v>
      </c>
      <c r="AW54" s="471">
        <v>3</v>
      </c>
      <c r="AX54" s="471">
        <v>3.99</v>
      </c>
      <c r="AY54" s="471">
        <v>3</v>
      </c>
      <c r="AZ54" s="471">
        <v>3.99</v>
      </c>
      <c r="BA54" s="479"/>
      <c r="BB54" s="474">
        <v>3.99</v>
      </c>
    </row>
    <row r="55" spans="37:54" ht="15.75" x14ac:dyDescent="0.25">
      <c r="AK55" s="499" t="s">
        <v>540</v>
      </c>
      <c r="AL55" s="432">
        <v>16</v>
      </c>
      <c r="AM55" s="433">
        <v>796</v>
      </c>
      <c r="AN55" s="435" t="s">
        <v>220</v>
      </c>
      <c r="AO55" s="488"/>
      <c r="AP55" s="488"/>
      <c r="AQ55" s="471">
        <v>2</v>
      </c>
      <c r="AR55" s="471">
        <v>2.99</v>
      </c>
      <c r="AS55" s="469">
        <v>5</v>
      </c>
      <c r="AT55" s="470">
        <v>5.99</v>
      </c>
      <c r="AU55" s="469">
        <v>5</v>
      </c>
      <c r="AV55" s="470">
        <v>5.99</v>
      </c>
      <c r="AW55" s="471">
        <v>4</v>
      </c>
      <c r="AX55" s="471">
        <v>4.99</v>
      </c>
      <c r="AY55" s="471">
        <v>3</v>
      </c>
      <c r="AZ55" s="471">
        <v>3.99</v>
      </c>
      <c r="BA55" s="488"/>
      <c r="BB55" s="488"/>
    </row>
    <row r="56" spans="37:54" ht="15.75" x14ac:dyDescent="0.25">
      <c r="AK56" s="499" t="s">
        <v>541</v>
      </c>
      <c r="AL56" s="432">
        <v>17</v>
      </c>
      <c r="AM56" s="433">
        <v>681</v>
      </c>
      <c r="AN56" s="435" t="s">
        <v>67</v>
      </c>
      <c r="AO56" s="477"/>
      <c r="AP56" s="474">
        <v>1.99</v>
      </c>
      <c r="AQ56" s="471">
        <v>3</v>
      </c>
      <c r="AR56" s="471">
        <v>3.99</v>
      </c>
      <c r="AS56" s="469">
        <v>5</v>
      </c>
      <c r="AT56" s="470">
        <v>5.99</v>
      </c>
      <c r="AU56" s="477"/>
      <c r="AV56" s="474">
        <v>2.99</v>
      </c>
      <c r="AW56" s="471">
        <v>4</v>
      </c>
      <c r="AX56" s="471">
        <v>4.99</v>
      </c>
      <c r="AY56" s="471">
        <v>4</v>
      </c>
      <c r="AZ56" s="471">
        <v>4.99</v>
      </c>
      <c r="BA56" s="471">
        <v>2</v>
      </c>
      <c r="BB56" s="471">
        <v>2.99</v>
      </c>
    </row>
    <row r="57" spans="37:54" ht="15.75" x14ac:dyDescent="0.25">
      <c r="AK57" s="499" t="s">
        <v>542</v>
      </c>
      <c r="AL57" s="432">
        <v>19</v>
      </c>
      <c r="AM57" s="433">
        <v>686</v>
      </c>
      <c r="AN57" s="435" t="s">
        <v>94</v>
      </c>
      <c r="AO57" s="488"/>
      <c r="AP57" s="474">
        <v>1.99</v>
      </c>
      <c r="AQ57" s="471">
        <v>2</v>
      </c>
      <c r="AR57" s="471">
        <v>2.99</v>
      </c>
      <c r="AS57" s="471">
        <v>3</v>
      </c>
      <c r="AT57" s="471">
        <v>3.99</v>
      </c>
      <c r="AU57" s="474">
        <v>4</v>
      </c>
      <c r="AV57" s="473">
        <v>5.99</v>
      </c>
      <c r="AW57" s="471">
        <v>4</v>
      </c>
      <c r="AX57" s="471">
        <v>4.99</v>
      </c>
      <c r="AY57" s="471">
        <v>5</v>
      </c>
      <c r="AZ57" s="472">
        <v>5.99</v>
      </c>
      <c r="BA57" s="488"/>
      <c r="BB57" s="474">
        <v>3.99</v>
      </c>
    </row>
    <row r="58" spans="37:54" ht="15.75" x14ac:dyDescent="0.25">
      <c r="AK58" s="499" t="s">
        <v>543</v>
      </c>
      <c r="AL58" s="432">
        <v>17</v>
      </c>
      <c r="AM58" s="433">
        <v>736</v>
      </c>
      <c r="AN58" s="435" t="s">
        <v>67</v>
      </c>
      <c r="AO58" s="477"/>
      <c r="AP58" s="474">
        <v>1.99</v>
      </c>
      <c r="AQ58" s="471">
        <v>1</v>
      </c>
      <c r="AR58" s="471">
        <v>1.99</v>
      </c>
      <c r="AS58" s="469">
        <v>6</v>
      </c>
      <c r="AT58" s="483">
        <v>6.99</v>
      </c>
      <c r="AU58" s="477"/>
      <c r="AV58" s="474">
        <v>2.99</v>
      </c>
      <c r="AW58" s="477"/>
      <c r="AX58" s="474">
        <v>3.99</v>
      </c>
      <c r="AY58" s="477"/>
      <c r="AZ58" s="474">
        <v>3.99</v>
      </c>
      <c r="BA58" s="477"/>
      <c r="BB58" s="474">
        <v>2.99</v>
      </c>
    </row>
    <row r="59" spans="37:54" ht="15.75" x14ac:dyDescent="0.25">
      <c r="AK59" s="499" t="s">
        <v>544</v>
      </c>
      <c r="AL59" s="432">
        <v>16</v>
      </c>
      <c r="AM59" s="433">
        <v>774</v>
      </c>
      <c r="AN59" s="435"/>
      <c r="AO59" s="488"/>
      <c r="AP59" s="474">
        <v>1.99</v>
      </c>
      <c r="AQ59" s="474">
        <v>4</v>
      </c>
      <c r="AR59" s="473">
        <v>5.99</v>
      </c>
      <c r="AS59" s="474">
        <v>4</v>
      </c>
      <c r="AT59" s="473">
        <v>5.99</v>
      </c>
      <c r="AU59" s="471">
        <v>5</v>
      </c>
      <c r="AV59" s="472">
        <v>5.99</v>
      </c>
      <c r="AW59" s="488"/>
      <c r="AX59" s="474">
        <v>3.99</v>
      </c>
      <c r="AY59" s="488"/>
      <c r="AZ59" s="474">
        <v>3.99</v>
      </c>
      <c r="BA59" s="488"/>
      <c r="BB59" s="474">
        <v>2.99</v>
      </c>
    </row>
    <row r="60" spans="37:54" ht="15.75" x14ac:dyDescent="0.25">
      <c r="AK60" s="499" t="s">
        <v>545</v>
      </c>
      <c r="AL60" s="432">
        <v>17</v>
      </c>
      <c r="AM60" s="433">
        <v>761</v>
      </c>
      <c r="AN60" s="435" t="s">
        <v>220</v>
      </c>
      <c r="AO60" s="479"/>
      <c r="AP60" s="474">
        <v>1.99</v>
      </c>
      <c r="AQ60" s="469">
        <v>3</v>
      </c>
      <c r="AR60" s="469">
        <v>3.99</v>
      </c>
      <c r="AS60" s="474">
        <v>5</v>
      </c>
      <c r="AT60" s="475">
        <v>6.99</v>
      </c>
      <c r="AU60" s="479"/>
      <c r="AV60" s="474">
        <v>2.99</v>
      </c>
      <c r="AW60" s="471">
        <v>2</v>
      </c>
      <c r="AX60" s="471">
        <v>2.99</v>
      </c>
      <c r="AY60" s="479"/>
      <c r="AZ60" s="473">
        <v>5.99</v>
      </c>
      <c r="BA60" s="471">
        <v>2</v>
      </c>
      <c r="BB60" s="471">
        <v>2.99</v>
      </c>
    </row>
    <row r="61" spans="37:54" ht="15.75" x14ac:dyDescent="0.25">
      <c r="AK61" s="499" t="s">
        <v>546</v>
      </c>
      <c r="AL61" s="432">
        <v>19</v>
      </c>
      <c r="AM61" s="433">
        <v>633</v>
      </c>
      <c r="AN61" s="435"/>
      <c r="AO61" s="477"/>
      <c r="AP61" s="477"/>
      <c r="AQ61" s="474">
        <v>5</v>
      </c>
      <c r="AR61" s="475">
        <v>6.99</v>
      </c>
      <c r="AS61" s="469">
        <v>4</v>
      </c>
      <c r="AT61" s="469">
        <v>4.99</v>
      </c>
      <c r="AU61" s="469">
        <v>4</v>
      </c>
      <c r="AV61" s="469">
        <v>4.99</v>
      </c>
      <c r="AW61" s="471">
        <v>3</v>
      </c>
      <c r="AX61" s="471">
        <v>3.99</v>
      </c>
      <c r="AY61" s="471">
        <v>3</v>
      </c>
      <c r="AZ61" s="471">
        <v>3.99</v>
      </c>
      <c r="BA61" s="477"/>
      <c r="BB61" s="477"/>
    </row>
    <row r="62" spans="37:54" ht="15.75" x14ac:dyDescent="0.25">
      <c r="AK62" s="499" t="s">
        <v>547</v>
      </c>
      <c r="AL62" s="432">
        <v>16</v>
      </c>
      <c r="AM62" s="433">
        <v>679</v>
      </c>
      <c r="AN62" s="435"/>
      <c r="AO62" s="488"/>
      <c r="AP62" s="474">
        <v>1.99</v>
      </c>
      <c r="AQ62" s="469">
        <v>5</v>
      </c>
      <c r="AR62" s="470">
        <v>5.99</v>
      </c>
      <c r="AS62" s="471">
        <v>3</v>
      </c>
      <c r="AT62" s="471">
        <v>3.99</v>
      </c>
      <c r="AU62" s="471">
        <v>4</v>
      </c>
      <c r="AV62" s="471">
        <v>4.99</v>
      </c>
      <c r="AW62" s="474">
        <v>3</v>
      </c>
      <c r="AX62" s="474">
        <v>4.99</v>
      </c>
      <c r="AY62" s="471">
        <v>1</v>
      </c>
      <c r="AZ62" s="471">
        <v>1.99</v>
      </c>
      <c r="BA62" s="488"/>
      <c r="BB62" s="474">
        <v>2.99</v>
      </c>
    </row>
    <row r="63" spans="37:54" ht="15.75" x14ac:dyDescent="0.25">
      <c r="AK63" s="499" t="s">
        <v>548</v>
      </c>
      <c r="AL63" s="432">
        <v>16</v>
      </c>
      <c r="AM63" s="433">
        <v>663</v>
      </c>
      <c r="AN63" s="435" t="s">
        <v>96</v>
      </c>
      <c r="AO63" s="488"/>
      <c r="AP63" s="488"/>
      <c r="AQ63" s="471">
        <v>4</v>
      </c>
      <c r="AR63" s="471">
        <v>4.99</v>
      </c>
      <c r="AS63" s="471">
        <v>5</v>
      </c>
      <c r="AT63" s="472">
        <v>5.99</v>
      </c>
      <c r="AU63" s="469">
        <v>4</v>
      </c>
      <c r="AV63" s="469">
        <v>4.99</v>
      </c>
      <c r="AW63" s="488"/>
      <c r="AX63" s="474">
        <v>3.99</v>
      </c>
      <c r="AY63" s="471">
        <v>3</v>
      </c>
      <c r="AZ63" s="471">
        <v>3.99</v>
      </c>
      <c r="BA63" s="488"/>
      <c r="BB63" s="488"/>
    </row>
    <row r="64" spans="37:54" ht="15.75" x14ac:dyDescent="0.25">
      <c r="AK64" s="499" t="s">
        <v>549</v>
      </c>
      <c r="AL64" s="432">
        <v>16</v>
      </c>
      <c r="AM64" s="433">
        <v>644</v>
      </c>
      <c r="AN64" s="435"/>
      <c r="AO64" s="488"/>
      <c r="AP64" s="474">
        <v>1.99</v>
      </c>
      <c r="AQ64" s="469">
        <v>3</v>
      </c>
      <c r="AR64" s="469">
        <v>3.99</v>
      </c>
      <c r="AS64" s="469">
        <v>6</v>
      </c>
      <c r="AT64" s="483">
        <v>6.99</v>
      </c>
      <c r="AU64" s="469">
        <v>5</v>
      </c>
      <c r="AV64" s="470">
        <v>5.99</v>
      </c>
      <c r="AW64" s="488"/>
      <c r="AX64" s="474">
        <v>2.99</v>
      </c>
      <c r="AY64" s="471">
        <v>3</v>
      </c>
      <c r="AZ64" s="471">
        <v>3.99</v>
      </c>
      <c r="BA64" s="488"/>
      <c r="BB64" s="488"/>
    </row>
    <row r="65" spans="37:54" ht="15.75" x14ac:dyDescent="0.25">
      <c r="AK65" s="499" t="s">
        <v>550</v>
      </c>
      <c r="AL65" s="432">
        <v>16</v>
      </c>
      <c r="AM65" s="433">
        <v>607</v>
      </c>
      <c r="AN65" s="435" t="s">
        <v>94</v>
      </c>
      <c r="AO65" s="488"/>
      <c r="AP65" s="488"/>
      <c r="AQ65" s="471">
        <v>4</v>
      </c>
      <c r="AR65" s="471">
        <v>4.99</v>
      </c>
      <c r="AS65" s="469">
        <v>4</v>
      </c>
      <c r="AT65" s="469">
        <v>4.99</v>
      </c>
      <c r="AU65" s="471">
        <v>4</v>
      </c>
      <c r="AV65" s="471">
        <v>4.99</v>
      </c>
      <c r="AW65" s="469">
        <v>4</v>
      </c>
      <c r="AX65" s="469">
        <v>4.99</v>
      </c>
      <c r="AY65" s="469">
        <v>5</v>
      </c>
      <c r="AZ65" s="470">
        <v>5.99</v>
      </c>
      <c r="BA65" s="488"/>
      <c r="BB65" s="474">
        <v>2.99</v>
      </c>
    </row>
    <row r="66" spans="37:54" ht="15.75" x14ac:dyDescent="0.25">
      <c r="AK66" s="499" t="s">
        <v>551</v>
      </c>
      <c r="AL66" s="432">
        <v>17</v>
      </c>
      <c r="AM66" s="433">
        <v>621</v>
      </c>
      <c r="AN66" s="435" t="s">
        <v>94</v>
      </c>
      <c r="AO66" s="479"/>
      <c r="AP66" s="479"/>
      <c r="AQ66" s="474">
        <v>3</v>
      </c>
      <c r="AR66" s="474">
        <v>4.99</v>
      </c>
      <c r="AS66" s="474">
        <v>5</v>
      </c>
      <c r="AT66" s="475">
        <v>6.99</v>
      </c>
      <c r="AU66" s="471">
        <v>5</v>
      </c>
      <c r="AV66" s="472">
        <v>5.99</v>
      </c>
      <c r="AW66" s="479"/>
      <c r="AX66" s="474">
        <v>2.99</v>
      </c>
      <c r="AY66" s="469">
        <v>5</v>
      </c>
      <c r="AZ66" s="470">
        <v>5.99</v>
      </c>
      <c r="BA66" s="479"/>
      <c r="BB66" s="474">
        <v>3.99</v>
      </c>
    </row>
    <row r="67" spans="37:54" ht="15.75" x14ac:dyDescent="0.25">
      <c r="AK67" s="499" t="s">
        <v>552</v>
      </c>
      <c r="AL67" s="432">
        <v>16</v>
      </c>
      <c r="AM67" s="433">
        <v>571</v>
      </c>
      <c r="AN67" s="435"/>
      <c r="AO67" s="488"/>
      <c r="AP67" s="474">
        <v>1.99</v>
      </c>
      <c r="AQ67" s="469">
        <v>4</v>
      </c>
      <c r="AR67" s="469">
        <v>4.99</v>
      </c>
      <c r="AS67" s="471">
        <v>3</v>
      </c>
      <c r="AT67" s="471">
        <v>3.99</v>
      </c>
      <c r="AU67" s="474">
        <v>7</v>
      </c>
      <c r="AV67" s="475">
        <v>7</v>
      </c>
      <c r="AW67" s="471">
        <v>2</v>
      </c>
      <c r="AX67" s="471">
        <v>2.99</v>
      </c>
      <c r="AY67" s="469">
        <v>4</v>
      </c>
      <c r="AZ67" s="469">
        <v>4.99</v>
      </c>
      <c r="BA67" s="488"/>
      <c r="BB67" s="488"/>
    </row>
    <row r="68" spans="37:54" ht="15.75" x14ac:dyDescent="0.25">
      <c r="AK68" s="499" t="s">
        <v>553</v>
      </c>
      <c r="AL68" s="432">
        <v>17</v>
      </c>
      <c r="AM68" s="433">
        <v>467</v>
      </c>
      <c r="AN68" s="435"/>
      <c r="AO68" s="479"/>
      <c r="AP68" s="479"/>
      <c r="AQ68" s="479"/>
      <c r="AR68" s="474">
        <v>2.99</v>
      </c>
      <c r="AS68" s="471">
        <v>2</v>
      </c>
      <c r="AT68" s="471">
        <v>2.99</v>
      </c>
      <c r="AU68" s="471">
        <v>5</v>
      </c>
      <c r="AV68" s="472">
        <v>5.99</v>
      </c>
      <c r="AW68" s="479"/>
      <c r="AX68" s="473">
        <v>5.99</v>
      </c>
      <c r="AY68" s="469">
        <v>3</v>
      </c>
      <c r="AZ68" s="469">
        <v>3.99</v>
      </c>
      <c r="BA68" s="479"/>
      <c r="BB68" s="479"/>
    </row>
    <row r="69" spans="37:54" ht="15.75" x14ac:dyDescent="0.25">
      <c r="AK69" s="499" t="s">
        <v>554</v>
      </c>
      <c r="AL69" s="432">
        <v>16</v>
      </c>
      <c r="AM69" s="433">
        <v>475</v>
      </c>
      <c r="AN69" s="435"/>
      <c r="AO69" s="488"/>
      <c r="AP69" s="474">
        <v>1.99</v>
      </c>
      <c r="AQ69" s="488"/>
      <c r="AR69" s="474">
        <v>3.99</v>
      </c>
      <c r="AS69" s="469">
        <v>5</v>
      </c>
      <c r="AT69" s="470">
        <v>5.99</v>
      </c>
      <c r="AU69" s="469">
        <v>6</v>
      </c>
      <c r="AV69" s="483">
        <v>6.99</v>
      </c>
      <c r="AW69" s="488"/>
      <c r="AX69" s="488"/>
      <c r="AY69" s="471">
        <v>2</v>
      </c>
      <c r="AZ69" s="471">
        <v>2.99</v>
      </c>
      <c r="BA69" s="488"/>
      <c r="BB69" s="488"/>
    </row>
    <row r="70" spans="37:54" ht="15.75" x14ac:dyDescent="0.25">
      <c r="AK70" s="499" t="s">
        <v>555</v>
      </c>
      <c r="AL70" s="432">
        <v>16</v>
      </c>
      <c r="AM70" s="433">
        <v>422</v>
      </c>
      <c r="AN70" s="435"/>
      <c r="AO70" s="488"/>
      <c r="AP70" s="488"/>
      <c r="AQ70" s="471">
        <v>1</v>
      </c>
      <c r="AR70" s="471">
        <v>1.99</v>
      </c>
      <c r="AS70" s="469">
        <v>5</v>
      </c>
      <c r="AT70" s="470">
        <v>5.99</v>
      </c>
      <c r="AU70" s="469">
        <v>4</v>
      </c>
      <c r="AV70" s="469">
        <v>4.99</v>
      </c>
      <c r="AW70" s="488"/>
      <c r="AX70" s="474">
        <v>2.99</v>
      </c>
      <c r="AY70" s="488"/>
      <c r="AZ70" s="474">
        <v>2.99</v>
      </c>
      <c r="BA70" s="488"/>
      <c r="BB70" s="488"/>
    </row>
    <row r="71" spans="37:54" ht="15.75" x14ac:dyDescent="0.25">
      <c r="AK71" s="499" t="s">
        <v>556</v>
      </c>
      <c r="AL71" s="432">
        <v>16</v>
      </c>
      <c r="AM71" s="433">
        <v>434</v>
      </c>
      <c r="AN71" s="435"/>
      <c r="AO71" s="488"/>
      <c r="AP71" s="474">
        <v>1.99</v>
      </c>
      <c r="AQ71" s="474">
        <v>3</v>
      </c>
      <c r="AR71" s="474">
        <v>4.99</v>
      </c>
      <c r="AS71" s="469">
        <v>2</v>
      </c>
      <c r="AT71" s="469">
        <v>2.99</v>
      </c>
      <c r="AU71" s="474">
        <v>4</v>
      </c>
      <c r="AV71" s="475">
        <v>6.99</v>
      </c>
      <c r="AW71" s="488"/>
      <c r="AX71" s="474">
        <v>2.99</v>
      </c>
      <c r="AY71" s="488"/>
      <c r="AZ71" s="475">
        <v>6.99</v>
      </c>
      <c r="BA71" s="488"/>
      <c r="BB71" s="488"/>
    </row>
    <row r="72" spans="37:54" ht="15.75" x14ac:dyDescent="0.25">
      <c r="AK72" s="499" t="s">
        <v>557</v>
      </c>
      <c r="AL72" s="432">
        <v>16</v>
      </c>
      <c r="AM72" s="433">
        <v>454</v>
      </c>
      <c r="AN72" s="435"/>
      <c r="AO72" s="488"/>
      <c r="AP72" s="474">
        <v>1.99</v>
      </c>
      <c r="AQ72" s="488"/>
      <c r="AR72" s="473">
        <v>5.99</v>
      </c>
      <c r="AS72" s="469">
        <v>5</v>
      </c>
      <c r="AT72" s="470">
        <v>5.99</v>
      </c>
      <c r="AU72" s="471">
        <v>4</v>
      </c>
      <c r="AV72" s="471">
        <v>4.99</v>
      </c>
      <c r="AW72" s="474">
        <v>3</v>
      </c>
      <c r="AX72" s="473">
        <v>5.99</v>
      </c>
      <c r="AY72" s="474">
        <v>4</v>
      </c>
      <c r="AZ72" s="473">
        <v>5.99</v>
      </c>
      <c r="BA72" s="488"/>
      <c r="BB72" s="488"/>
    </row>
    <row r="73" spans="37:54" ht="15.75" x14ac:dyDescent="0.25">
      <c r="AK73" s="499" t="s">
        <v>558</v>
      </c>
      <c r="AL73" s="432">
        <v>16</v>
      </c>
      <c r="AM73" s="433">
        <v>458</v>
      </c>
      <c r="AN73" s="435"/>
      <c r="AO73" s="488"/>
      <c r="AP73" s="488"/>
      <c r="AQ73" s="488"/>
      <c r="AR73" s="474">
        <v>2.99</v>
      </c>
      <c r="AS73" s="469">
        <v>5</v>
      </c>
      <c r="AT73" s="470">
        <v>5.99</v>
      </c>
      <c r="AU73" s="474">
        <v>4</v>
      </c>
      <c r="AV73" s="473">
        <v>5.99</v>
      </c>
      <c r="AW73" s="488"/>
      <c r="AX73" s="474">
        <v>3.99</v>
      </c>
      <c r="AY73" s="471">
        <v>2</v>
      </c>
      <c r="AZ73" s="471">
        <v>2.99</v>
      </c>
      <c r="BA73" s="488"/>
      <c r="BB73" s="488"/>
    </row>
    <row r="74" spans="37:54" ht="15.75" x14ac:dyDescent="0.25">
      <c r="AK74" s="499" t="s">
        <v>559</v>
      </c>
      <c r="AL74" s="432">
        <v>15</v>
      </c>
      <c r="AM74" s="433">
        <v>517</v>
      </c>
      <c r="AN74" s="435"/>
      <c r="AO74" s="488"/>
      <c r="AP74" s="488"/>
      <c r="AQ74" s="488"/>
      <c r="AR74" s="474">
        <v>4.99</v>
      </c>
      <c r="AS74" s="488"/>
      <c r="AT74" s="488"/>
      <c r="AU74" s="488"/>
      <c r="AV74" s="474">
        <v>4.99</v>
      </c>
      <c r="AW74" s="474">
        <v>3</v>
      </c>
      <c r="AX74" s="488"/>
      <c r="AY74" s="488"/>
      <c r="AZ74" s="473">
        <v>5.99</v>
      </c>
      <c r="BA74" s="488"/>
      <c r="BB74" s="488"/>
    </row>
    <row r="75" spans="37:54" ht="15.75" x14ac:dyDescent="0.25">
      <c r="AK75" s="499" t="s">
        <v>560</v>
      </c>
      <c r="AL75" s="432">
        <v>17</v>
      </c>
      <c r="AM75" s="433">
        <v>499</v>
      </c>
      <c r="AN75" s="435"/>
      <c r="AO75" s="488"/>
      <c r="AP75" s="488"/>
      <c r="AQ75" s="474">
        <v>4</v>
      </c>
      <c r="AR75" s="473">
        <v>5.99</v>
      </c>
      <c r="AS75" s="471">
        <v>4</v>
      </c>
      <c r="AT75" s="471">
        <v>4.99</v>
      </c>
      <c r="AU75" s="471">
        <v>4</v>
      </c>
      <c r="AV75" s="471">
        <v>4.99</v>
      </c>
      <c r="AW75" s="488"/>
      <c r="AX75" s="475">
        <v>6.99</v>
      </c>
      <c r="AY75" s="471">
        <v>2</v>
      </c>
      <c r="AZ75" s="471">
        <v>2.99</v>
      </c>
      <c r="BA75" s="488"/>
      <c r="BB75" s="488"/>
    </row>
    <row r="76" spans="37:54" ht="15.75" x14ac:dyDescent="0.25">
      <c r="AK76" s="499" t="s">
        <v>561</v>
      </c>
      <c r="AL76" s="432">
        <v>16</v>
      </c>
      <c r="AM76" s="433">
        <v>-1491</v>
      </c>
      <c r="AN76" s="435"/>
      <c r="AO76" s="479"/>
      <c r="AP76" s="479"/>
      <c r="AQ76" s="490">
        <v>1</v>
      </c>
      <c r="AR76" s="471">
        <v>1.99</v>
      </c>
      <c r="AS76" s="491">
        <v>5</v>
      </c>
      <c r="AT76" s="470">
        <v>5.99</v>
      </c>
      <c r="AU76" s="479"/>
      <c r="AV76" s="474">
        <v>2.99</v>
      </c>
      <c r="AW76" s="491" t="s">
        <v>562</v>
      </c>
      <c r="AX76" s="470">
        <v>5.99</v>
      </c>
      <c r="AY76" s="491">
        <v>4</v>
      </c>
      <c r="AZ76" s="470">
        <v>4.99</v>
      </c>
      <c r="BA76" s="479"/>
      <c r="BB76" s="479"/>
    </row>
    <row r="77" spans="37:54" ht="15.75" x14ac:dyDescent="0.25">
      <c r="AK77" s="499" t="s">
        <v>563</v>
      </c>
      <c r="AL77" s="432">
        <v>16</v>
      </c>
      <c r="AM77" s="433">
        <v>336</v>
      </c>
      <c r="AN77" s="435" t="s">
        <v>67</v>
      </c>
      <c r="AO77" s="479"/>
      <c r="AP77" s="474">
        <v>1.99</v>
      </c>
      <c r="AQ77" s="491">
        <v>6</v>
      </c>
      <c r="AR77" s="483">
        <v>6.99</v>
      </c>
      <c r="AS77" s="491">
        <v>5</v>
      </c>
      <c r="AT77" s="470">
        <v>5.99</v>
      </c>
      <c r="AU77" s="491">
        <v>3</v>
      </c>
      <c r="AV77" s="469">
        <v>3.99</v>
      </c>
      <c r="AW77" s="490">
        <v>1</v>
      </c>
      <c r="AX77" s="471">
        <v>1.99</v>
      </c>
      <c r="AY77" s="490">
        <v>2</v>
      </c>
      <c r="AZ77" s="471">
        <v>2.99</v>
      </c>
      <c r="BA77" s="479"/>
      <c r="BB77" s="479"/>
    </row>
    <row r="78" spans="37:54" ht="15.75" x14ac:dyDescent="0.25">
      <c r="AK78" s="499" t="s">
        <v>564</v>
      </c>
      <c r="AL78" s="432">
        <v>16</v>
      </c>
      <c r="AM78" s="433">
        <v>305</v>
      </c>
      <c r="AN78" s="435" t="s">
        <v>67</v>
      </c>
      <c r="AO78" s="479"/>
      <c r="AP78" s="474">
        <v>1.99</v>
      </c>
      <c r="AQ78" s="479"/>
      <c r="AR78" s="474">
        <v>3.99</v>
      </c>
      <c r="AS78" s="479"/>
      <c r="AT78" s="474">
        <v>2.99</v>
      </c>
      <c r="AU78" s="479"/>
      <c r="AV78" s="474">
        <v>2.99</v>
      </c>
      <c r="AW78" s="490">
        <v>3</v>
      </c>
      <c r="AX78" s="471">
        <v>3.99</v>
      </c>
      <c r="AY78" s="491">
        <v>5</v>
      </c>
      <c r="AZ78" s="470">
        <v>5.99</v>
      </c>
      <c r="BA78" s="479"/>
      <c r="BB78" s="479"/>
    </row>
    <row r="79" spans="37:54" ht="15.75" x14ac:dyDescent="0.25">
      <c r="AK79" s="499" t="s">
        <v>565</v>
      </c>
      <c r="AL79" s="432">
        <v>16</v>
      </c>
      <c r="AM79" s="433">
        <v>262</v>
      </c>
      <c r="AN79" s="435"/>
      <c r="AO79" s="479"/>
      <c r="AP79" s="474">
        <v>1.99</v>
      </c>
      <c r="AQ79" s="490">
        <v>1</v>
      </c>
      <c r="AR79" s="471">
        <v>1.99</v>
      </c>
      <c r="AS79" s="491">
        <v>4</v>
      </c>
      <c r="AT79" s="469">
        <v>4.99</v>
      </c>
      <c r="AU79" s="490">
        <v>5</v>
      </c>
      <c r="AV79" s="472">
        <v>5.99</v>
      </c>
      <c r="AW79" s="491">
        <v>6</v>
      </c>
      <c r="AX79" s="483">
        <v>6.99</v>
      </c>
      <c r="AY79" s="491">
        <v>2</v>
      </c>
      <c r="AZ79" s="469">
        <v>2.99</v>
      </c>
      <c r="BA79" s="479"/>
      <c r="BB79" s="479"/>
    </row>
    <row r="80" spans="37:54" ht="15.75" x14ac:dyDescent="0.25">
      <c r="AK80" s="499" t="s">
        <v>566</v>
      </c>
      <c r="AL80" s="432">
        <v>17</v>
      </c>
      <c r="AM80" s="433">
        <v>208</v>
      </c>
      <c r="AN80" s="435"/>
      <c r="AO80" s="479"/>
      <c r="AP80" s="474">
        <v>1.99</v>
      </c>
      <c r="AQ80" s="490">
        <v>2</v>
      </c>
      <c r="AR80" s="471">
        <v>2.99</v>
      </c>
      <c r="AS80" s="492">
        <v>5</v>
      </c>
      <c r="AT80" s="475">
        <v>7</v>
      </c>
      <c r="AU80" s="490">
        <v>3</v>
      </c>
      <c r="AV80" s="471">
        <v>3.99</v>
      </c>
      <c r="AW80" s="492">
        <v>4</v>
      </c>
      <c r="AX80" s="475">
        <v>6.99</v>
      </c>
      <c r="AY80" s="479"/>
      <c r="AZ80" s="474">
        <v>2.99</v>
      </c>
      <c r="BA80" s="479"/>
      <c r="BB80" s="479"/>
    </row>
    <row r="81" spans="37:54" x14ac:dyDescent="0.25">
      <c r="AK81" s="499" t="s">
        <v>567</v>
      </c>
      <c r="AL81" s="432"/>
      <c r="AM81" s="433"/>
      <c r="AN81" s="435"/>
      <c r="AO81" s="493"/>
      <c r="AP81" s="493"/>
      <c r="AQ81" s="493"/>
      <c r="AR81" s="493"/>
      <c r="AS81" s="493"/>
      <c r="AT81" s="493"/>
      <c r="AU81" s="493"/>
      <c r="AV81" s="493"/>
      <c r="AW81" s="493"/>
      <c r="AX81" s="493"/>
      <c r="AY81" s="493"/>
      <c r="AZ81" s="493"/>
      <c r="BA81" s="493"/>
      <c r="BB81" s="493"/>
    </row>
    <row r="82" spans="37:54" x14ac:dyDescent="0.25">
      <c r="AK82" s="499" t="s">
        <v>568</v>
      </c>
      <c r="AL82" s="432"/>
      <c r="AM82" s="433"/>
      <c r="AN82" s="435"/>
      <c r="AO82" s="493"/>
      <c r="AP82" s="493"/>
      <c r="AQ82" s="493"/>
      <c r="AR82" s="493"/>
      <c r="AS82" s="493"/>
      <c r="AT82" s="493"/>
      <c r="AU82" s="493"/>
      <c r="AV82" s="493"/>
      <c r="AW82" s="493"/>
      <c r="AX82" s="493"/>
      <c r="AY82" s="493"/>
      <c r="AZ82" s="493"/>
      <c r="BA82" s="493"/>
      <c r="BB82" s="493"/>
    </row>
    <row r="83" spans="37:54" x14ac:dyDescent="0.25">
      <c r="AK83" s="499" t="s">
        <v>569</v>
      </c>
      <c r="AL83" s="432"/>
      <c r="AM83" s="433"/>
      <c r="AN83" s="435"/>
      <c r="AO83" s="493"/>
      <c r="AP83" s="493"/>
      <c r="AQ83" s="493"/>
      <c r="AR83" s="493"/>
      <c r="AS83" s="493"/>
      <c r="AT83" s="493"/>
      <c r="AU83" s="493"/>
      <c r="AV83" s="493"/>
      <c r="AW83" s="493"/>
      <c r="AX83" s="493"/>
      <c r="AY83" s="493"/>
      <c r="AZ83" s="493"/>
      <c r="BA83" s="493"/>
      <c r="BB83" s="493"/>
    </row>
    <row r="84" spans="37:54" ht="15.75" x14ac:dyDescent="0.25">
      <c r="AK84" s="499" t="s">
        <v>570</v>
      </c>
      <c r="AL84" s="432">
        <v>16</v>
      </c>
      <c r="AM84" s="433">
        <v>146</v>
      </c>
      <c r="AN84" s="435"/>
      <c r="AO84" s="479"/>
      <c r="AP84" s="479"/>
      <c r="AQ84" s="490">
        <v>3</v>
      </c>
      <c r="AR84" s="471">
        <v>3.99</v>
      </c>
      <c r="AS84" s="490">
        <v>5</v>
      </c>
      <c r="AT84" s="472">
        <v>5.99</v>
      </c>
      <c r="AU84" s="490">
        <v>3</v>
      </c>
      <c r="AV84" s="471">
        <v>3.99</v>
      </c>
      <c r="AW84" s="490">
        <v>1</v>
      </c>
      <c r="AX84" s="471">
        <v>1.99</v>
      </c>
      <c r="AY84" s="479"/>
      <c r="AZ84" s="474">
        <v>1.99</v>
      </c>
      <c r="BA84" s="479"/>
      <c r="BB84" s="479"/>
    </row>
    <row r="85" spans="37:54" ht="15.75" x14ac:dyDescent="0.25">
      <c r="AK85" s="499" t="s">
        <v>571</v>
      </c>
      <c r="AL85" s="432">
        <v>16</v>
      </c>
      <c r="AM85" s="433">
        <v>210</v>
      </c>
      <c r="AN85" s="435"/>
      <c r="AO85" s="491">
        <v>6</v>
      </c>
      <c r="AP85" s="483">
        <v>6.99</v>
      </c>
      <c r="AQ85" s="490">
        <v>2.6</v>
      </c>
      <c r="AR85" s="471">
        <v>2.99</v>
      </c>
      <c r="AS85" s="479"/>
      <c r="AT85" s="474">
        <v>3.99</v>
      </c>
      <c r="AU85" s="479"/>
      <c r="AV85" s="474">
        <v>1.99</v>
      </c>
      <c r="AW85" s="479"/>
      <c r="AX85" s="474">
        <v>0.99</v>
      </c>
      <c r="AY85" s="479"/>
      <c r="AZ85" s="474">
        <v>2.99</v>
      </c>
      <c r="BA85" s="479"/>
      <c r="BB85" s="479"/>
    </row>
    <row r="86" spans="37:54" ht="15.75" x14ac:dyDescent="0.25">
      <c r="AK86" s="499" t="s">
        <v>572</v>
      </c>
      <c r="AL86" s="432">
        <v>17</v>
      </c>
      <c r="AM86" s="433">
        <v>384</v>
      </c>
      <c r="AN86" s="435" t="s">
        <v>105</v>
      </c>
      <c r="AO86" s="479"/>
      <c r="AP86" s="474">
        <v>1.99</v>
      </c>
      <c r="AQ86" s="490">
        <v>3</v>
      </c>
      <c r="AR86" s="471">
        <v>3.99</v>
      </c>
      <c r="AS86" s="490">
        <v>5</v>
      </c>
      <c r="AT86" s="472">
        <v>5.99</v>
      </c>
      <c r="AU86" s="490">
        <v>1</v>
      </c>
      <c r="AV86" s="471">
        <v>1.99</v>
      </c>
      <c r="AW86" s="490">
        <v>4</v>
      </c>
      <c r="AX86" s="471">
        <v>4.99</v>
      </c>
      <c r="AY86" s="491">
        <v>4</v>
      </c>
      <c r="AZ86" s="469">
        <v>4.99</v>
      </c>
      <c r="BA86" s="479"/>
      <c r="BB86" s="479"/>
    </row>
    <row r="87" spans="37:54" ht="15.75" x14ac:dyDescent="0.25">
      <c r="AK87" s="499" t="s">
        <v>573</v>
      </c>
      <c r="AL87" s="432">
        <v>17</v>
      </c>
      <c r="AM87" s="433">
        <v>382</v>
      </c>
      <c r="AN87" s="435"/>
      <c r="AO87" s="488"/>
      <c r="AP87" s="474">
        <v>1.99</v>
      </c>
      <c r="AQ87" s="491">
        <v>5</v>
      </c>
      <c r="AR87" s="470">
        <v>5.99</v>
      </c>
      <c r="AS87" s="490">
        <v>4</v>
      </c>
      <c r="AT87" s="471">
        <v>4.99</v>
      </c>
      <c r="AU87" s="492">
        <v>2</v>
      </c>
      <c r="AV87" s="474">
        <v>3.99</v>
      </c>
      <c r="AW87" s="490">
        <v>4</v>
      </c>
      <c r="AX87" s="471">
        <v>4.99</v>
      </c>
      <c r="AY87" s="488"/>
      <c r="AZ87" s="474">
        <v>4.99</v>
      </c>
      <c r="BA87" s="488"/>
      <c r="BB87" s="488"/>
    </row>
    <row r="88" spans="37:54" ht="15.75" x14ac:dyDescent="0.25">
      <c r="AK88" s="499" t="s">
        <v>574</v>
      </c>
      <c r="AL88" s="432">
        <v>18</v>
      </c>
      <c r="AM88" s="433">
        <v>408</v>
      </c>
      <c r="AN88" s="435"/>
      <c r="AO88" s="479"/>
      <c r="AP88" s="474">
        <v>1.99</v>
      </c>
      <c r="AQ88" s="490">
        <v>2</v>
      </c>
      <c r="AR88" s="471">
        <v>2.99</v>
      </c>
      <c r="AS88" s="479"/>
      <c r="AT88" s="474">
        <v>4.99</v>
      </c>
      <c r="AU88" s="479"/>
      <c r="AV88" s="473">
        <v>5.99</v>
      </c>
      <c r="AW88" s="490">
        <v>4</v>
      </c>
      <c r="AX88" s="471">
        <v>4.99</v>
      </c>
      <c r="AY88" s="490">
        <v>3</v>
      </c>
      <c r="AZ88" s="471">
        <v>3.99</v>
      </c>
      <c r="BA88" s="479"/>
      <c r="BB88" s="479"/>
    </row>
    <row r="89" spans="37:54" ht="15.75" x14ac:dyDescent="0.25">
      <c r="AK89" s="499" t="s">
        <v>575</v>
      </c>
      <c r="AL89" s="432">
        <v>18</v>
      </c>
      <c r="AM89" s="433">
        <v>423</v>
      </c>
      <c r="AN89" s="435" t="s">
        <v>94</v>
      </c>
      <c r="AO89" s="488"/>
      <c r="AP89" s="474">
        <v>1.99</v>
      </c>
      <c r="AQ89" s="490">
        <v>2</v>
      </c>
      <c r="AR89" s="471">
        <v>2.99</v>
      </c>
      <c r="AS89" s="491">
        <v>4</v>
      </c>
      <c r="AT89" s="469">
        <v>4.99</v>
      </c>
      <c r="AU89" s="490">
        <v>5</v>
      </c>
      <c r="AV89" s="472">
        <v>5.99</v>
      </c>
      <c r="AW89" s="490">
        <v>3</v>
      </c>
      <c r="AX89" s="471">
        <v>3.99</v>
      </c>
      <c r="AY89" s="492">
        <v>3</v>
      </c>
      <c r="AZ89" s="475">
        <v>7</v>
      </c>
      <c r="BA89" s="488"/>
      <c r="BB89" s="488"/>
    </row>
    <row r="90" spans="37:54" ht="15.75" x14ac:dyDescent="0.25">
      <c r="AK90" s="499" t="s">
        <v>576</v>
      </c>
      <c r="AL90" s="432">
        <v>17</v>
      </c>
      <c r="AM90" s="433">
        <v>408</v>
      </c>
      <c r="AN90" s="435" t="s">
        <v>105</v>
      </c>
      <c r="AO90" s="479"/>
      <c r="AP90" s="474">
        <v>0.99</v>
      </c>
      <c r="AQ90" s="490">
        <v>4</v>
      </c>
      <c r="AR90" s="471">
        <v>4.99</v>
      </c>
      <c r="AS90" s="490">
        <v>2</v>
      </c>
      <c r="AT90" s="471">
        <v>2.99</v>
      </c>
      <c r="AU90" s="492">
        <v>4</v>
      </c>
      <c r="AV90" s="473">
        <v>5.99</v>
      </c>
      <c r="AW90" s="490">
        <v>2</v>
      </c>
      <c r="AX90" s="471">
        <v>2.99</v>
      </c>
      <c r="AY90" s="490">
        <v>2</v>
      </c>
      <c r="AZ90" s="471">
        <v>2.99</v>
      </c>
      <c r="BA90" s="479"/>
      <c r="BB90" s="479"/>
    </row>
    <row r="91" spans="37:54" ht="15.75" x14ac:dyDescent="0.25">
      <c r="AK91" s="499" t="s">
        <v>577</v>
      </c>
      <c r="AL91" s="432">
        <v>17</v>
      </c>
      <c r="AM91" s="433">
        <v>330</v>
      </c>
      <c r="AN91" s="435"/>
      <c r="AO91" s="488"/>
      <c r="AP91" s="488"/>
      <c r="AQ91" s="488"/>
      <c r="AR91" s="474">
        <v>2.99</v>
      </c>
      <c r="AS91" s="490">
        <v>3</v>
      </c>
      <c r="AT91" s="471">
        <v>3.99</v>
      </c>
      <c r="AU91" s="492">
        <v>5</v>
      </c>
      <c r="AV91" s="475">
        <v>6.99</v>
      </c>
      <c r="AW91" s="491">
        <v>4</v>
      </c>
      <c r="AX91" s="469">
        <v>4.99</v>
      </c>
      <c r="AY91" s="491">
        <v>4</v>
      </c>
      <c r="AZ91" s="469">
        <v>4.99</v>
      </c>
      <c r="BA91" s="488"/>
      <c r="BB91" s="488"/>
    </row>
    <row r="92" spans="37:54" ht="15.75" x14ac:dyDescent="0.25">
      <c r="AK92" s="499" t="s">
        <v>578</v>
      </c>
      <c r="AL92" s="432">
        <v>16</v>
      </c>
      <c r="AM92" s="433">
        <v>329</v>
      </c>
      <c r="AN92" s="435"/>
      <c r="AO92" s="488"/>
      <c r="AP92" s="488"/>
      <c r="AQ92" s="491">
        <v>3</v>
      </c>
      <c r="AR92" s="469">
        <v>3.99</v>
      </c>
      <c r="AS92" s="492">
        <v>4</v>
      </c>
      <c r="AT92" s="475">
        <v>6.99</v>
      </c>
      <c r="AU92" s="488"/>
      <c r="AV92" s="474">
        <v>3.99</v>
      </c>
      <c r="AW92" s="491">
        <v>3</v>
      </c>
      <c r="AX92" s="469">
        <v>3.99</v>
      </c>
      <c r="AY92" s="488"/>
      <c r="AZ92" s="474">
        <v>3.99</v>
      </c>
      <c r="BA92" s="488"/>
      <c r="BB92" s="488"/>
    </row>
    <row r="93" spans="37:54" ht="15.75" x14ac:dyDescent="0.25">
      <c r="AK93" s="499" t="s">
        <v>579</v>
      </c>
      <c r="AL93" s="432">
        <v>16</v>
      </c>
      <c r="AM93" s="433">
        <v>331</v>
      </c>
      <c r="AN93" s="435"/>
      <c r="AO93" s="488"/>
      <c r="AP93" s="488"/>
      <c r="AQ93" s="490">
        <v>2</v>
      </c>
      <c r="AR93" s="471">
        <v>2.99</v>
      </c>
      <c r="AS93" s="491">
        <v>4</v>
      </c>
      <c r="AT93" s="469">
        <v>4.99</v>
      </c>
      <c r="AU93" s="490">
        <v>2</v>
      </c>
      <c r="AV93" s="471">
        <v>2.99</v>
      </c>
      <c r="AW93" s="490">
        <v>3</v>
      </c>
      <c r="AX93" s="471">
        <v>3.99</v>
      </c>
      <c r="AY93" s="492">
        <v>4</v>
      </c>
      <c r="AZ93" s="475">
        <v>6.99</v>
      </c>
      <c r="BA93" s="488"/>
      <c r="BB93" s="488"/>
    </row>
    <row r="94" spans="37:54" ht="15.75" x14ac:dyDescent="0.25">
      <c r="AK94" s="499" t="s">
        <v>580</v>
      </c>
      <c r="AL94" s="432">
        <v>16</v>
      </c>
      <c r="AM94" s="433">
        <v>342</v>
      </c>
      <c r="AN94" s="435"/>
      <c r="AO94" s="488"/>
      <c r="AP94" s="488"/>
      <c r="AQ94" s="492">
        <v>4</v>
      </c>
      <c r="AR94" s="475">
        <v>6.99</v>
      </c>
      <c r="AS94" s="490">
        <v>2</v>
      </c>
      <c r="AT94" s="471">
        <v>2.99</v>
      </c>
      <c r="AU94" s="494">
        <v>2</v>
      </c>
      <c r="AV94" s="495">
        <v>2.99</v>
      </c>
      <c r="AW94" s="491">
        <v>5</v>
      </c>
      <c r="AX94" s="470">
        <v>5.99</v>
      </c>
      <c r="AY94" s="492">
        <v>1</v>
      </c>
      <c r="AZ94" s="474">
        <v>2.99</v>
      </c>
      <c r="BA94" s="488"/>
      <c r="BB94" s="474">
        <v>3.99</v>
      </c>
    </row>
    <row r="95" spans="37:54" ht="15.75" x14ac:dyDescent="0.25">
      <c r="AK95" s="499" t="s">
        <v>581</v>
      </c>
      <c r="AL95" s="432">
        <v>16</v>
      </c>
      <c r="AM95" s="433">
        <v>373</v>
      </c>
      <c r="AN95" s="435"/>
      <c r="AO95" s="479"/>
      <c r="AP95" s="479"/>
      <c r="AQ95" s="491">
        <v>5</v>
      </c>
      <c r="AR95" s="470">
        <v>5.99</v>
      </c>
      <c r="AS95" s="490">
        <v>5</v>
      </c>
      <c r="AT95" s="472">
        <v>5.99</v>
      </c>
      <c r="AU95" s="479"/>
      <c r="AV95" s="474">
        <v>4.99</v>
      </c>
      <c r="AW95" s="479"/>
      <c r="AX95" s="474">
        <v>4.99</v>
      </c>
      <c r="AY95" s="479"/>
      <c r="AZ95" s="474">
        <v>4.99</v>
      </c>
      <c r="BA95" s="479"/>
      <c r="BB95" s="479"/>
    </row>
    <row r="96" spans="37:54" ht="15.75" x14ac:dyDescent="0.25">
      <c r="AK96" s="499" t="s">
        <v>582</v>
      </c>
      <c r="AL96" s="432">
        <v>16</v>
      </c>
      <c r="AM96" s="433">
        <v>390</v>
      </c>
      <c r="AN96" s="435" t="s">
        <v>67</v>
      </c>
      <c r="AO96" s="479"/>
      <c r="AP96" s="479"/>
      <c r="AQ96" s="490">
        <v>1</v>
      </c>
      <c r="AR96" s="471">
        <v>1.99</v>
      </c>
      <c r="AS96" s="490">
        <v>6</v>
      </c>
      <c r="AT96" s="476">
        <v>6.99</v>
      </c>
      <c r="AU96" s="491">
        <v>2</v>
      </c>
      <c r="AV96" s="469">
        <v>2.99</v>
      </c>
      <c r="AW96" s="490">
        <v>5</v>
      </c>
      <c r="AX96" s="472">
        <v>5.99</v>
      </c>
      <c r="AY96" s="491">
        <v>4</v>
      </c>
      <c r="AZ96" s="469">
        <v>4.99</v>
      </c>
      <c r="BA96" s="479"/>
      <c r="BB96" s="474">
        <v>3.99</v>
      </c>
    </row>
    <row r="97" spans="37:54" ht="15.75" x14ac:dyDescent="0.25">
      <c r="AK97" s="499" t="s">
        <v>583</v>
      </c>
      <c r="AL97" s="432">
        <v>16</v>
      </c>
      <c r="AM97" s="433">
        <v>262</v>
      </c>
      <c r="AN97" s="435"/>
      <c r="AO97" s="479"/>
      <c r="AP97" s="479"/>
      <c r="AQ97" s="491">
        <v>6</v>
      </c>
      <c r="AR97" s="483">
        <v>6.99</v>
      </c>
      <c r="AS97" s="494">
        <v>3</v>
      </c>
      <c r="AT97" s="469">
        <v>3.99</v>
      </c>
      <c r="AU97" s="491">
        <v>5</v>
      </c>
      <c r="AV97" s="470">
        <v>5.99</v>
      </c>
      <c r="AW97" s="479"/>
      <c r="AX97" s="474">
        <v>2.99</v>
      </c>
      <c r="AY97" s="492">
        <v>3</v>
      </c>
      <c r="AZ97" s="474">
        <v>4.99</v>
      </c>
      <c r="BA97" s="479"/>
      <c r="BB97" s="479"/>
    </row>
    <row r="98" spans="37:54" ht="15.75" x14ac:dyDescent="0.25">
      <c r="AK98" s="499" t="s">
        <v>584</v>
      </c>
      <c r="AL98" s="432">
        <v>16</v>
      </c>
      <c r="AM98" s="433">
        <v>240</v>
      </c>
      <c r="AN98" s="435" t="s">
        <v>67</v>
      </c>
      <c r="AO98" s="479"/>
      <c r="AP98" s="479"/>
      <c r="AQ98" s="479"/>
      <c r="AR98" s="474">
        <v>2.99</v>
      </c>
      <c r="AS98" s="491">
        <v>5</v>
      </c>
      <c r="AT98" s="470">
        <v>5.99</v>
      </c>
      <c r="AU98" s="490">
        <v>2</v>
      </c>
      <c r="AV98" s="471">
        <v>2.99</v>
      </c>
      <c r="AW98" s="490">
        <v>3</v>
      </c>
      <c r="AX98" s="471">
        <v>3.99</v>
      </c>
      <c r="AY98" s="492">
        <v>3</v>
      </c>
      <c r="AZ98" s="474">
        <v>4.99</v>
      </c>
      <c r="BA98" s="479"/>
      <c r="BB98" s="479"/>
    </row>
    <row r="99" spans="37:54" ht="15.75" x14ac:dyDescent="0.25">
      <c r="AK99" s="499" t="s">
        <v>585</v>
      </c>
      <c r="AL99" s="432">
        <v>16</v>
      </c>
      <c r="AM99" s="433">
        <v>255</v>
      </c>
      <c r="AN99" s="435"/>
      <c r="AO99" s="479"/>
      <c r="AP99" s="474">
        <v>0.99</v>
      </c>
      <c r="AQ99" s="490">
        <v>2</v>
      </c>
      <c r="AR99" s="471">
        <v>2.99</v>
      </c>
      <c r="AS99" s="492">
        <v>5</v>
      </c>
      <c r="AT99" s="475">
        <v>6.99</v>
      </c>
      <c r="AU99" s="494">
        <v>2</v>
      </c>
      <c r="AV99" s="495">
        <v>2.99</v>
      </c>
      <c r="AW99" s="490">
        <v>2</v>
      </c>
      <c r="AX99" s="471">
        <v>2.99</v>
      </c>
      <c r="AY99" s="490">
        <v>2</v>
      </c>
      <c r="AZ99" s="471">
        <v>2.99</v>
      </c>
      <c r="BA99" s="479"/>
      <c r="BB99" s="479"/>
    </row>
    <row r="100" spans="37:54" ht="15.75" x14ac:dyDescent="0.25">
      <c r="AK100" s="499" t="s">
        <v>586</v>
      </c>
      <c r="AL100" s="426">
        <v>18</v>
      </c>
      <c r="AM100" s="427">
        <v>238</v>
      </c>
      <c r="AN100" s="428" t="s">
        <v>94</v>
      </c>
      <c r="AO100" s="488"/>
      <c r="AP100" s="474">
        <v>1.99</v>
      </c>
      <c r="AQ100" s="491">
        <v>4</v>
      </c>
      <c r="AR100" s="469">
        <v>4.99</v>
      </c>
      <c r="AS100" s="490">
        <v>2</v>
      </c>
      <c r="AT100" s="471">
        <v>2.99</v>
      </c>
      <c r="AU100" s="490">
        <v>3</v>
      </c>
      <c r="AV100" s="471">
        <v>3.99</v>
      </c>
      <c r="AW100" s="490">
        <v>1</v>
      </c>
      <c r="AX100" s="471">
        <v>1.99</v>
      </c>
      <c r="AY100" s="492">
        <v>4</v>
      </c>
      <c r="AZ100" s="475">
        <v>6.99</v>
      </c>
      <c r="BA100" s="488"/>
      <c r="BB100" s="488"/>
    </row>
    <row r="101" spans="37:54" ht="15.75" x14ac:dyDescent="0.25">
      <c r="AK101" s="499" t="s">
        <v>587</v>
      </c>
      <c r="AL101" s="432">
        <v>17</v>
      </c>
      <c r="AM101" s="433">
        <v>105</v>
      </c>
      <c r="AN101" s="435" t="s">
        <v>94</v>
      </c>
      <c r="AO101" s="479"/>
      <c r="AP101" s="474">
        <v>1.99</v>
      </c>
      <c r="AQ101" s="490">
        <v>3</v>
      </c>
      <c r="AR101" s="471">
        <v>3.99</v>
      </c>
      <c r="AS101" s="491">
        <v>5</v>
      </c>
      <c r="AT101" s="470">
        <v>5.99</v>
      </c>
      <c r="AU101" s="490">
        <v>4</v>
      </c>
      <c r="AV101" s="471">
        <v>4.99</v>
      </c>
      <c r="AW101" s="490">
        <v>4</v>
      </c>
      <c r="AX101" s="471">
        <v>4.99</v>
      </c>
      <c r="AY101" s="479"/>
      <c r="AZ101" s="474">
        <v>2.99</v>
      </c>
      <c r="BA101" s="479"/>
      <c r="BB101" s="479"/>
    </row>
    <row r="102" spans="37:54" ht="15.75" x14ac:dyDescent="0.25">
      <c r="AK102" s="499" t="s">
        <v>588</v>
      </c>
      <c r="AL102" s="432">
        <v>17</v>
      </c>
      <c r="AM102" s="433">
        <v>181</v>
      </c>
      <c r="AN102" s="435" t="s">
        <v>105</v>
      </c>
      <c r="AO102" s="479"/>
      <c r="AP102" s="479"/>
      <c r="AQ102" s="491">
        <v>5</v>
      </c>
      <c r="AR102" s="470">
        <v>5.99</v>
      </c>
      <c r="AS102" s="491">
        <v>4</v>
      </c>
      <c r="AT102" s="469">
        <v>4.99</v>
      </c>
      <c r="AU102" s="479"/>
      <c r="AV102" s="473">
        <v>5.99</v>
      </c>
      <c r="AW102" s="490">
        <v>3</v>
      </c>
      <c r="AX102" s="471">
        <v>3.99</v>
      </c>
      <c r="AY102" s="479"/>
      <c r="AZ102" s="474">
        <v>2.99</v>
      </c>
      <c r="BA102" s="479"/>
      <c r="BB102" s="479"/>
    </row>
    <row r="103" spans="37:54" ht="15.75" x14ac:dyDescent="0.25">
      <c r="AK103" s="499" t="s">
        <v>589</v>
      </c>
      <c r="AL103" s="432">
        <v>17</v>
      </c>
      <c r="AM103" s="433">
        <v>34</v>
      </c>
      <c r="AN103" s="435" t="s">
        <v>220</v>
      </c>
      <c r="AO103" s="488"/>
      <c r="AP103" s="474">
        <v>0.99</v>
      </c>
      <c r="AQ103" s="490">
        <v>5</v>
      </c>
      <c r="AR103" s="472">
        <v>5.99</v>
      </c>
      <c r="AS103" s="492">
        <v>4</v>
      </c>
      <c r="AT103" s="473">
        <v>5.99</v>
      </c>
      <c r="AU103" s="496">
        <v>6</v>
      </c>
      <c r="AV103" s="497">
        <v>6.99</v>
      </c>
      <c r="AW103" s="488"/>
      <c r="AX103" s="474">
        <v>2.99</v>
      </c>
      <c r="AY103" s="496">
        <v>5</v>
      </c>
      <c r="AZ103" s="498">
        <v>5.99</v>
      </c>
      <c r="BA103" s="488"/>
      <c r="BB103" s="488"/>
    </row>
    <row r="104" spans="37:54" ht="15.75" x14ac:dyDescent="0.25">
      <c r="AK104" s="634" t="s">
        <v>477</v>
      </c>
      <c r="AL104" s="434">
        <v>17</v>
      </c>
      <c r="AM104" s="433">
        <v>51</v>
      </c>
      <c r="AN104" s="435" t="s">
        <v>67</v>
      </c>
      <c r="AO104" s="479"/>
      <c r="AP104" s="479"/>
      <c r="AQ104" s="490">
        <v>5</v>
      </c>
      <c r="AR104" s="472">
        <v>5.99</v>
      </c>
      <c r="AS104" s="491">
        <v>4</v>
      </c>
      <c r="AT104" s="469">
        <v>4.99</v>
      </c>
      <c r="AU104" s="479"/>
      <c r="AV104" s="474">
        <v>2.99</v>
      </c>
      <c r="AW104" s="479"/>
      <c r="AX104" s="474">
        <v>3.99</v>
      </c>
      <c r="AY104" s="494">
        <v>3</v>
      </c>
      <c r="AZ104" s="495">
        <v>3.99</v>
      </c>
      <c r="BA104" s="479"/>
      <c r="BB104" s="479"/>
    </row>
  </sheetData>
  <mergeCells count="7">
    <mergeCell ref="A14:E14"/>
    <mergeCell ref="AK3:AN3"/>
    <mergeCell ref="AO3:BB3"/>
    <mergeCell ref="AK1:AN1"/>
    <mergeCell ref="A1:E1"/>
    <mergeCell ref="A3:E3"/>
    <mergeCell ref="A7:E7"/>
  </mergeCells>
  <conditionalFormatting sqref="E6 E10:E13 E18:E28">
    <cfRule type="cellIs" dxfId="41" priority="2" operator="between">
      <formula>1</formula>
      <formula>50</formula>
    </cfRule>
    <cfRule type="cellIs" dxfId="40" priority="3" operator="greaterThan">
      <formula>50</formula>
    </cfRule>
    <cfRule type="cellIs" dxfId="39" priority="4" operator="lessThan">
      <formula>1</formula>
    </cfRule>
  </conditionalFormatting>
  <conditionalFormatting sqref="W18:W28 W10:W13 W6">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D4547-15E1-488D-8304-2B0EE488951B}">
  <sheetPr>
    <tabColor theme="9" tint="0.59999389629810485"/>
  </sheetPr>
  <dimension ref="A1:AG81"/>
  <sheetViews>
    <sheetView zoomScale="80" zoomScaleNormal="80" workbookViewId="0">
      <pane xSplit="13" ySplit="3" topLeftCell="N4" activePane="bottomRight" state="frozen"/>
      <selection pane="topRight" activeCell="N1" sqref="N1"/>
      <selection pane="bottomLeft" activeCell="A4" sqref="A4"/>
      <selection pane="bottomRight" activeCell="P12" sqref="P12"/>
    </sheetView>
  </sheetViews>
  <sheetFormatPr baseColWidth="10" defaultRowHeight="15" x14ac:dyDescent="0.25"/>
  <cols>
    <col min="1" max="1" width="15.42578125" bestFit="1" customWidth="1"/>
    <col min="2" max="2" width="9.7109375" bestFit="1" customWidth="1"/>
    <col min="3" max="3" width="6" customWidth="1"/>
    <col min="4" max="4" width="16.5703125" bestFit="1" customWidth="1"/>
    <col min="5" max="5" width="18" bestFit="1" customWidth="1"/>
    <col min="6" max="6" width="7.28515625" bestFit="1" customWidth="1"/>
    <col min="7" max="7" width="17.85546875" bestFit="1" customWidth="1"/>
    <col min="8" max="8" width="16.5703125" bestFit="1" customWidth="1"/>
    <col min="9" max="9" width="6.5703125" bestFit="1" customWidth="1"/>
    <col min="10" max="10" width="7.42578125" customWidth="1"/>
    <col min="11" max="11" width="22.5703125" bestFit="1" customWidth="1"/>
    <col min="12" max="12" width="17.42578125" customWidth="1"/>
    <col min="13" max="30" width="18" bestFit="1" customWidth="1"/>
    <col min="32" max="32" width="11" customWidth="1"/>
    <col min="33" max="33" width="13.85546875" bestFit="1" customWidth="1"/>
  </cols>
  <sheetData>
    <row r="1" spans="1:33" ht="21" x14ac:dyDescent="0.35">
      <c r="A1" s="503"/>
      <c r="B1" s="503"/>
      <c r="C1" s="503"/>
      <c r="D1" s="674" t="s">
        <v>671</v>
      </c>
      <c r="E1" s="675"/>
      <c r="F1" s="675"/>
      <c r="G1" s="675"/>
      <c r="H1" s="675"/>
      <c r="I1" s="676"/>
      <c r="K1" s="503"/>
      <c r="L1" s="504"/>
      <c r="M1" s="504"/>
      <c r="N1" s="505">
        <v>43637</v>
      </c>
      <c r="O1" s="505">
        <f t="shared" ref="O1:AD1" si="0">N1+7</f>
        <v>43644</v>
      </c>
      <c r="P1" s="578">
        <f t="shared" si="0"/>
        <v>43651</v>
      </c>
      <c r="Q1" s="505">
        <f t="shared" si="0"/>
        <v>43658</v>
      </c>
      <c r="R1" s="505">
        <f t="shared" si="0"/>
        <v>43665</v>
      </c>
      <c r="S1" s="505">
        <f t="shared" si="0"/>
        <v>43672</v>
      </c>
      <c r="T1" s="505">
        <f t="shared" si="0"/>
        <v>43679</v>
      </c>
      <c r="U1" s="505">
        <f t="shared" si="0"/>
        <v>43686</v>
      </c>
      <c r="V1" s="505">
        <f t="shared" si="0"/>
        <v>43693</v>
      </c>
      <c r="W1" s="505">
        <f t="shared" si="0"/>
        <v>43700</v>
      </c>
      <c r="X1" s="505">
        <f t="shared" si="0"/>
        <v>43707</v>
      </c>
      <c r="Y1" s="505">
        <f t="shared" si="0"/>
        <v>43714</v>
      </c>
      <c r="Z1" s="505">
        <f t="shared" si="0"/>
        <v>43721</v>
      </c>
      <c r="AA1" s="505">
        <f t="shared" si="0"/>
        <v>43728</v>
      </c>
      <c r="AB1" s="505">
        <f t="shared" si="0"/>
        <v>43735</v>
      </c>
      <c r="AC1" s="505">
        <f t="shared" si="0"/>
        <v>43742</v>
      </c>
      <c r="AD1" s="505">
        <f t="shared" si="0"/>
        <v>43749</v>
      </c>
    </row>
    <row r="2" spans="1:33" x14ac:dyDescent="0.25">
      <c r="A2" s="508"/>
      <c r="B2" s="508"/>
      <c r="C2" s="508"/>
      <c r="D2" s="677" t="s">
        <v>609</v>
      </c>
      <c r="E2" s="678"/>
      <c r="F2" s="679"/>
      <c r="G2" s="679"/>
      <c r="H2" s="679"/>
      <c r="I2" s="680"/>
      <c r="K2" s="506"/>
      <c r="L2" s="506"/>
      <c r="M2" s="506" t="s">
        <v>608</v>
      </c>
      <c r="N2" s="507" t="s">
        <v>43</v>
      </c>
      <c r="O2" s="507" t="s">
        <v>28</v>
      </c>
      <c r="P2" s="594" t="s">
        <v>29</v>
      </c>
      <c r="Q2" s="507" t="s">
        <v>30</v>
      </c>
      <c r="R2" s="507" t="s">
        <v>31</v>
      </c>
      <c r="S2" s="507" t="s">
        <v>32</v>
      </c>
      <c r="T2" s="507" t="s">
        <v>33</v>
      </c>
      <c r="U2" s="507" t="s">
        <v>34</v>
      </c>
      <c r="V2" s="507" t="s">
        <v>35</v>
      </c>
      <c r="W2" s="507" t="s">
        <v>36</v>
      </c>
      <c r="X2" s="507" t="s">
        <v>37</v>
      </c>
      <c r="Y2" s="507" t="s">
        <v>38</v>
      </c>
      <c r="Z2" s="507" t="s">
        <v>39</v>
      </c>
      <c r="AA2" s="507" t="s">
        <v>40</v>
      </c>
      <c r="AB2" s="507" t="s">
        <v>41</v>
      </c>
      <c r="AC2" s="507" t="s">
        <v>42</v>
      </c>
      <c r="AD2" s="507" t="s">
        <v>43</v>
      </c>
    </row>
    <row r="3" spans="1:33" ht="18.75" x14ac:dyDescent="0.3">
      <c r="A3" s="511"/>
      <c r="B3" s="511"/>
      <c r="C3" s="511"/>
      <c r="D3" s="681" t="s">
        <v>611</v>
      </c>
      <c r="E3" s="682"/>
      <c r="F3" s="627"/>
      <c r="G3" s="683" t="s">
        <v>612</v>
      </c>
      <c r="H3" s="684"/>
      <c r="I3" s="512"/>
      <c r="K3" s="500"/>
      <c r="L3" s="509"/>
      <c r="M3" s="509" t="s">
        <v>610</v>
      </c>
      <c r="N3" s="510">
        <f>3345+6</f>
        <v>3351</v>
      </c>
      <c r="O3" s="510">
        <v>3345</v>
      </c>
      <c r="P3" s="579">
        <f>O3+O11</f>
        <v>3345</v>
      </c>
      <c r="Q3" s="510">
        <f t="shared" ref="Q3:AD3" si="1">P3+P11</f>
        <v>3435</v>
      </c>
      <c r="R3" s="510">
        <f t="shared" si="1"/>
        <v>3435</v>
      </c>
      <c r="S3" s="510">
        <f t="shared" si="1"/>
        <v>3435</v>
      </c>
      <c r="T3" s="510">
        <f t="shared" si="1"/>
        <v>3435</v>
      </c>
      <c r="U3" s="510">
        <f t="shared" si="1"/>
        <v>3435</v>
      </c>
      <c r="V3" s="510">
        <f t="shared" si="1"/>
        <v>3435</v>
      </c>
      <c r="W3" s="510">
        <f t="shared" si="1"/>
        <v>3435</v>
      </c>
      <c r="X3" s="510">
        <f t="shared" si="1"/>
        <v>3435</v>
      </c>
      <c r="Y3" s="510">
        <f t="shared" si="1"/>
        <v>3435</v>
      </c>
      <c r="Z3" s="510">
        <f t="shared" si="1"/>
        <v>3435</v>
      </c>
      <c r="AA3" s="510">
        <f t="shared" si="1"/>
        <v>3435</v>
      </c>
      <c r="AB3" s="510">
        <f t="shared" si="1"/>
        <v>3435</v>
      </c>
      <c r="AC3" s="510">
        <f t="shared" si="1"/>
        <v>3435</v>
      </c>
      <c r="AD3" s="510">
        <f t="shared" si="1"/>
        <v>3435</v>
      </c>
    </row>
    <row r="4" spans="1:33" ht="18.75" x14ac:dyDescent="0.3">
      <c r="A4" s="511"/>
      <c r="B4" s="511"/>
      <c r="C4" s="511"/>
      <c r="D4" s="521"/>
      <c r="E4" s="531"/>
      <c r="F4" s="563"/>
      <c r="G4" s="517"/>
      <c r="H4" s="563"/>
      <c r="I4" s="518"/>
      <c r="K4" s="595" t="s">
        <v>666</v>
      </c>
      <c r="L4" s="595"/>
      <c r="M4" s="596">
        <f>10164100+500000</f>
        <v>10664100</v>
      </c>
      <c r="N4" s="597">
        <f>M4</f>
        <v>10664100</v>
      </c>
      <c r="O4" s="597">
        <f>N4-N13+N23</f>
        <v>10164100</v>
      </c>
      <c r="P4" s="597">
        <f t="shared" ref="P4:AD4" si="2">O4-O13+O23</f>
        <v>9664100</v>
      </c>
      <c r="Q4" s="597">
        <f t="shared" si="2"/>
        <v>9164100</v>
      </c>
      <c r="R4" s="597">
        <f t="shared" si="2"/>
        <v>8664100</v>
      </c>
      <c r="S4" s="597">
        <f t="shared" si="2"/>
        <v>8164100</v>
      </c>
      <c r="T4" s="597">
        <f t="shared" si="2"/>
        <v>7664100</v>
      </c>
      <c r="U4" s="597">
        <f t="shared" si="2"/>
        <v>7164100</v>
      </c>
      <c r="V4" s="597">
        <f t="shared" si="2"/>
        <v>6664100</v>
      </c>
      <c r="W4" s="597">
        <f t="shared" si="2"/>
        <v>6164100</v>
      </c>
      <c r="X4" s="597">
        <f t="shared" si="2"/>
        <v>5664100</v>
      </c>
      <c r="Y4" s="597">
        <f t="shared" si="2"/>
        <v>5164100</v>
      </c>
      <c r="Z4" s="597">
        <f t="shared" si="2"/>
        <v>4664100</v>
      </c>
      <c r="AA4" s="597">
        <f t="shared" si="2"/>
        <v>4164100</v>
      </c>
      <c r="AB4" s="597">
        <f t="shared" si="2"/>
        <v>3664100</v>
      </c>
      <c r="AC4" s="597">
        <f t="shared" si="2"/>
        <v>3164100</v>
      </c>
      <c r="AD4" s="597">
        <f t="shared" si="2"/>
        <v>2664100</v>
      </c>
    </row>
    <row r="5" spans="1:33" ht="18.75" x14ac:dyDescent="0.3">
      <c r="A5" s="516"/>
      <c r="B5" s="516"/>
      <c r="C5" s="516"/>
      <c r="D5" s="521" t="s">
        <v>615</v>
      </c>
      <c r="E5" s="522">
        <f>SUM(E6:E8)</f>
        <v>8627340</v>
      </c>
      <c r="F5" s="601">
        <f>E5/E35</f>
        <v>0.10992780180137134</v>
      </c>
      <c r="G5" s="521" t="s">
        <v>616</v>
      </c>
      <c r="H5" s="611">
        <f>H6+H7</f>
        <v>63454367</v>
      </c>
      <c r="I5" s="523">
        <f>H5/$H$35</f>
        <v>0.80852256651615417</v>
      </c>
      <c r="K5" s="513" t="s">
        <v>613</v>
      </c>
      <c r="L5" s="513"/>
      <c r="M5" s="514">
        <f>16859431-5919847+1711665-500000</f>
        <v>12151249</v>
      </c>
      <c r="N5" s="515">
        <f>M5</f>
        <v>12151249</v>
      </c>
      <c r="O5" s="515">
        <f t="shared" ref="O5:AD5" si="3">N26</f>
        <v>16853431</v>
      </c>
      <c r="P5" s="515">
        <f t="shared" si="3"/>
        <v>11755916</v>
      </c>
      <c r="Q5" s="515">
        <f t="shared" si="3"/>
        <v>12415332</v>
      </c>
      <c r="R5" s="515">
        <f t="shared" si="3"/>
        <v>13268008</v>
      </c>
      <c r="S5" s="515">
        <f t="shared" si="3"/>
        <v>13830684</v>
      </c>
      <c r="T5" s="515">
        <f t="shared" si="3"/>
        <v>14663360</v>
      </c>
      <c r="U5" s="515">
        <f t="shared" si="3"/>
        <v>15196036</v>
      </c>
      <c r="V5" s="515">
        <f t="shared" si="3"/>
        <v>16028712</v>
      </c>
      <c r="W5" s="515">
        <f t="shared" si="3"/>
        <v>16561388</v>
      </c>
      <c r="X5" s="515">
        <f t="shared" si="3"/>
        <v>17394064</v>
      </c>
      <c r="Y5" s="515">
        <f t="shared" si="3"/>
        <v>17926740</v>
      </c>
      <c r="Z5" s="515">
        <f t="shared" si="3"/>
        <v>18759416</v>
      </c>
      <c r="AA5" s="515">
        <f t="shared" si="3"/>
        <v>19292092</v>
      </c>
      <c r="AB5" s="515">
        <f t="shared" si="3"/>
        <v>20124768</v>
      </c>
      <c r="AC5" s="515">
        <f t="shared" si="3"/>
        <v>20657444</v>
      </c>
      <c r="AD5" s="515">
        <f t="shared" si="3"/>
        <v>21190120</v>
      </c>
    </row>
    <row r="6" spans="1:33" x14ac:dyDescent="0.25">
      <c r="A6" s="519" t="str">
        <f t="shared" ref="A6:A13" si="4">L6</f>
        <v>Taquillas</v>
      </c>
      <c r="B6" s="520">
        <f t="shared" ref="B6:B13" si="5">M6/$M$14</f>
        <v>0.11630772073184584</v>
      </c>
      <c r="D6" s="524" t="s">
        <v>618</v>
      </c>
      <c r="E6" s="525">
        <v>4158040</v>
      </c>
      <c r="F6" s="602">
        <f>E6/E35</f>
        <v>5.2980895270404789E-2</v>
      </c>
      <c r="G6" s="526" t="s">
        <v>619</v>
      </c>
      <c r="H6" s="612">
        <v>300000</v>
      </c>
      <c r="I6" s="527">
        <f>H6/$H$35</f>
        <v>3.8225386434765987E-3</v>
      </c>
      <c r="K6" s="575" t="s">
        <v>614</v>
      </c>
      <c r="L6" s="575" t="s">
        <v>614</v>
      </c>
      <c r="M6" s="592">
        <f t="shared" ref="M6:M25" si="6">SUM(N6:AD6)</f>
        <v>2369503</v>
      </c>
      <c r="N6" s="576">
        <v>27384</v>
      </c>
      <c r="O6" s="576">
        <f>2819+34650</f>
        <v>37469</v>
      </c>
      <c r="P6" s="576">
        <v>34650</v>
      </c>
      <c r="Q6" s="576">
        <v>350000</v>
      </c>
      <c r="R6" s="576">
        <v>60000</v>
      </c>
      <c r="S6" s="576">
        <v>330000</v>
      </c>
      <c r="T6" s="576">
        <v>30000</v>
      </c>
      <c r="U6" s="576">
        <v>330000</v>
      </c>
      <c r="V6" s="576">
        <v>30000</v>
      </c>
      <c r="W6" s="576">
        <v>330000</v>
      </c>
      <c r="X6" s="576">
        <v>30000</v>
      </c>
      <c r="Y6" s="576">
        <v>330000</v>
      </c>
      <c r="Z6" s="576">
        <v>30000</v>
      </c>
      <c r="AA6" s="576">
        <v>330000</v>
      </c>
      <c r="AB6" s="576">
        <v>30000</v>
      </c>
      <c r="AC6" s="576">
        <v>30000</v>
      </c>
      <c r="AD6" s="576">
        <v>30000</v>
      </c>
    </row>
    <row r="7" spans="1:33" x14ac:dyDescent="0.25">
      <c r="A7" s="519" t="str">
        <f t="shared" si="4"/>
        <v>Patrocinadores</v>
      </c>
      <c r="B7" s="520">
        <f t="shared" si="5"/>
        <v>0.18241361751354976</v>
      </c>
      <c r="D7" s="524" t="s">
        <v>622</v>
      </c>
      <c r="E7" s="525">
        <f>1916000+300+2553000</f>
        <v>4469300</v>
      </c>
      <c r="F7" s="602">
        <f>E7/E35</f>
        <v>5.6946906530966547E-2</v>
      </c>
      <c r="G7" s="526" t="s">
        <v>623</v>
      </c>
      <c r="H7" s="612">
        <f>63609618-455251</f>
        <v>63154367</v>
      </c>
      <c r="I7" s="527">
        <f>H7/$H$35</f>
        <v>0.80470002787267758</v>
      </c>
      <c r="K7" s="575" t="s">
        <v>617</v>
      </c>
      <c r="L7" s="575" t="s">
        <v>617</v>
      </c>
      <c r="M7" s="592">
        <f t="shared" si="6"/>
        <v>3716259</v>
      </c>
      <c r="N7" s="577">
        <v>270844</v>
      </c>
      <c r="O7" s="577">
        <v>187040</v>
      </c>
      <c r="P7" s="577">
        <v>224225</v>
      </c>
      <c r="Q7" s="577">
        <f>P7-1000</f>
        <v>223225</v>
      </c>
      <c r="R7" s="577">
        <f t="shared" ref="R7:AD7" si="7">Q7-1000</f>
        <v>222225</v>
      </c>
      <c r="S7" s="577">
        <f t="shared" si="7"/>
        <v>221225</v>
      </c>
      <c r="T7" s="577">
        <f t="shared" si="7"/>
        <v>220225</v>
      </c>
      <c r="U7" s="577">
        <f t="shared" si="7"/>
        <v>219225</v>
      </c>
      <c r="V7" s="577">
        <f t="shared" si="7"/>
        <v>218225</v>
      </c>
      <c r="W7" s="577">
        <f t="shared" si="7"/>
        <v>217225</v>
      </c>
      <c r="X7" s="577">
        <f t="shared" si="7"/>
        <v>216225</v>
      </c>
      <c r="Y7" s="577">
        <f t="shared" si="7"/>
        <v>215225</v>
      </c>
      <c r="Z7" s="577">
        <f t="shared" si="7"/>
        <v>214225</v>
      </c>
      <c r="AA7" s="577">
        <f t="shared" si="7"/>
        <v>213225</v>
      </c>
      <c r="AB7" s="577">
        <f t="shared" si="7"/>
        <v>212225</v>
      </c>
      <c r="AC7" s="577">
        <f t="shared" si="7"/>
        <v>211225</v>
      </c>
      <c r="AD7" s="577">
        <f t="shared" si="7"/>
        <v>210225</v>
      </c>
    </row>
    <row r="8" spans="1:33" x14ac:dyDescent="0.25">
      <c r="A8" s="519" t="str">
        <f t="shared" si="4"/>
        <v>Ventas</v>
      </c>
      <c r="B8" s="520">
        <f t="shared" si="5"/>
        <v>0.19119890111799581</v>
      </c>
      <c r="D8" s="528" t="s">
        <v>625</v>
      </c>
      <c r="E8" s="529">
        <v>0</v>
      </c>
      <c r="F8" s="602">
        <f>E8/E35</f>
        <v>0</v>
      </c>
      <c r="G8" s="532"/>
      <c r="H8" s="610"/>
      <c r="I8" s="523"/>
      <c r="K8" s="575" t="s">
        <v>620</v>
      </c>
      <c r="L8" s="575" t="s">
        <v>621</v>
      </c>
      <c r="M8" s="592">
        <f t="shared" si="6"/>
        <v>3895239</v>
      </c>
      <c r="N8" s="576">
        <f>959086+1751596+1184557</f>
        <v>3895239</v>
      </c>
      <c r="O8" s="576">
        <v>0</v>
      </c>
      <c r="P8" s="576">
        <v>0</v>
      </c>
      <c r="Q8" s="576">
        <v>0</v>
      </c>
      <c r="R8" s="576">
        <v>0</v>
      </c>
      <c r="S8" s="576">
        <v>0</v>
      </c>
      <c r="T8" s="576">
        <v>0</v>
      </c>
      <c r="U8" s="576">
        <v>0</v>
      </c>
      <c r="V8" s="576">
        <v>0</v>
      </c>
      <c r="W8" s="576">
        <v>0</v>
      </c>
      <c r="X8" s="576">
        <v>0</v>
      </c>
      <c r="Y8" s="576">
        <v>0</v>
      </c>
      <c r="Z8" s="576">
        <v>0</v>
      </c>
      <c r="AA8" s="576">
        <v>0</v>
      </c>
      <c r="AB8" s="576">
        <v>0</v>
      </c>
      <c r="AC8" s="576">
        <v>0</v>
      </c>
      <c r="AD8" s="576">
        <v>0</v>
      </c>
      <c r="AF8" s="502"/>
      <c r="AG8" s="502"/>
    </row>
    <row r="9" spans="1:33" x14ac:dyDescent="0.25">
      <c r="A9" s="519" t="str">
        <f t="shared" si="4"/>
        <v>VentasCantera</v>
      </c>
      <c r="B9" s="520">
        <f t="shared" si="5"/>
        <v>2.5320642235744234E-2</v>
      </c>
      <c r="D9" s="530"/>
      <c r="E9" s="531"/>
      <c r="F9" s="601"/>
      <c r="G9" s="532"/>
      <c r="H9" s="610"/>
      <c r="I9" s="523"/>
      <c r="K9" s="575"/>
      <c r="L9" s="575" t="s">
        <v>624</v>
      </c>
      <c r="M9" s="592">
        <f t="shared" si="6"/>
        <v>515850</v>
      </c>
      <c r="N9" s="576">
        <f>515850</f>
        <v>515850</v>
      </c>
      <c r="O9" s="576">
        <v>0</v>
      </c>
      <c r="P9" s="576">
        <v>0</v>
      </c>
      <c r="Q9" s="576">
        <v>0</v>
      </c>
      <c r="R9" s="576">
        <v>0</v>
      </c>
      <c r="S9" s="576">
        <v>0</v>
      </c>
      <c r="T9" s="576">
        <v>0</v>
      </c>
      <c r="U9" s="576">
        <v>0</v>
      </c>
      <c r="V9" s="576">
        <v>0</v>
      </c>
      <c r="W9" s="576">
        <v>0</v>
      </c>
      <c r="X9" s="576">
        <v>0</v>
      </c>
      <c r="Y9" s="576">
        <v>0</v>
      </c>
      <c r="Z9" s="576">
        <v>0</v>
      </c>
      <c r="AA9" s="576">
        <v>0</v>
      </c>
      <c r="AB9" s="576">
        <v>0</v>
      </c>
      <c r="AC9" s="576">
        <v>0</v>
      </c>
      <c r="AD9" s="576">
        <v>0</v>
      </c>
    </row>
    <row r="10" spans="1:33" x14ac:dyDescent="0.25">
      <c r="A10" s="519" t="str">
        <f t="shared" si="4"/>
        <v>Comisiones</v>
      </c>
      <c r="B10" s="520">
        <f t="shared" si="5"/>
        <v>1.1055723279960943E-2</v>
      </c>
      <c r="D10" s="521" t="s">
        <v>668</v>
      </c>
      <c r="E10" s="522">
        <f>E11+E12+E13</f>
        <v>2164100</v>
      </c>
      <c r="F10" s="601">
        <f>E10/E35</f>
        <v>2.757451959449236E-2</v>
      </c>
      <c r="G10" s="521" t="s">
        <v>630</v>
      </c>
      <c r="H10" s="611">
        <f>SUM(H11:H16)</f>
        <v>4226349</v>
      </c>
      <c r="I10" s="523">
        <f t="shared" ref="I10:I16" si="8">H10/$H$35</f>
        <v>5.3851274577728932E-2</v>
      </c>
      <c r="K10" s="575" t="s">
        <v>626</v>
      </c>
      <c r="L10" s="575" t="s">
        <v>626</v>
      </c>
      <c r="M10" s="592">
        <f t="shared" si="6"/>
        <v>225235</v>
      </c>
      <c r="N10" s="577">
        <v>60000</v>
      </c>
      <c r="O10" s="577">
        <f>15320+1915</f>
        <v>17235</v>
      </c>
      <c r="P10" s="577">
        <v>120000</v>
      </c>
      <c r="Q10" s="577">
        <v>2000</v>
      </c>
      <c r="R10" s="577">
        <f t="shared" ref="R10:AD10" si="9">Q10</f>
        <v>2000</v>
      </c>
      <c r="S10" s="577">
        <f t="shared" si="9"/>
        <v>2000</v>
      </c>
      <c r="T10" s="577">
        <f t="shared" si="9"/>
        <v>2000</v>
      </c>
      <c r="U10" s="577">
        <f t="shared" si="9"/>
        <v>2000</v>
      </c>
      <c r="V10" s="577">
        <f t="shared" si="9"/>
        <v>2000</v>
      </c>
      <c r="W10" s="577">
        <f t="shared" si="9"/>
        <v>2000</v>
      </c>
      <c r="X10" s="577">
        <f t="shared" si="9"/>
        <v>2000</v>
      </c>
      <c r="Y10" s="577">
        <f t="shared" si="9"/>
        <v>2000</v>
      </c>
      <c r="Z10" s="577">
        <f t="shared" si="9"/>
        <v>2000</v>
      </c>
      <c r="AA10" s="577">
        <f t="shared" si="9"/>
        <v>2000</v>
      </c>
      <c r="AB10" s="577">
        <f t="shared" si="9"/>
        <v>2000</v>
      </c>
      <c r="AC10" s="577">
        <f t="shared" si="9"/>
        <v>2000</v>
      </c>
      <c r="AD10" s="577">
        <f t="shared" si="9"/>
        <v>2000</v>
      </c>
    </row>
    <row r="11" spans="1:33" x14ac:dyDescent="0.25">
      <c r="A11" s="519" t="str">
        <f t="shared" si="4"/>
        <v>Nuevos Socios</v>
      </c>
      <c r="B11" s="520">
        <f t="shared" si="5"/>
        <v>4.938960980441184E-3</v>
      </c>
      <c r="D11" s="533" t="s">
        <v>673</v>
      </c>
      <c r="E11" s="534">
        <f>N4</f>
        <v>10664100</v>
      </c>
      <c r="F11" s="602">
        <f>E11/E35</f>
        <v>0.13587978115966265</v>
      </c>
      <c r="G11" s="556" t="s">
        <v>633</v>
      </c>
      <c r="H11" s="624">
        <v>0</v>
      </c>
      <c r="I11" s="527">
        <f t="shared" si="8"/>
        <v>0</v>
      </c>
      <c r="K11" s="665" t="s">
        <v>627</v>
      </c>
      <c r="L11" s="575" t="s">
        <v>628</v>
      </c>
      <c r="M11" s="592">
        <f t="shared" si="6"/>
        <v>100620</v>
      </c>
      <c r="N11" s="577">
        <v>100530</v>
      </c>
      <c r="O11" s="577">
        <v>0</v>
      </c>
      <c r="P11" s="577">
        <f>30+60</f>
        <v>90</v>
      </c>
      <c r="Q11" s="577">
        <v>0</v>
      </c>
      <c r="R11" s="577">
        <f t="shared" ref="R11:AD11" si="10">Q11</f>
        <v>0</v>
      </c>
      <c r="S11" s="577">
        <f t="shared" si="10"/>
        <v>0</v>
      </c>
      <c r="T11" s="577">
        <f t="shared" si="10"/>
        <v>0</v>
      </c>
      <c r="U11" s="577">
        <f t="shared" si="10"/>
        <v>0</v>
      </c>
      <c r="V11" s="577">
        <f t="shared" si="10"/>
        <v>0</v>
      </c>
      <c r="W11" s="577">
        <f t="shared" si="10"/>
        <v>0</v>
      </c>
      <c r="X11" s="577">
        <f t="shared" si="10"/>
        <v>0</v>
      </c>
      <c r="Y11" s="577">
        <f t="shared" si="10"/>
        <v>0</v>
      </c>
      <c r="Z11" s="577">
        <f t="shared" si="10"/>
        <v>0</v>
      </c>
      <c r="AA11" s="577">
        <f t="shared" si="10"/>
        <v>0</v>
      </c>
      <c r="AB11" s="577">
        <f t="shared" si="10"/>
        <v>0</v>
      </c>
      <c r="AC11" s="577">
        <f t="shared" si="10"/>
        <v>0</v>
      </c>
      <c r="AD11" s="577">
        <f t="shared" si="10"/>
        <v>0</v>
      </c>
    </row>
    <row r="12" spans="1:33" x14ac:dyDescent="0.25">
      <c r="A12" s="519" t="str">
        <f t="shared" si="4"/>
        <v>Premios</v>
      </c>
      <c r="B12" s="520">
        <f t="shared" si="5"/>
        <v>5.1539545114919934E-2</v>
      </c>
      <c r="D12" s="533" t="str">
        <f>L13</f>
        <v>Ing Reservas</v>
      </c>
      <c r="E12" s="534">
        <f>M13*-1</f>
        <v>-8500000</v>
      </c>
      <c r="F12" s="602">
        <f>E12/E35</f>
        <v>-0.1083052615651703</v>
      </c>
      <c r="G12" s="625" t="s">
        <v>635</v>
      </c>
      <c r="H12" s="626">
        <v>0</v>
      </c>
      <c r="I12" s="600">
        <f t="shared" si="8"/>
        <v>0</v>
      </c>
      <c r="K12" s="666"/>
      <c r="L12" s="575" t="s">
        <v>631</v>
      </c>
      <c r="M12" s="592">
        <f t="shared" si="6"/>
        <v>1050000</v>
      </c>
      <c r="N12" s="577">
        <v>1050000</v>
      </c>
      <c r="O12" s="577">
        <v>0</v>
      </c>
      <c r="P12" s="577">
        <v>0</v>
      </c>
      <c r="Q12" s="577">
        <v>0</v>
      </c>
      <c r="R12" s="577">
        <v>0</v>
      </c>
      <c r="S12" s="577">
        <v>0</v>
      </c>
      <c r="T12" s="577">
        <v>0</v>
      </c>
      <c r="U12" s="577">
        <v>0</v>
      </c>
      <c r="V12" s="577">
        <v>0</v>
      </c>
      <c r="W12" s="577">
        <v>0</v>
      </c>
      <c r="X12" s="577">
        <v>0</v>
      </c>
      <c r="Y12" s="577">
        <v>0</v>
      </c>
      <c r="Z12" s="577">
        <v>0</v>
      </c>
      <c r="AA12" s="577">
        <v>0</v>
      </c>
      <c r="AB12" s="577">
        <v>0</v>
      </c>
      <c r="AC12" s="577">
        <v>0</v>
      </c>
      <c r="AD12" s="577">
        <v>0</v>
      </c>
    </row>
    <row r="13" spans="1:33" s="591" customFormat="1" ht="18.75" x14ac:dyDescent="0.3">
      <c r="A13" s="519" t="str">
        <f t="shared" si="4"/>
        <v>Ing Reservas</v>
      </c>
      <c r="B13" s="520">
        <f t="shared" si="5"/>
        <v>0.41722488902554233</v>
      </c>
      <c r="C13" s="589"/>
      <c r="D13" s="533" t="str">
        <f>L23</f>
        <v>Pago Reservas</v>
      </c>
      <c r="E13" s="534">
        <f>M23</f>
        <v>0</v>
      </c>
      <c r="F13" s="602">
        <f>E13/E35</f>
        <v>0</v>
      </c>
      <c r="G13" s="556" t="s">
        <v>638</v>
      </c>
      <c r="H13" s="624">
        <f>515850</f>
        <v>515850</v>
      </c>
      <c r="I13" s="527">
        <f t="shared" si="8"/>
        <v>6.5728551974580116E-3</v>
      </c>
      <c r="K13" s="667"/>
      <c r="L13" s="575" t="s">
        <v>669</v>
      </c>
      <c r="M13" s="592">
        <f t="shared" si="6"/>
        <v>8500000</v>
      </c>
      <c r="N13" s="577">
        <v>500000</v>
      </c>
      <c r="O13" s="577">
        <f>N13</f>
        <v>500000</v>
      </c>
      <c r="P13" s="577">
        <f t="shared" ref="P13:AD13" si="11">O13</f>
        <v>500000</v>
      </c>
      <c r="Q13" s="577">
        <f t="shared" si="11"/>
        <v>500000</v>
      </c>
      <c r="R13" s="577">
        <f t="shared" si="11"/>
        <v>500000</v>
      </c>
      <c r="S13" s="577">
        <f t="shared" si="11"/>
        <v>500000</v>
      </c>
      <c r="T13" s="577">
        <f t="shared" si="11"/>
        <v>500000</v>
      </c>
      <c r="U13" s="577">
        <f t="shared" si="11"/>
        <v>500000</v>
      </c>
      <c r="V13" s="577">
        <f t="shared" si="11"/>
        <v>500000</v>
      </c>
      <c r="W13" s="577">
        <f t="shared" si="11"/>
        <v>500000</v>
      </c>
      <c r="X13" s="577">
        <f t="shared" si="11"/>
        <v>500000</v>
      </c>
      <c r="Y13" s="577">
        <f t="shared" si="11"/>
        <v>500000</v>
      </c>
      <c r="Z13" s="577">
        <f t="shared" si="11"/>
        <v>500000</v>
      </c>
      <c r="AA13" s="577">
        <f t="shared" si="11"/>
        <v>500000</v>
      </c>
      <c r="AB13" s="577">
        <f t="shared" si="11"/>
        <v>500000</v>
      </c>
      <c r="AC13" s="577">
        <f t="shared" si="11"/>
        <v>500000</v>
      </c>
      <c r="AD13" s="577">
        <f t="shared" si="11"/>
        <v>500000</v>
      </c>
    </row>
    <row r="14" spans="1:33" ht="18.75" x14ac:dyDescent="0.3">
      <c r="A14" s="589"/>
      <c r="B14" s="590">
        <f>SUM(B6:B13)</f>
        <v>1</v>
      </c>
      <c r="D14" s="530"/>
      <c r="E14" s="604"/>
      <c r="G14" s="556" t="s">
        <v>641</v>
      </c>
      <c r="H14" s="624">
        <f>959086-941000-910+1751596-1140-1841100+1184557-1900-1169788</f>
        <v>-60599</v>
      </c>
      <c r="I14" s="527">
        <f t="shared" si="8"/>
        <v>-7.721400641867947E-4</v>
      </c>
      <c r="K14" s="586" t="s">
        <v>634</v>
      </c>
      <c r="L14" s="587"/>
      <c r="M14" s="593">
        <f t="shared" si="6"/>
        <v>20372706</v>
      </c>
      <c r="N14" s="588">
        <f>SUM(N6:N13)</f>
        <v>6419847</v>
      </c>
      <c r="O14" s="588">
        <f t="shared" ref="O14:AD14" si="12">SUM(O6:O13)</f>
        <v>741744</v>
      </c>
      <c r="P14" s="588">
        <f t="shared" si="12"/>
        <v>878965</v>
      </c>
      <c r="Q14" s="588">
        <f t="shared" si="12"/>
        <v>1075225</v>
      </c>
      <c r="R14" s="588">
        <f t="shared" si="12"/>
        <v>784225</v>
      </c>
      <c r="S14" s="588">
        <f t="shared" si="12"/>
        <v>1053225</v>
      </c>
      <c r="T14" s="588">
        <f t="shared" si="12"/>
        <v>752225</v>
      </c>
      <c r="U14" s="588">
        <f t="shared" si="12"/>
        <v>1051225</v>
      </c>
      <c r="V14" s="588">
        <f t="shared" si="12"/>
        <v>750225</v>
      </c>
      <c r="W14" s="588">
        <f t="shared" si="12"/>
        <v>1049225</v>
      </c>
      <c r="X14" s="588">
        <f t="shared" si="12"/>
        <v>748225</v>
      </c>
      <c r="Y14" s="588">
        <f t="shared" si="12"/>
        <v>1047225</v>
      </c>
      <c r="Z14" s="588">
        <f t="shared" si="12"/>
        <v>746225</v>
      </c>
      <c r="AA14" s="588">
        <f t="shared" si="12"/>
        <v>1045225</v>
      </c>
      <c r="AB14" s="588">
        <f t="shared" si="12"/>
        <v>744225</v>
      </c>
      <c r="AC14" s="588">
        <f t="shared" si="12"/>
        <v>743225</v>
      </c>
      <c r="AD14" s="588">
        <f t="shared" si="12"/>
        <v>742225</v>
      </c>
    </row>
    <row r="15" spans="1:33" ht="18.75" x14ac:dyDescent="0.3">
      <c r="A15" s="685">
        <f>M14</f>
        <v>20372706</v>
      </c>
      <c r="B15" s="685"/>
      <c r="D15" s="521" t="s">
        <v>629</v>
      </c>
      <c r="E15" s="522">
        <f>SUM(E16:E19)</f>
        <v>35166480</v>
      </c>
      <c r="F15" s="601">
        <f>E15/E35</f>
        <v>0.44808409585015646</v>
      </c>
      <c r="G15" s="556" t="s">
        <v>643</v>
      </c>
      <c r="H15" s="624">
        <v>0</v>
      </c>
      <c r="I15" s="527">
        <f t="shared" si="8"/>
        <v>0</v>
      </c>
      <c r="K15" s="582" t="s">
        <v>636</v>
      </c>
      <c r="L15" s="583" t="str">
        <f>K15</f>
        <v>Sueldos</v>
      </c>
      <c r="M15" s="535">
        <f t="shared" si="6"/>
        <v>1335110</v>
      </c>
      <c r="N15" s="580">
        <v>82664</v>
      </c>
      <c r="O15" s="580">
        <v>79866</v>
      </c>
      <c r="P15" s="580">
        <v>85172</v>
      </c>
      <c r="Q15" s="580">
        <f t="shared" ref="Q15:AD15" si="13">P15-1000</f>
        <v>84172</v>
      </c>
      <c r="R15" s="580">
        <f t="shared" si="13"/>
        <v>83172</v>
      </c>
      <c r="S15" s="580">
        <f t="shared" si="13"/>
        <v>82172</v>
      </c>
      <c r="T15" s="580">
        <f t="shared" si="13"/>
        <v>81172</v>
      </c>
      <c r="U15" s="580">
        <f t="shared" si="13"/>
        <v>80172</v>
      </c>
      <c r="V15" s="580">
        <f t="shared" si="13"/>
        <v>79172</v>
      </c>
      <c r="W15" s="580">
        <f t="shared" si="13"/>
        <v>78172</v>
      </c>
      <c r="X15" s="580">
        <f t="shared" si="13"/>
        <v>77172</v>
      </c>
      <c r="Y15" s="580">
        <f t="shared" si="13"/>
        <v>76172</v>
      </c>
      <c r="Z15" s="580">
        <f t="shared" si="13"/>
        <v>75172</v>
      </c>
      <c r="AA15" s="580">
        <f t="shared" si="13"/>
        <v>74172</v>
      </c>
      <c r="AB15" s="580">
        <f t="shared" si="13"/>
        <v>73172</v>
      </c>
      <c r="AC15" s="580">
        <f t="shared" si="13"/>
        <v>72172</v>
      </c>
      <c r="AD15" s="580">
        <f t="shared" si="13"/>
        <v>71172</v>
      </c>
    </row>
    <row r="16" spans="1:33" x14ac:dyDescent="0.25">
      <c r="D16" s="533" t="s">
        <v>632</v>
      </c>
      <c r="E16" s="534">
        <v>0</v>
      </c>
      <c r="F16" s="602">
        <f>E16/E35</f>
        <v>0</v>
      </c>
      <c r="G16" s="619" t="s">
        <v>645</v>
      </c>
      <c r="H16" s="613">
        <f>E29-H26</f>
        <v>3771098</v>
      </c>
      <c r="I16" s="527">
        <f t="shared" si="8"/>
        <v>4.805055944445772E-2</v>
      </c>
      <c r="K16" s="582" t="s">
        <v>639</v>
      </c>
      <c r="L16" s="583" t="str">
        <f>K16</f>
        <v xml:space="preserve">Mantenimiento </v>
      </c>
      <c r="M16" s="535">
        <f t="shared" si="6"/>
        <v>834649</v>
      </c>
      <c r="N16" s="580">
        <v>49097</v>
      </c>
      <c r="O16" s="580">
        <f>N16</f>
        <v>49097</v>
      </c>
      <c r="P16" s="580">
        <f t="shared" ref="P16:AD16" si="14">O16</f>
        <v>49097</v>
      </c>
      <c r="Q16" s="580">
        <f t="shared" si="14"/>
        <v>49097</v>
      </c>
      <c r="R16" s="580">
        <f t="shared" si="14"/>
        <v>49097</v>
      </c>
      <c r="S16" s="580">
        <f t="shared" si="14"/>
        <v>49097</v>
      </c>
      <c r="T16" s="580">
        <f t="shared" si="14"/>
        <v>49097</v>
      </c>
      <c r="U16" s="580">
        <f t="shared" si="14"/>
        <v>49097</v>
      </c>
      <c r="V16" s="580">
        <f t="shared" si="14"/>
        <v>49097</v>
      </c>
      <c r="W16" s="580">
        <f t="shared" si="14"/>
        <v>49097</v>
      </c>
      <c r="X16" s="580">
        <f t="shared" si="14"/>
        <v>49097</v>
      </c>
      <c r="Y16" s="580">
        <f t="shared" si="14"/>
        <v>49097</v>
      </c>
      <c r="Z16" s="580">
        <f t="shared" si="14"/>
        <v>49097</v>
      </c>
      <c r="AA16" s="580">
        <f t="shared" si="14"/>
        <v>49097</v>
      </c>
      <c r="AB16" s="580">
        <f t="shared" si="14"/>
        <v>49097</v>
      </c>
      <c r="AC16" s="580">
        <f t="shared" si="14"/>
        <v>49097</v>
      </c>
      <c r="AD16" s="580">
        <f t="shared" si="14"/>
        <v>49097</v>
      </c>
    </row>
    <row r="17" spans="1:30" ht="15.75" customHeight="1" x14ac:dyDescent="0.25">
      <c r="D17" s="598" t="s">
        <v>629</v>
      </c>
      <c r="E17" s="599">
        <f>11662680+35000</f>
        <v>11697680</v>
      </c>
      <c r="F17" s="603">
        <f>E17/E35</f>
        <v>0.14904944613007781</v>
      </c>
      <c r="G17" s="530"/>
      <c r="H17" s="610"/>
      <c r="I17" s="539"/>
      <c r="K17" s="582" t="s">
        <v>642</v>
      </c>
      <c r="L17" s="583" t="s">
        <v>618</v>
      </c>
      <c r="M17" s="535">
        <f t="shared" si="6"/>
        <v>0</v>
      </c>
      <c r="N17" s="580">
        <v>0</v>
      </c>
      <c r="O17" s="580">
        <v>0</v>
      </c>
      <c r="P17" s="580">
        <v>0</v>
      </c>
      <c r="Q17" s="580">
        <v>0</v>
      </c>
      <c r="R17" s="580">
        <v>0</v>
      </c>
      <c r="S17" s="580">
        <v>0</v>
      </c>
      <c r="T17" s="580">
        <v>0</v>
      </c>
      <c r="U17" s="580">
        <v>0</v>
      </c>
      <c r="V17" s="580">
        <v>0</v>
      </c>
      <c r="W17" s="580">
        <v>0</v>
      </c>
      <c r="X17" s="580">
        <v>0</v>
      </c>
      <c r="Y17" s="580">
        <v>0</v>
      </c>
      <c r="Z17" s="580">
        <v>0</v>
      </c>
      <c r="AA17" s="580">
        <v>0</v>
      </c>
      <c r="AB17" s="580">
        <v>0</v>
      </c>
      <c r="AC17" s="580">
        <v>0</v>
      </c>
      <c r="AD17" s="580">
        <v>0</v>
      </c>
    </row>
    <row r="18" spans="1:30" x14ac:dyDescent="0.25">
      <c r="D18" s="533" t="s">
        <v>637</v>
      </c>
      <c r="E18" s="534">
        <f>3852540+924+1308000+870+4689000+1490+1887000+1044+740000+948+2327000+684</f>
        <v>14809500</v>
      </c>
      <c r="F18" s="602">
        <f>E18/E35</f>
        <v>0.18869962013522232</v>
      </c>
      <c r="G18" s="521" t="s">
        <v>649</v>
      </c>
      <c r="H18" s="614">
        <f>H19</f>
        <v>7110640</v>
      </c>
      <c r="I18" s="523">
        <f>H18/$H$35</f>
        <v>9.0602320599501476E-2</v>
      </c>
      <c r="K18" s="582" t="s">
        <v>644</v>
      </c>
      <c r="L18" s="583" t="str">
        <f>K18</f>
        <v>Empleados</v>
      </c>
      <c r="M18" s="535">
        <f t="shared" si="6"/>
        <v>1109760</v>
      </c>
      <c r="N18" s="580">
        <v>65280</v>
      </c>
      <c r="O18" s="580">
        <f>N18</f>
        <v>65280</v>
      </c>
      <c r="P18" s="580">
        <f t="shared" ref="P18:AD18" si="15">O18</f>
        <v>65280</v>
      </c>
      <c r="Q18" s="580">
        <f t="shared" si="15"/>
        <v>65280</v>
      </c>
      <c r="R18" s="580">
        <f t="shared" si="15"/>
        <v>65280</v>
      </c>
      <c r="S18" s="580">
        <f t="shared" si="15"/>
        <v>65280</v>
      </c>
      <c r="T18" s="580">
        <f t="shared" si="15"/>
        <v>65280</v>
      </c>
      <c r="U18" s="580">
        <f t="shared" si="15"/>
        <v>65280</v>
      </c>
      <c r="V18" s="580">
        <f t="shared" si="15"/>
        <v>65280</v>
      </c>
      <c r="W18" s="580">
        <f t="shared" si="15"/>
        <v>65280</v>
      </c>
      <c r="X18" s="580">
        <f t="shared" si="15"/>
        <v>65280</v>
      </c>
      <c r="Y18" s="580">
        <f t="shared" si="15"/>
        <v>65280</v>
      </c>
      <c r="Z18" s="580">
        <f t="shared" si="15"/>
        <v>65280</v>
      </c>
      <c r="AA18" s="580">
        <f t="shared" si="15"/>
        <v>65280</v>
      </c>
      <c r="AB18" s="580">
        <f t="shared" si="15"/>
        <v>65280</v>
      </c>
      <c r="AC18" s="580">
        <f t="shared" si="15"/>
        <v>65280</v>
      </c>
      <c r="AD18" s="580">
        <f t="shared" si="15"/>
        <v>65280</v>
      </c>
    </row>
    <row r="19" spans="1:30" x14ac:dyDescent="0.25">
      <c r="D19" s="533" t="s">
        <v>640</v>
      </c>
      <c r="E19" s="534">
        <f>1486140+2484+1548000+660+3600000+3132+2017000+1884</f>
        <v>8659300</v>
      </c>
      <c r="F19" s="602">
        <f>E19/E35</f>
        <v>0.11033502958485637</v>
      </c>
      <c r="G19" s="540" t="s">
        <v>648</v>
      </c>
      <c r="H19" s="615">
        <f>M20</f>
        <v>7110640</v>
      </c>
      <c r="I19" s="527">
        <f>H19/$H$35</f>
        <v>9.0602320599501476E-2</v>
      </c>
      <c r="K19" s="582" t="s">
        <v>646</v>
      </c>
      <c r="L19" s="583" t="str">
        <f>K19</f>
        <v>Juveniles</v>
      </c>
      <c r="M19" s="535">
        <f t="shared" si="6"/>
        <v>340000</v>
      </c>
      <c r="N19" s="580">
        <v>20000</v>
      </c>
      <c r="O19" s="580">
        <f>N19</f>
        <v>20000</v>
      </c>
      <c r="P19" s="580">
        <f t="shared" ref="P19:AD19" si="16">O19</f>
        <v>20000</v>
      </c>
      <c r="Q19" s="580">
        <f t="shared" si="16"/>
        <v>20000</v>
      </c>
      <c r="R19" s="580">
        <f t="shared" si="16"/>
        <v>20000</v>
      </c>
      <c r="S19" s="580">
        <f t="shared" si="16"/>
        <v>20000</v>
      </c>
      <c r="T19" s="580">
        <f t="shared" si="16"/>
        <v>20000</v>
      </c>
      <c r="U19" s="580">
        <f t="shared" si="16"/>
        <v>20000</v>
      </c>
      <c r="V19" s="580">
        <f t="shared" si="16"/>
        <v>20000</v>
      </c>
      <c r="W19" s="580">
        <f t="shared" si="16"/>
        <v>20000</v>
      </c>
      <c r="X19" s="580">
        <f t="shared" si="16"/>
        <v>20000</v>
      </c>
      <c r="Y19" s="580">
        <f t="shared" si="16"/>
        <v>20000</v>
      </c>
      <c r="Z19" s="580">
        <f t="shared" si="16"/>
        <v>20000</v>
      </c>
      <c r="AA19" s="580">
        <f t="shared" si="16"/>
        <v>20000</v>
      </c>
      <c r="AB19" s="580">
        <f t="shared" si="16"/>
        <v>20000</v>
      </c>
      <c r="AC19" s="580">
        <f t="shared" si="16"/>
        <v>20000</v>
      </c>
      <c r="AD19" s="580">
        <f t="shared" si="16"/>
        <v>20000</v>
      </c>
    </row>
    <row r="20" spans="1:30" x14ac:dyDescent="0.25">
      <c r="D20" s="530"/>
      <c r="E20" s="604"/>
      <c r="F20" s="607"/>
      <c r="G20" s="536"/>
      <c r="H20" s="616"/>
      <c r="I20" s="541"/>
      <c r="K20" s="582" t="s">
        <v>647</v>
      </c>
      <c r="L20" s="583" t="s">
        <v>648</v>
      </c>
      <c r="M20" s="535">
        <f t="shared" si="6"/>
        <v>7110640</v>
      </c>
      <c r="N20" s="580">
        <f>1486140+2484</f>
        <v>1488624</v>
      </c>
      <c r="O20" s="580">
        <f>3600000+3132+2017000+1884</f>
        <v>5622016</v>
      </c>
      <c r="P20" s="580">
        <v>0</v>
      </c>
      <c r="Q20" s="580">
        <f t="shared" ref="Q20:AD20" si="17">P20</f>
        <v>0</v>
      </c>
      <c r="R20" s="580">
        <f t="shared" si="17"/>
        <v>0</v>
      </c>
      <c r="S20" s="580">
        <f t="shared" si="17"/>
        <v>0</v>
      </c>
      <c r="T20" s="580">
        <f t="shared" si="17"/>
        <v>0</v>
      </c>
      <c r="U20" s="580">
        <f t="shared" si="17"/>
        <v>0</v>
      </c>
      <c r="V20" s="580">
        <f t="shared" si="17"/>
        <v>0</v>
      </c>
      <c r="W20" s="580">
        <f t="shared" si="17"/>
        <v>0</v>
      </c>
      <c r="X20" s="580">
        <f t="shared" si="17"/>
        <v>0</v>
      </c>
      <c r="Y20" s="580">
        <f t="shared" si="17"/>
        <v>0</v>
      </c>
      <c r="Z20" s="580">
        <f t="shared" si="17"/>
        <v>0</v>
      </c>
      <c r="AA20" s="580">
        <f t="shared" si="17"/>
        <v>0</v>
      </c>
      <c r="AB20" s="580">
        <f t="shared" si="17"/>
        <v>0</v>
      </c>
      <c r="AC20" s="580">
        <f t="shared" si="17"/>
        <v>0</v>
      </c>
      <c r="AD20" s="580">
        <f t="shared" si="17"/>
        <v>0</v>
      </c>
    </row>
    <row r="21" spans="1:30" x14ac:dyDescent="0.25">
      <c r="D21" s="521" t="s">
        <v>621</v>
      </c>
      <c r="E21" s="538">
        <f>E22</f>
        <v>4411089</v>
      </c>
      <c r="F21" s="601">
        <f>E21/E35</f>
        <v>5.6205193874381824E-2</v>
      </c>
      <c r="G21" s="536"/>
      <c r="H21" s="616"/>
      <c r="I21" s="541"/>
      <c r="K21" s="668" t="s">
        <v>627</v>
      </c>
      <c r="L21" s="583" t="s">
        <v>622</v>
      </c>
      <c r="M21" s="535">
        <f t="shared" si="6"/>
        <v>0</v>
      </c>
      <c r="N21" s="580">
        <v>0</v>
      </c>
      <c r="O21" s="580">
        <f>N21</f>
        <v>0</v>
      </c>
      <c r="P21" s="580">
        <f t="shared" ref="P21:AD21" si="18">O21</f>
        <v>0</v>
      </c>
      <c r="Q21" s="580">
        <f t="shared" si="18"/>
        <v>0</v>
      </c>
      <c r="R21" s="580">
        <f t="shared" si="18"/>
        <v>0</v>
      </c>
      <c r="S21" s="580">
        <f t="shared" si="18"/>
        <v>0</v>
      </c>
      <c r="T21" s="580">
        <f t="shared" si="18"/>
        <v>0</v>
      </c>
      <c r="U21" s="580">
        <f t="shared" si="18"/>
        <v>0</v>
      </c>
      <c r="V21" s="580">
        <f t="shared" si="18"/>
        <v>0</v>
      </c>
      <c r="W21" s="580">
        <f t="shared" si="18"/>
        <v>0</v>
      </c>
      <c r="X21" s="580">
        <f t="shared" si="18"/>
        <v>0</v>
      </c>
      <c r="Y21" s="580">
        <f t="shared" si="18"/>
        <v>0</v>
      </c>
      <c r="Z21" s="580">
        <f t="shared" si="18"/>
        <v>0</v>
      </c>
      <c r="AA21" s="580">
        <f t="shared" si="18"/>
        <v>0</v>
      </c>
      <c r="AB21" s="580">
        <f t="shared" si="18"/>
        <v>0</v>
      </c>
      <c r="AC21" s="580">
        <f t="shared" si="18"/>
        <v>0</v>
      </c>
      <c r="AD21" s="580">
        <f t="shared" si="18"/>
        <v>0</v>
      </c>
    </row>
    <row r="22" spans="1:30" x14ac:dyDescent="0.25">
      <c r="D22" s="533" t="s">
        <v>621</v>
      </c>
      <c r="E22" s="534">
        <f>M8+M9</f>
        <v>4411089</v>
      </c>
      <c r="F22" s="602">
        <f>E22/E35</f>
        <v>5.6205193874381824E-2</v>
      </c>
      <c r="G22" s="521" t="s">
        <v>653</v>
      </c>
      <c r="H22" s="611">
        <f>SUM(H23:H24)</f>
        <v>0</v>
      </c>
      <c r="I22" s="523">
        <f>H22/$H$35</f>
        <v>0</v>
      </c>
      <c r="K22" s="669"/>
      <c r="L22" s="583" t="s">
        <v>650</v>
      </c>
      <c r="M22" s="535">
        <f t="shared" si="6"/>
        <v>71000</v>
      </c>
      <c r="N22" s="580">
        <v>12000</v>
      </c>
      <c r="O22" s="580">
        <v>3000</v>
      </c>
      <c r="P22" s="580">
        <v>0</v>
      </c>
      <c r="Q22" s="580">
        <v>4000</v>
      </c>
      <c r="R22" s="580">
        <f t="shared" ref="R22:AD22" si="19">Q22</f>
        <v>4000</v>
      </c>
      <c r="S22" s="580">
        <f t="shared" si="19"/>
        <v>4000</v>
      </c>
      <c r="T22" s="580">
        <f t="shared" si="19"/>
        <v>4000</v>
      </c>
      <c r="U22" s="580">
        <f t="shared" si="19"/>
        <v>4000</v>
      </c>
      <c r="V22" s="580">
        <f t="shared" si="19"/>
        <v>4000</v>
      </c>
      <c r="W22" s="580">
        <f t="shared" si="19"/>
        <v>4000</v>
      </c>
      <c r="X22" s="580">
        <f t="shared" si="19"/>
        <v>4000</v>
      </c>
      <c r="Y22" s="580">
        <f t="shared" si="19"/>
        <v>4000</v>
      </c>
      <c r="Z22" s="580">
        <f t="shared" si="19"/>
        <v>4000</v>
      </c>
      <c r="AA22" s="580">
        <f t="shared" si="19"/>
        <v>4000</v>
      </c>
      <c r="AB22" s="580">
        <f t="shared" si="19"/>
        <v>4000</v>
      </c>
      <c r="AC22" s="580">
        <f t="shared" si="19"/>
        <v>4000</v>
      </c>
      <c r="AD22" s="580">
        <f t="shared" si="19"/>
        <v>4000</v>
      </c>
    </row>
    <row r="23" spans="1:30" ht="18.75" x14ac:dyDescent="0.3">
      <c r="C23" s="543"/>
      <c r="D23" s="530"/>
      <c r="E23" s="604"/>
      <c r="F23" s="607"/>
      <c r="G23" s="540" t="s">
        <v>618</v>
      </c>
      <c r="H23" s="617">
        <f>M17</f>
        <v>0</v>
      </c>
      <c r="I23" s="527">
        <f>H23/$H$35</f>
        <v>0</v>
      </c>
      <c r="K23" s="670"/>
      <c r="L23" s="583" t="s">
        <v>667</v>
      </c>
      <c r="M23" s="535">
        <f t="shared" si="6"/>
        <v>0</v>
      </c>
      <c r="N23" s="580">
        <v>0</v>
      </c>
      <c r="O23" s="580">
        <f>N23</f>
        <v>0</v>
      </c>
      <c r="P23" s="580">
        <f t="shared" ref="P23:AD24" si="20">O23</f>
        <v>0</v>
      </c>
      <c r="Q23" s="580">
        <f t="shared" si="20"/>
        <v>0</v>
      </c>
      <c r="R23" s="580">
        <f t="shared" si="20"/>
        <v>0</v>
      </c>
      <c r="S23" s="580">
        <f t="shared" si="20"/>
        <v>0</v>
      </c>
      <c r="T23" s="580">
        <f t="shared" si="20"/>
        <v>0</v>
      </c>
      <c r="U23" s="580">
        <f t="shared" si="20"/>
        <v>0</v>
      </c>
      <c r="V23" s="580">
        <f t="shared" si="20"/>
        <v>0</v>
      </c>
      <c r="W23" s="580">
        <f t="shared" si="20"/>
        <v>0</v>
      </c>
      <c r="X23" s="580">
        <f t="shared" si="20"/>
        <v>0</v>
      </c>
      <c r="Y23" s="580">
        <f t="shared" si="20"/>
        <v>0</v>
      </c>
      <c r="Z23" s="580">
        <f t="shared" si="20"/>
        <v>0</v>
      </c>
      <c r="AA23" s="580">
        <f t="shared" si="20"/>
        <v>0</v>
      </c>
      <c r="AB23" s="580">
        <f t="shared" si="20"/>
        <v>0</v>
      </c>
      <c r="AC23" s="580">
        <f t="shared" si="20"/>
        <v>0</v>
      </c>
      <c r="AD23" s="580">
        <f t="shared" si="20"/>
        <v>0</v>
      </c>
    </row>
    <row r="24" spans="1:30" ht="18.75" x14ac:dyDescent="0.3">
      <c r="A24" s="544" t="str">
        <f t="shared" ref="A24:A31" si="21">L15</f>
        <v>Sueldos</v>
      </c>
      <c r="B24" s="545">
        <f t="shared" ref="B24:B31" si="22">M15/$M$25</f>
        <v>0.12360803132330521</v>
      </c>
      <c r="C24" s="516"/>
      <c r="D24" s="521" t="s">
        <v>672</v>
      </c>
      <c r="E24" s="522">
        <f>E25+E26-E27</f>
        <v>20651249</v>
      </c>
      <c r="F24" s="601">
        <f>E24/E35</f>
        <v>0.26313399112852492</v>
      </c>
      <c r="G24" s="540" t="s">
        <v>622</v>
      </c>
      <c r="H24" s="617">
        <f>M21</f>
        <v>0</v>
      </c>
      <c r="I24" s="527">
        <f>H24/$H$35</f>
        <v>0</v>
      </c>
      <c r="K24" s="582" t="s">
        <v>651</v>
      </c>
      <c r="L24" s="583" t="str">
        <f>K24</f>
        <v>Intereses</v>
      </c>
      <c r="M24" s="535">
        <f t="shared" si="6"/>
        <v>0</v>
      </c>
      <c r="N24" s="580">
        <v>0</v>
      </c>
      <c r="O24" s="580">
        <f t="shared" ref="O24" si="23">N24</f>
        <v>0</v>
      </c>
      <c r="P24" s="580">
        <f t="shared" si="20"/>
        <v>0</v>
      </c>
      <c r="Q24" s="580">
        <f t="shared" si="20"/>
        <v>0</v>
      </c>
      <c r="R24" s="580">
        <f t="shared" si="20"/>
        <v>0</v>
      </c>
      <c r="S24" s="580">
        <f t="shared" si="20"/>
        <v>0</v>
      </c>
      <c r="T24" s="580">
        <f t="shared" si="20"/>
        <v>0</v>
      </c>
      <c r="U24" s="580">
        <f t="shared" si="20"/>
        <v>0</v>
      </c>
      <c r="V24" s="580">
        <f t="shared" si="20"/>
        <v>0</v>
      </c>
      <c r="W24" s="580">
        <f t="shared" si="20"/>
        <v>0</v>
      </c>
      <c r="X24" s="580">
        <f t="shared" si="20"/>
        <v>0</v>
      </c>
      <c r="Y24" s="580">
        <f t="shared" si="20"/>
        <v>0</v>
      </c>
      <c r="Z24" s="580">
        <f t="shared" si="20"/>
        <v>0</v>
      </c>
      <c r="AA24" s="580">
        <f t="shared" si="20"/>
        <v>0</v>
      </c>
      <c r="AB24" s="580">
        <f t="shared" si="20"/>
        <v>0</v>
      </c>
      <c r="AC24" s="580">
        <f t="shared" si="20"/>
        <v>0</v>
      </c>
      <c r="AD24" s="580">
        <f t="shared" si="20"/>
        <v>0</v>
      </c>
    </row>
    <row r="25" spans="1:30" ht="18.75" x14ac:dyDescent="0.3">
      <c r="A25" s="544" t="str">
        <f t="shared" si="21"/>
        <v xml:space="preserve">Mantenimiento </v>
      </c>
      <c r="B25" s="545">
        <f t="shared" si="22"/>
        <v>7.7274022167435924E-2</v>
      </c>
      <c r="C25" s="503"/>
      <c r="D25" s="556" t="s">
        <v>674</v>
      </c>
      <c r="E25" s="557">
        <f>N5</f>
        <v>12151249</v>
      </c>
      <c r="F25" s="602">
        <f>E25/E35</f>
        <v>0.15482872956335458</v>
      </c>
      <c r="G25" s="550"/>
      <c r="H25" s="618"/>
      <c r="I25" s="551"/>
      <c r="K25" s="584" t="s">
        <v>652</v>
      </c>
      <c r="L25" s="585"/>
      <c r="M25" s="542">
        <f t="shared" si="6"/>
        <v>10801159</v>
      </c>
      <c r="N25" s="581">
        <f>SUM(N15:N24)</f>
        <v>1717665</v>
      </c>
      <c r="O25" s="581">
        <f t="shared" ref="O25:AD25" si="24">SUM(O15:O24)</f>
        <v>5839259</v>
      </c>
      <c r="P25" s="581">
        <f t="shared" si="24"/>
        <v>219549</v>
      </c>
      <c r="Q25" s="581">
        <f t="shared" si="24"/>
        <v>222549</v>
      </c>
      <c r="R25" s="581">
        <f t="shared" si="24"/>
        <v>221549</v>
      </c>
      <c r="S25" s="581">
        <f t="shared" si="24"/>
        <v>220549</v>
      </c>
      <c r="T25" s="581">
        <f t="shared" si="24"/>
        <v>219549</v>
      </c>
      <c r="U25" s="581">
        <f t="shared" si="24"/>
        <v>218549</v>
      </c>
      <c r="V25" s="581">
        <f t="shared" si="24"/>
        <v>217549</v>
      </c>
      <c r="W25" s="581">
        <f t="shared" si="24"/>
        <v>216549</v>
      </c>
      <c r="X25" s="581">
        <f t="shared" si="24"/>
        <v>215549</v>
      </c>
      <c r="Y25" s="581">
        <f t="shared" si="24"/>
        <v>214549</v>
      </c>
      <c r="Z25" s="581">
        <f t="shared" si="24"/>
        <v>213549</v>
      </c>
      <c r="AA25" s="581">
        <f t="shared" si="24"/>
        <v>212549</v>
      </c>
      <c r="AB25" s="581">
        <f t="shared" si="24"/>
        <v>211549</v>
      </c>
      <c r="AC25" s="581">
        <f t="shared" si="24"/>
        <v>210549</v>
      </c>
      <c r="AD25" s="581">
        <f t="shared" si="24"/>
        <v>209549</v>
      </c>
    </row>
    <row r="26" spans="1:30" ht="18.75" x14ac:dyDescent="0.3">
      <c r="A26" s="544" t="str">
        <f t="shared" si="21"/>
        <v>Estadio</v>
      </c>
      <c r="B26" s="545">
        <f t="shared" si="22"/>
        <v>0</v>
      </c>
      <c r="C26" s="511"/>
      <c r="D26" s="556" t="str">
        <f>D12</f>
        <v>Ing Reservas</v>
      </c>
      <c r="E26" s="557">
        <f>M13</f>
        <v>8500000</v>
      </c>
      <c r="F26" s="602">
        <f>E26/E35</f>
        <v>0.1083052615651703</v>
      </c>
      <c r="G26" s="521" t="s">
        <v>656</v>
      </c>
      <c r="H26" s="611">
        <f>SUM(H27:H32)</f>
        <v>3690519</v>
      </c>
      <c r="I26" s="523">
        <f t="shared" ref="I26:I32" si="25">H26/$H$35</f>
        <v>4.7023838306615384E-2</v>
      </c>
      <c r="K26" s="546" t="s">
        <v>654</v>
      </c>
      <c r="L26" s="546"/>
      <c r="M26" s="515">
        <f t="shared" ref="M26:AD26" si="26">M5+M14-M25</f>
        <v>21722796</v>
      </c>
      <c r="N26" s="515">
        <f t="shared" si="26"/>
        <v>16853431</v>
      </c>
      <c r="O26" s="515">
        <f t="shared" si="26"/>
        <v>11755916</v>
      </c>
      <c r="P26" s="515">
        <f t="shared" si="26"/>
        <v>12415332</v>
      </c>
      <c r="Q26" s="515">
        <f t="shared" si="26"/>
        <v>13268008</v>
      </c>
      <c r="R26" s="515">
        <f t="shared" si="26"/>
        <v>13830684</v>
      </c>
      <c r="S26" s="515">
        <f t="shared" si="26"/>
        <v>14663360</v>
      </c>
      <c r="T26" s="515">
        <f t="shared" si="26"/>
        <v>15196036</v>
      </c>
      <c r="U26" s="515">
        <f t="shared" si="26"/>
        <v>16028712</v>
      </c>
      <c r="V26" s="515">
        <f t="shared" si="26"/>
        <v>16561388</v>
      </c>
      <c r="W26" s="515">
        <f t="shared" si="26"/>
        <v>17394064</v>
      </c>
      <c r="X26" s="515">
        <f t="shared" si="26"/>
        <v>17926740</v>
      </c>
      <c r="Y26" s="515">
        <f t="shared" si="26"/>
        <v>18759416</v>
      </c>
      <c r="Z26" s="515">
        <f t="shared" si="26"/>
        <v>19292092</v>
      </c>
      <c r="AA26" s="515">
        <f t="shared" si="26"/>
        <v>20124768</v>
      </c>
      <c r="AB26" s="515">
        <f t="shared" si="26"/>
        <v>20657444</v>
      </c>
      <c r="AC26" s="515">
        <f t="shared" si="26"/>
        <v>21190120</v>
      </c>
      <c r="AD26" s="515">
        <f t="shared" si="26"/>
        <v>21722796</v>
      </c>
    </row>
    <row r="27" spans="1:30" x14ac:dyDescent="0.25">
      <c r="A27" s="544" t="str">
        <f t="shared" si="21"/>
        <v>Empleados</v>
      </c>
      <c r="B27" s="545">
        <f t="shared" si="22"/>
        <v>0.10274452954539416</v>
      </c>
      <c r="C27" s="508"/>
      <c r="D27" s="556" t="str">
        <f>D13</f>
        <v>Pago Reservas</v>
      </c>
      <c r="E27" s="557">
        <f>M23*-1</f>
        <v>0</v>
      </c>
      <c r="F27" s="602">
        <f>E27/E35</f>
        <v>0</v>
      </c>
      <c r="G27" s="540" t="s">
        <v>658</v>
      </c>
      <c r="H27" s="617">
        <f>M15</f>
        <v>1335110</v>
      </c>
      <c r="I27" s="527">
        <f t="shared" si="25"/>
        <v>1.7011698560973475E-2</v>
      </c>
      <c r="K27" s="547"/>
      <c r="L27" s="547"/>
      <c r="M27" s="547"/>
      <c r="N27" s="548">
        <f>N1+7</f>
        <v>43644</v>
      </c>
      <c r="O27" s="548">
        <f t="shared" ref="O27:AD27" si="27">N27+7</f>
        <v>43651</v>
      </c>
      <c r="P27" s="548">
        <f t="shared" si="27"/>
        <v>43658</v>
      </c>
      <c r="Q27" s="548">
        <f t="shared" si="27"/>
        <v>43665</v>
      </c>
      <c r="R27" s="548">
        <f t="shared" si="27"/>
        <v>43672</v>
      </c>
      <c r="S27" s="548">
        <f t="shared" si="27"/>
        <v>43679</v>
      </c>
      <c r="T27" s="548">
        <f t="shared" si="27"/>
        <v>43686</v>
      </c>
      <c r="U27" s="548">
        <f t="shared" si="27"/>
        <v>43693</v>
      </c>
      <c r="V27" s="548">
        <f t="shared" si="27"/>
        <v>43700</v>
      </c>
      <c r="W27" s="548">
        <f t="shared" si="27"/>
        <v>43707</v>
      </c>
      <c r="X27" s="548">
        <f t="shared" si="27"/>
        <v>43714</v>
      </c>
      <c r="Y27" s="548">
        <f t="shared" si="27"/>
        <v>43721</v>
      </c>
      <c r="Z27" s="548">
        <f t="shared" si="27"/>
        <v>43728</v>
      </c>
      <c r="AA27" s="548">
        <f t="shared" si="27"/>
        <v>43735</v>
      </c>
      <c r="AB27" s="548">
        <f t="shared" si="27"/>
        <v>43742</v>
      </c>
      <c r="AC27" s="548">
        <f t="shared" si="27"/>
        <v>43749</v>
      </c>
      <c r="AD27" s="548">
        <f t="shared" si="27"/>
        <v>43756</v>
      </c>
    </row>
    <row r="28" spans="1:30" x14ac:dyDescent="0.25">
      <c r="A28" s="544" t="str">
        <f t="shared" si="21"/>
        <v>Juveniles</v>
      </c>
      <c r="B28" s="545">
        <f t="shared" si="22"/>
        <v>3.147810341464282E-2</v>
      </c>
      <c r="C28" s="511"/>
      <c r="D28" s="536"/>
      <c r="E28" s="537"/>
      <c r="F28" s="602"/>
      <c r="G28" s="540" t="s">
        <v>639</v>
      </c>
      <c r="H28" s="617">
        <f>M16</f>
        <v>834649</v>
      </c>
      <c r="I28" s="527">
        <f t="shared" si="25"/>
        <v>1.0634926854130332E-2</v>
      </c>
      <c r="K28" s="549"/>
      <c r="L28" s="549"/>
      <c r="M28" s="549"/>
      <c r="N28" s="549"/>
      <c r="O28" s="549"/>
      <c r="P28" s="549"/>
      <c r="Q28" s="549"/>
      <c r="R28" s="549"/>
      <c r="S28" s="549"/>
      <c r="T28" s="549"/>
      <c r="U28" s="549"/>
      <c r="V28" s="549"/>
      <c r="W28" s="549"/>
      <c r="X28" s="549"/>
      <c r="Y28" s="549"/>
      <c r="Z28" s="549"/>
      <c r="AA28" s="549"/>
      <c r="AB28" s="549"/>
      <c r="AC28" s="549"/>
      <c r="AD28" s="549"/>
    </row>
    <row r="29" spans="1:30" x14ac:dyDescent="0.25">
      <c r="A29" s="544" t="str">
        <f t="shared" si="21"/>
        <v>Compra</v>
      </c>
      <c r="B29" s="545">
        <f t="shared" si="22"/>
        <v>0.65832194489498763</v>
      </c>
      <c r="D29" s="521" t="s">
        <v>655</v>
      </c>
      <c r="E29" s="522">
        <f>SUM(E30:E34)</f>
        <v>7461617</v>
      </c>
      <c r="F29" s="601">
        <f>E29/E35</f>
        <v>9.5074397751073098E-2</v>
      </c>
      <c r="G29" s="540" t="s">
        <v>644</v>
      </c>
      <c r="H29" s="617">
        <f>M18</f>
        <v>1109760</v>
      </c>
      <c r="I29" s="527">
        <f t="shared" si="25"/>
        <v>1.4140334949948635E-2</v>
      </c>
      <c r="K29" s="552"/>
      <c r="L29" s="552"/>
      <c r="M29" s="553" t="s">
        <v>629</v>
      </c>
      <c r="N29" s="554"/>
      <c r="O29" s="554">
        <v>22</v>
      </c>
      <c r="P29" s="554">
        <v>25</v>
      </c>
      <c r="Q29" s="554"/>
      <c r="R29" s="554"/>
      <c r="S29" s="554"/>
      <c r="T29" s="554"/>
      <c r="U29" s="554"/>
      <c r="V29" s="554"/>
      <c r="W29" s="554"/>
      <c r="X29" s="554"/>
      <c r="Y29" s="554"/>
      <c r="Z29" s="554"/>
      <c r="AA29" s="554"/>
      <c r="AB29" s="554"/>
      <c r="AC29" s="554"/>
      <c r="AD29" s="554"/>
    </row>
    <row r="30" spans="1:30" x14ac:dyDescent="0.25">
      <c r="A30" s="544" t="str">
        <f t="shared" si="21"/>
        <v>Entrenador</v>
      </c>
      <c r="B30" s="545">
        <f t="shared" si="22"/>
        <v>0</v>
      </c>
      <c r="D30" s="556" t="s">
        <v>610</v>
      </c>
      <c r="E30" s="557">
        <f>M11</f>
        <v>100620</v>
      </c>
      <c r="F30" s="602">
        <f>E30/E35</f>
        <v>1.2820794610220513E-3</v>
      </c>
      <c r="G30" s="540" t="s">
        <v>646</v>
      </c>
      <c r="H30" s="617">
        <f>M19</f>
        <v>340000</v>
      </c>
      <c r="I30" s="527">
        <f t="shared" si="25"/>
        <v>4.3322104626068118E-3</v>
      </c>
      <c r="K30" s="500"/>
      <c r="L30" s="671" t="s">
        <v>657</v>
      </c>
      <c r="M30" s="555" t="s">
        <v>73</v>
      </c>
      <c r="N30" s="554"/>
      <c r="O30" s="554">
        <v>345970</v>
      </c>
      <c r="P30" s="554">
        <v>414040</v>
      </c>
      <c r="Q30" s="554"/>
      <c r="R30" s="554"/>
      <c r="S30" s="554"/>
      <c r="T30" s="554"/>
      <c r="U30" s="554"/>
      <c r="V30" s="554"/>
      <c r="W30" s="554"/>
      <c r="X30" s="554"/>
      <c r="Y30" s="554"/>
      <c r="Z30" s="554"/>
      <c r="AA30" s="554"/>
      <c r="AB30" s="554"/>
      <c r="AC30" s="554"/>
      <c r="AD30" s="554"/>
    </row>
    <row r="31" spans="1:30" x14ac:dyDescent="0.25">
      <c r="A31" s="544" t="str">
        <f t="shared" si="21"/>
        <v>Viajes+Venta</v>
      </c>
      <c r="B31" s="545">
        <f t="shared" si="22"/>
        <v>6.5733686542342358E-3</v>
      </c>
      <c r="D31" s="556" t="s">
        <v>631</v>
      </c>
      <c r="E31" s="557">
        <f>M12</f>
        <v>1050000</v>
      </c>
      <c r="F31" s="602">
        <f>E31/E35</f>
        <v>1.3378885252168096E-2</v>
      </c>
      <c r="G31" s="540" t="s">
        <v>650</v>
      </c>
      <c r="H31" s="617">
        <f>M22</f>
        <v>71000</v>
      </c>
      <c r="I31" s="527">
        <f t="shared" si="25"/>
        <v>9.046674789561284E-4</v>
      </c>
      <c r="K31" s="500"/>
      <c r="L31" s="671"/>
      <c r="M31" s="555" t="s">
        <v>65</v>
      </c>
      <c r="N31" s="554"/>
      <c r="O31" s="554">
        <v>79566</v>
      </c>
      <c r="P31" s="554">
        <v>84872</v>
      </c>
      <c r="Q31" s="554"/>
      <c r="R31" s="554"/>
      <c r="S31" s="554"/>
      <c r="T31" s="554"/>
      <c r="U31" s="554"/>
      <c r="V31" s="554"/>
      <c r="W31" s="554"/>
      <c r="X31" s="554"/>
      <c r="Y31" s="554"/>
      <c r="Z31" s="554"/>
      <c r="AA31" s="554"/>
      <c r="AB31" s="554"/>
      <c r="AC31" s="554"/>
      <c r="AD31" s="554"/>
    </row>
    <row r="32" spans="1:30" x14ac:dyDescent="0.25">
      <c r="A32" s="544" t="str">
        <f>L24</f>
        <v>Intereses</v>
      </c>
      <c r="B32" s="545">
        <f>M24/$M$25</f>
        <v>0</v>
      </c>
      <c r="D32" s="556" t="s">
        <v>614</v>
      </c>
      <c r="E32" s="557">
        <f>M6</f>
        <v>2369503</v>
      </c>
      <c r="F32" s="602">
        <f>E32/E35</f>
        <v>3.0191722611112439E-2</v>
      </c>
      <c r="G32" s="540" t="s">
        <v>651</v>
      </c>
      <c r="H32" s="617">
        <f>M24</f>
        <v>0</v>
      </c>
      <c r="I32" s="527">
        <f t="shared" si="25"/>
        <v>0</v>
      </c>
      <c r="K32" s="500"/>
      <c r="L32" s="671"/>
      <c r="M32" s="555" t="s">
        <v>659</v>
      </c>
      <c r="N32" s="554"/>
      <c r="O32" s="554">
        <v>280250</v>
      </c>
      <c r="P32" s="554">
        <v>325260</v>
      </c>
      <c r="Q32" s="554"/>
      <c r="R32" s="554"/>
      <c r="S32" s="554"/>
      <c r="T32" s="554"/>
      <c r="U32" s="554"/>
      <c r="V32" s="554"/>
      <c r="W32" s="554"/>
      <c r="X32" s="554"/>
      <c r="Y32" s="554"/>
      <c r="Z32" s="554"/>
      <c r="AA32" s="554"/>
      <c r="AB32" s="554"/>
      <c r="AC32" s="554"/>
      <c r="AD32" s="554"/>
    </row>
    <row r="33" spans="1:30" ht="18.75" x14ac:dyDescent="0.3">
      <c r="A33" s="511"/>
      <c r="B33" s="559">
        <f>SUM(B24:B32)</f>
        <v>0.99999999999999989</v>
      </c>
      <c r="D33" s="556" t="s">
        <v>617</v>
      </c>
      <c r="E33" s="557">
        <f>M7</f>
        <v>3716259</v>
      </c>
      <c r="F33" s="602">
        <f>E33/E35</f>
        <v>4.7351812122225674E-2</v>
      </c>
      <c r="G33" s="536"/>
      <c r="H33" s="616"/>
      <c r="I33" s="541"/>
      <c r="K33" s="500"/>
      <c r="L33" s="671"/>
      <c r="M33" s="555" t="s">
        <v>660</v>
      </c>
      <c r="N33" s="554"/>
      <c r="O33" s="554">
        <v>65410</v>
      </c>
      <c r="P33" s="554">
        <v>60046</v>
      </c>
      <c r="Q33" s="554"/>
      <c r="R33" s="554"/>
      <c r="S33" s="554"/>
      <c r="T33" s="554"/>
      <c r="U33" s="554"/>
      <c r="V33" s="554"/>
      <c r="W33" s="554"/>
      <c r="X33" s="554"/>
      <c r="Y33" s="554"/>
      <c r="Z33" s="554"/>
      <c r="AA33" s="554"/>
      <c r="AB33" s="554"/>
      <c r="AC33" s="554"/>
      <c r="AD33" s="554"/>
    </row>
    <row r="34" spans="1:30" ht="18.75" x14ac:dyDescent="0.3">
      <c r="A34" s="508"/>
      <c r="B34" s="561"/>
      <c r="D34" s="605" t="s">
        <v>626</v>
      </c>
      <c r="E34" s="606">
        <f>M10</f>
        <v>225235</v>
      </c>
      <c r="F34" s="602">
        <f>E34/E35</f>
        <v>2.8698983045448391E-3</v>
      </c>
      <c r="G34" s="622"/>
      <c r="H34" s="623"/>
      <c r="I34" s="621"/>
      <c r="K34" s="500"/>
      <c r="L34" s="671"/>
      <c r="M34" s="555" t="s">
        <v>661</v>
      </c>
      <c r="N34" s="558"/>
      <c r="O34" s="558" t="s">
        <v>670</v>
      </c>
      <c r="P34" s="558" t="s">
        <v>677</v>
      </c>
      <c r="Q34" s="558"/>
      <c r="R34" s="558"/>
      <c r="S34" s="558"/>
      <c r="T34" s="558"/>
      <c r="U34" s="558"/>
      <c r="V34" s="558"/>
      <c r="W34" s="558"/>
      <c r="X34" s="558"/>
      <c r="Y34" s="558"/>
      <c r="Z34" s="558"/>
      <c r="AA34" s="558"/>
      <c r="AB34" s="558"/>
      <c r="AC34" s="558"/>
      <c r="AD34" s="558"/>
    </row>
    <row r="35" spans="1:30" ht="18.75" x14ac:dyDescent="0.3">
      <c r="A35" s="672">
        <f>M25</f>
        <v>10801159</v>
      </c>
      <c r="B35" s="672"/>
      <c r="D35" s="608" t="s">
        <v>27</v>
      </c>
      <c r="E35" s="609">
        <f>E29+E21+E15+E5+E10+E24</f>
        <v>78481875</v>
      </c>
      <c r="F35" s="562">
        <f>F29+F21+F15+F5+F10+F24</f>
        <v>1</v>
      </c>
      <c r="G35" s="608" t="s">
        <v>27</v>
      </c>
      <c r="H35" s="609">
        <f>H26+H18+H10+H5+H22</f>
        <v>78481875</v>
      </c>
      <c r="I35" s="620">
        <f>H35/$H$35</f>
        <v>1</v>
      </c>
      <c r="K35" s="500"/>
      <c r="L35" s="671"/>
      <c r="M35" s="555" t="s">
        <v>662</v>
      </c>
      <c r="N35" s="560"/>
      <c r="O35" s="560">
        <v>5.5</v>
      </c>
      <c r="P35" s="560">
        <v>5.75</v>
      </c>
      <c r="Q35" s="560"/>
      <c r="R35" s="560"/>
      <c r="S35" s="560"/>
      <c r="T35" s="560"/>
      <c r="U35" s="560"/>
      <c r="V35" s="560"/>
      <c r="W35" s="560"/>
      <c r="X35" s="560"/>
      <c r="Y35" s="560"/>
      <c r="Z35" s="560"/>
      <c r="AA35" s="560"/>
      <c r="AB35" s="560"/>
      <c r="AC35" s="560"/>
      <c r="AD35" s="560"/>
    </row>
    <row r="36" spans="1:30" x14ac:dyDescent="0.25">
      <c r="E36" s="502"/>
      <c r="F36" s="563"/>
      <c r="G36" s="564"/>
      <c r="H36" s="565">
        <f>E35-H35</f>
        <v>0</v>
      </c>
      <c r="I36" s="502"/>
      <c r="K36" s="511"/>
      <c r="L36" s="671"/>
      <c r="M36" s="555" t="s">
        <v>663</v>
      </c>
      <c r="N36" s="560"/>
      <c r="O36" s="560">
        <v>5.5</v>
      </c>
      <c r="P36" s="560">
        <v>6</v>
      </c>
      <c r="Q36" s="560"/>
      <c r="R36" s="560"/>
      <c r="S36" s="560"/>
      <c r="T36" s="560"/>
      <c r="U36" s="560"/>
      <c r="V36" s="560"/>
      <c r="W36" s="560"/>
      <c r="X36" s="560"/>
      <c r="Y36" s="560"/>
      <c r="Z36" s="560"/>
      <c r="AA36" s="560"/>
      <c r="AB36" s="560"/>
      <c r="AC36" s="560"/>
      <c r="AD36" s="560"/>
    </row>
    <row r="37" spans="1:30" x14ac:dyDescent="0.25">
      <c r="E37" s="502"/>
      <c r="F37" s="502"/>
      <c r="H37" s="502"/>
      <c r="I37" s="502"/>
      <c r="K37" s="511"/>
      <c r="L37" s="671"/>
      <c r="M37" s="555" t="s">
        <v>664</v>
      </c>
      <c r="N37" s="560"/>
      <c r="O37" s="560">
        <v>11.75</v>
      </c>
      <c r="P37" s="560">
        <v>10.75</v>
      </c>
      <c r="Q37" s="560"/>
      <c r="R37" s="560"/>
      <c r="S37" s="560"/>
      <c r="T37" s="560"/>
      <c r="U37" s="560"/>
      <c r="V37" s="560"/>
      <c r="W37" s="560"/>
      <c r="X37" s="560"/>
      <c r="Y37" s="560"/>
      <c r="Z37" s="560"/>
      <c r="AA37" s="560"/>
      <c r="AB37" s="560"/>
      <c r="AC37" s="560"/>
      <c r="AD37" s="560"/>
    </row>
    <row r="38" spans="1:30" ht="15.75" x14ac:dyDescent="0.25">
      <c r="D38" s="568"/>
      <c r="E38" s="569"/>
      <c r="F38" s="502"/>
      <c r="G38" s="2"/>
      <c r="H38" s="570"/>
      <c r="I38" s="570"/>
      <c r="K38" s="511"/>
      <c r="L38" s="511"/>
      <c r="M38" s="566" t="s">
        <v>665</v>
      </c>
      <c r="N38" s="567"/>
      <c r="O38" s="567">
        <f t="shared" ref="O38:AD38" si="28">O30/O31</f>
        <v>4.3482140612824569</v>
      </c>
      <c r="P38" s="567">
        <f t="shared" si="28"/>
        <v>4.8784051277217459</v>
      </c>
      <c r="Q38" s="567" t="e">
        <f t="shared" si="28"/>
        <v>#DIV/0!</v>
      </c>
      <c r="R38" s="567" t="e">
        <f t="shared" si="28"/>
        <v>#DIV/0!</v>
      </c>
      <c r="S38" s="567" t="e">
        <f t="shared" si="28"/>
        <v>#DIV/0!</v>
      </c>
      <c r="T38" s="567" t="e">
        <f t="shared" si="28"/>
        <v>#DIV/0!</v>
      </c>
      <c r="U38" s="567" t="e">
        <f t="shared" si="28"/>
        <v>#DIV/0!</v>
      </c>
      <c r="V38" s="567" t="e">
        <f t="shared" si="28"/>
        <v>#DIV/0!</v>
      </c>
      <c r="W38" s="567" t="e">
        <f t="shared" si="28"/>
        <v>#DIV/0!</v>
      </c>
      <c r="X38" s="567" t="e">
        <f t="shared" si="28"/>
        <v>#DIV/0!</v>
      </c>
      <c r="Y38" s="567" t="e">
        <f t="shared" si="28"/>
        <v>#DIV/0!</v>
      </c>
      <c r="Z38" s="567" t="e">
        <f t="shared" si="28"/>
        <v>#DIV/0!</v>
      </c>
      <c r="AA38" s="567" t="e">
        <f t="shared" si="28"/>
        <v>#DIV/0!</v>
      </c>
      <c r="AB38" s="567" t="e">
        <f t="shared" si="28"/>
        <v>#DIV/0!</v>
      </c>
      <c r="AC38" s="567" t="e">
        <f t="shared" si="28"/>
        <v>#DIV/0!</v>
      </c>
      <c r="AD38" s="567" t="e">
        <f t="shared" si="28"/>
        <v>#DIV/0!</v>
      </c>
    </row>
    <row r="39" spans="1:30" x14ac:dyDescent="0.25">
      <c r="E39" s="570"/>
      <c r="F39" s="502"/>
      <c r="H39" s="502"/>
      <c r="I39" s="502"/>
      <c r="K39" s="511"/>
      <c r="L39" s="511"/>
      <c r="M39" s="511"/>
      <c r="N39" s="344"/>
      <c r="O39" s="501"/>
      <c r="P39" s="673"/>
      <c r="Q39" s="673"/>
      <c r="R39" s="673"/>
      <c r="S39" s="673"/>
    </row>
    <row r="40" spans="1:30" x14ac:dyDescent="0.25">
      <c r="E40" s="502"/>
      <c r="F40" s="502"/>
      <c r="H40" s="502"/>
      <c r="I40" s="502"/>
      <c r="K40" s="511"/>
      <c r="L40" s="511"/>
      <c r="M40" s="511"/>
      <c r="N40" s="571"/>
      <c r="O40" s="571"/>
      <c r="P40" s="571"/>
      <c r="Q40" s="571"/>
      <c r="R40" s="571"/>
      <c r="S40" s="571"/>
      <c r="T40" s="571"/>
      <c r="U40" s="571"/>
      <c r="V40" s="571"/>
      <c r="W40" s="571"/>
      <c r="X40" s="571"/>
      <c r="Y40" s="571"/>
    </row>
    <row r="41" spans="1:30" x14ac:dyDescent="0.25">
      <c r="K41" s="511"/>
      <c r="L41" s="511"/>
      <c r="M41" s="511"/>
      <c r="O41" s="501"/>
      <c r="P41" s="501"/>
      <c r="Q41" s="501"/>
      <c r="R41" s="501"/>
      <c r="S41" s="501"/>
      <c r="T41" s="501"/>
      <c r="U41" s="501"/>
      <c r="V41" s="501"/>
      <c r="W41" s="501"/>
      <c r="X41" s="501"/>
      <c r="Y41" s="501"/>
      <c r="Z41" s="501"/>
      <c r="AA41" s="501"/>
      <c r="AB41" s="501"/>
      <c r="AC41" s="501"/>
      <c r="AD41" s="501"/>
    </row>
    <row r="42" spans="1:30" x14ac:dyDescent="0.25">
      <c r="K42" s="511"/>
      <c r="L42" s="511"/>
      <c r="M42" s="511"/>
      <c r="O42" s="501"/>
      <c r="P42" s="664"/>
      <c r="Q42" s="664"/>
      <c r="R42" s="664"/>
      <c r="S42" s="664"/>
      <c r="V42" s="572"/>
    </row>
    <row r="43" spans="1:30" x14ac:dyDescent="0.25">
      <c r="K43" s="511"/>
      <c r="L43" s="511"/>
      <c r="M43" s="511"/>
      <c r="N43" s="572"/>
      <c r="O43" s="501"/>
      <c r="P43" s="573"/>
      <c r="Q43" s="573"/>
      <c r="R43" s="573"/>
      <c r="S43" s="573"/>
    </row>
    <row r="44" spans="1:30" x14ac:dyDescent="0.25">
      <c r="K44" s="511"/>
      <c r="L44" s="511"/>
      <c r="M44" s="511"/>
      <c r="O44" s="501"/>
      <c r="P44" s="664"/>
      <c r="Q44" s="664"/>
      <c r="R44" s="664"/>
      <c r="S44" s="664"/>
      <c r="Y44" s="572"/>
    </row>
    <row r="45" spans="1:30" x14ac:dyDescent="0.25">
      <c r="K45" s="511"/>
      <c r="L45" s="511"/>
      <c r="M45" s="511"/>
      <c r="O45" s="501"/>
      <c r="P45" s="664"/>
      <c r="Q45" s="664"/>
      <c r="R45" s="664"/>
      <c r="S45" s="574"/>
    </row>
    <row r="46" spans="1:30" x14ac:dyDescent="0.25">
      <c r="K46" s="511"/>
      <c r="L46" s="511"/>
      <c r="M46" s="511"/>
      <c r="O46" s="501"/>
    </row>
    <row r="47" spans="1:30" x14ac:dyDescent="0.25">
      <c r="K47" s="511"/>
      <c r="L47" s="511"/>
      <c r="M47" s="511"/>
      <c r="O47" s="501"/>
    </row>
    <row r="48" spans="1:30" x14ac:dyDescent="0.25">
      <c r="K48" s="511"/>
      <c r="L48" s="511"/>
      <c r="M48" s="511"/>
      <c r="O48" s="501"/>
    </row>
    <row r="49" spans="11:15" x14ac:dyDescent="0.25">
      <c r="K49" s="511"/>
      <c r="L49" s="511"/>
      <c r="M49" s="511"/>
      <c r="O49" s="501"/>
    </row>
    <row r="50" spans="11:15" x14ac:dyDescent="0.25">
      <c r="K50" s="511"/>
      <c r="L50" s="511"/>
      <c r="M50" s="511"/>
      <c r="O50" s="501"/>
    </row>
    <row r="51" spans="11:15" x14ac:dyDescent="0.25">
      <c r="K51" s="511"/>
      <c r="L51" s="511"/>
      <c r="M51" s="511"/>
      <c r="O51" s="501"/>
    </row>
    <row r="52" spans="11:15" x14ac:dyDescent="0.25">
      <c r="K52" s="511"/>
      <c r="L52" s="511"/>
      <c r="M52" s="511"/>
      <c r="O52" s="501"/>
    </row>
    <row r="53" spans="11:15" x14ac:dyDescent="0.25">
      <c r="K53" s="511"/>
      <c r="L53" s="511"/>
      <c r="M53" s="511"/>
      <c r="O53" s="501"/>
    </row>
    <row r="54" spans="11:15" x14ac:dyDescent="0.25">
      <c r="K54" s="511"/>
      <c r="L54" s="511"/>
      <c r="M54" s="511"/>
      <c r="O54" s="501"/>
    </row>
    <row r="55" spans="11:15" x14ac:dyDescent="0.25">
      <c r="K55" s="511"/>
      <c r="L55" s="511"/>
      <c r="M55" s="511"/>
      <c r="O55" s="501"/>
    </row>
    <row r="56" spans="11:15" x14ac:dyDescent="0.25">
      <c r="K56" s="511"/>
      <c r="L56" s="511"/>
      <c r="M56" s="511"/>
      <c r="O56" s="501"/>
    </row>
    <row r="57" spans="11:15" x14ac:dyDescent="0.25">
      <c r="K57" s="511"/>
      <c r="L57" s="511"/>
      <c r="M57" s="511"/>
      <c r="O57" s="501"/>
    </row>
    <row r="58" spans="11:15" x14ac:dyDescent="0.25">
      <c r="K58" s="511"/>
      <c r="L58" s="511"/>
      <c r="M58" s="511"/>
      <c r="O58" s="501"/>
    </row>
    <row r="59" spans="11:15" x14ac:dyDescent="0.25">
      <c r="K59" s="511"/>
      <c r="L59" s="511"/>
      <c r="M59" s="511"/>
      <c r="O59" s="501"/>
    </row>
    <row r="60" spans="11:15" x14ac:dyDescent="0.25">
      <c r="K60" s="511"/>
      <c r="L60" s="511"/>
      <c r="M60" s="511"/>
      <c r="O60" s="501"/>
    </row>
    <row r="61" spans="11:15" x14ac:dyDescent="0.25">
      <c r="K61" s="511"/>
      <c r="L61" s="511"/>
      <c r="M61" s="511"/>
      <c r="O61" s="501"/>
    </row>
    <row r="62" spans="11:15" x14ac:dyDescent="0.25">
      <c r="K62" s="511"/>
      <c r="L62" s="511"/>
      <c r="M62" s="511"/>
      <c r="O62" s="501"/>
    </row>
    <row r="63" spans="11:15" x14ac:dyDescent="0.25">
      <c r="K63" s="511"/>
      <c r="L63" s="511"/>
      <c r="M63" s="511"/>
      <c r="O63" s="501"/>
    </row>
    <row r="64" spans="11:15" x14ac:dyDescent="0.25">
      <c r="K64" s="511"/>
      <c r="L64" s="511"/>
      <c r="M64" s="511"/>
      <c r="O64" s="501"/>
    </row>
    <row r="65" spans="11:15" x14ac:dyDescent="0.25">
      <c r="K65" s="511"/>
      <c r="L65" s="511"/>
      <c r="M65" s="511"/>
      <c r="O65" s="501"/>
    </row>
    <row r="66" spans="11:15" x14ac:dyDescent="0.25">
      <c r="K66" s="511"/>
      <c r="L66" s="511"/>
      <c r="M66" s="511"/>
      <c r="O66" s="501"/>
    </row>
    <row r="67" spans="11:15" x14ac:dyDescent="0.25">
      <c r="K67" s="511"/>
      <c r="L67" s="511"/>
      <c r="M67" s="511"/>
      <c r="O67" s="501"/>
    </row>
    <row r="68" spans="11:15" x14ac:dyDescent="0.25">
      <c r="K68" s="511"/>
      <c r="L68" s="511"/>
      <c r="M68" s="511"/>
      <c r="O68" s="501"/>
    </row>
    <row r="69" spans="11:15" x14ac:dyDescent="0.25">
      <c r="K69" s="511"/>
      <c r="L69" s="511"/>
      <c r="M69" s="511"/>
      <c r="O69" s="501"/>
    </row>
    <row r="70" spans="11:15" x14ac:dyDescent="0.25">
      <c r="K70" s="511"/>
      <c r="L70" s="511"/>
      <c r="M70" s="511"/>
      <c r="O70" s="501"/>
    </row>
    <row r="71" spans="11:15" x14ac:dyDescent="0.25">
      <c r="K71" s="511"/>
      <c r="L71" s="511"/>
      <c r="M71" s="511"/>
      <c r="O71" s="501"/>
    </row>
    <row r="72" spans="11:15" x14ac:dyDescent="0.25">
      <c r="K72" s="511"/>
      <c r="L72" s="511"/>
      <c r="M72" s="511"/>
      <c r="O72" s="501"/>
    </row>
    <row r="73" spans="11:15" x14ac:dyDescent="0.25">
      <c r="K73" s="511"/>
      <c r="L73" s="511"/>
      <c r="M73" s="511"/>
      <c r="O73" s="501"/>
    </row>
    <row r="74" spans="11:15" x14ac:dyDescent="0.25">
      <c r="K74" s="511"/>
      <c r="L74" s="511"/>
      <c r="M74" s="511"/>
      <c r="O74" s="501"/>
    </row>
    <row r="75" spans="11:15" x14ac:dyDescent="0.25">
      <c r="K75" s="511"/>
      <c r="L75" s="511"/>
      <c r="M75" s="511"/>
      <c r="O75" s="501"/>
    </row>
    <row r="76" spans="11:15" x14ac:dyDescent="0.25">
      <c r="K76" s="511"/>
      <c r="L76" s="511"/>
      <c r="M76" s="511"/>
      <c r="O76" s="501"/>
    </row>
    <row r="77" spans="11:15" x14ac:dyDescent="0.25">
      <c r="K77" s="511"/>
      <c r="L77" s="511"/>
      <c r="M77" s="511"/>
      <c r="O77" s="501"/>
    </row>
    <row r="78" spans="11:15" x14ac:dyDescent="0.25">
      <c r="K78" s="511"/>
      <c r="L78" s="511"/>
      <c r="M78" s="511"/>
      <c r="O78" s="501"/>
    </row>
    <row r="79" spans="11:15" x14ac:dyDescent="0.25">
      <c r="K79" s="511"/>
      <c r="L79" s="511"/>
      <c r="M79" s="511"/>
      <c r="O79" s="501"/>
    </row>
    <row r="80" spans="11:15" x14ac:dyDescent="0.25">
      <c r="K80" s="511"/>
      <c r="L80" s="511"/>
      <c r="M80" s="511"/>
      <c r="O80" s="501"/>
    </row>
    <row r="81" spans="11:15" x14ac:dyDescent="0.25">
      <c r="K81" s="511"/>
      <c r="L81" s="511"/>
      <c r="M81" s="511"/>
      <c r="O81" s="501"/>
    </row>
  </sheetData>
  <mergeCells count="14">
    <mergeCell ref="D1:I1"/>
    <mergeCell ref="D2:I2"/>
    <mergeCell ref="D3:E3"/>
    <mergeCell ref="G3:H3"/>
    <mergeCell ref="A15:B15"/>
    <mergeCell ref="P45:R45"/>
    <mergeCell ref="K11:K13"/>
    <mergeCell ref="K21:K23"/>
    <mergeCell ref="L30:L37"/>
    <mergeCell ref="A35:B35"/>
    <mergeCell ref="P39:Q39"/>
    <mergeCell ref="R39:S39"/>
    <mergeCell ref="P42:S42"/>
    <mergeCell ref="P44:S44"/>
  </mergeCells>
  <conditionalFormatting sqref="H11:H16">
    <cfRule type="cellIs" dxfId="38" priority="4" operator="lessThan">
      <formula>0</formula>
    </cfRule>
    <cfRule type="cellIs" dxfId="37" priority="5" operator="greaterThan">
      <formula>0</formula>
    </cfRule>
  </conditionalFormatting>
  <conditionalFormatting sqref="H38">
    <cfRule type="cellIs" dxfId="36" priority="3" operator="lessThan">
      <formula>0</formula>
    </cfRule>
  </conditionalFormatting>
  <conditionalFormatting sqref="E39">
    <cfRule type="cellIs" dxfId="35" priority="1" operator="greaterThan">
      <formula>0</formula>
    </cfRule>
    <cfRule type="cellIs" dxfId="34" priority="2" operator="lessThan">
      <formula>0</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8" tint="0.39997558519241921"/>
  </sheetPr>
  <dimension ref="A1:CK60"/>
  <sheetViews>
    <sheetView zoomScale="90" zoomScaleNormal="90" workbookViewId="0">
      <pane xSplit="17" ySplit="2" topLeftCell="BL3" activePane="bottomRight" state="frozen"/>
      <selection pane="topRight" activeCell="R1" sqref="R1"/>
      <selection pane="bottomLeft" activeCell="A3" sqref="A3"/>
      <selection pane="bottomRight" activeCell="N18" sqref="N18"/>
    </sheetView>
  </sheetViews>
  <sheetFormatPr baseColWidth="10" defaultColWidth="11.42578125" defaultRowHeight="15" x14ac:dyDescent="0.25"/>
  <cols>
    <col min="1" max="1" width="15.140625" bestFit="1" customWidth="1"/>
    <col min="2" max="2" width="5.85546875" bestFit="1" customWidth="1"/>
    <col min="3" max="4" width="5.42578125" bestFit="1" customWidth="1"/>
    <col min="5" max="5" width="13" bestFit="1" customWidth="1"/>
    <col min="6" max="6" width="7.7109375" style="186" bestFit="1" customWidth="1"/>
    <col min="7" max="7" width="5.85546875" bestFit="1" customWidth="1"/>
    <col min="8" max="8" width="6" bestFit="1" customWidth="1"/>
    <col min="9" max="9" width="7.7109375" bestFit="1" customWidth="1"/>
    <col min="10" max="15" width="6" bestFit="1" customWidth="1"/>
    <col min="16" max="16" width="5.28515625" bestFit="1" customWidth="1"/>
    <col min="17" max="18" width="6.140625" bestFit="1" customWidth="1"/>
    <col min="19" max="19" width="6.85546875" bestFit="1" customWidth="1"/>
    <col min="20" max="20" width="7.42578125" bestFit="1" customWidth="1"/>
    <col min="21" max="21" width="7.85546875" bestFit="1" customWidth="1"/>
    <col min="22" max="23" width="7.42578125" bestFit="1" customWidth="1"/>
    <col min="24" max="25" width="7.85546875" bestFit="1" customWidth="1"/>
    <col min="26" max="26" width="7.42578125" bestFit="1" customWidth="1"/>
    <col min="27" max="27" width="10" bestFit="1" customWidth="1"/>
    <col min="28" max="28" width="7.85546875" bestFit="1" customWidth="1"/>
    <col min="29" max="29" width="7.42578125" bestFit="1" customWidth="1"/>
    <col min="30" max="30" width="5.140625" bestFit="1" customWidth="1"/>
    <col min="31" max="31" width="7.42578125" bestFit="1" customWidth="1"/>
    <col min="32" max="32" width="7.85546875" bestFit="1" customWidth="1"/>
    <col min="33" max="33" width="7.42578125" bestFit="1" customWidth="1"/>
    <col min="34" max="34" width="6.42578125" bestFit="1" customWidth="1"/>
    <col min="35" max="35" width="9.7109375" bestFit="1" customWidth="1"/>
    <col min="36" max="36" width="7.85546875" bestFit="1" customWidth="1"/>
    <col min="37" max="37" width="5.140625" bestFit="1" customWidth="1"/>
    <col min="38" max="38" width="6.42578125" bestFit="1" customWidth="1"/>
    <col min="39" max="39" width="7.42578125" bestFit="1" customWidth="1"/>
    <col min="40" max="40" width="7.85546875" bestFit="1" customWidth="1"/>
    <col min="41" max="41" width="7.42578125" bestFit="1" customWidth="1"/>
    <col min="42" max="42" width="6.42578125" bestFit="1" customWidth="1"/>
    <col min="43" max="43" width="7.42578125" bestFit="1" customWidth="1"/>
    <col min="44" max="44" width="7.85546875" bestFit="1" customWidth="1"/>
    <col min="45" max="46" width="7.42578125" bestFit="1" customWidth="1"/>
    <col min="47" max="47" width="7.85546875" bestFit="1" customWidth="1"/>
    <col min="48" max="48" width="7.42578125" bestFit="1" customWidth="1"/>
    <col min="49" max="49" width="6.42578125" bestFit="1" customWidth="1"/>
    <col min="50" max="50" width="7.42578125" bestFit="1" customWidth="1"/>
    <col min="51" max="51" width="7.85546875" bestFit="1" customWidth="1"/>
    <col min="52" max="53" width="7.42578125" bestFit="1" customWidth="1"/>
    <col min="54" max="54" width="7.85546875" bestFit="1" customWidth="1"/>
    <col min="55" max="55" width="6.85546875" bestFit="1" customWidth="1"/>
    <col min="56" max="56" width="6.42578125" bestFit="1" customWidth="1"/>
    <col min="57" max="57" width="7.42578125" bestFit="1" customWidth="1"/>
    <col min="58" max="59" width="7.85546875" bestFit="1" customWidth="1"/>
    <col min="60" max="60" width="6.42578125" bestFit="1" customWidth="1"/>
    <col min="61" max="61" width="6.85546875" bestFit="1" customWidth="1"/>
    <col min="62" max="62" width="7.42578125" bestFit="1" customWidth="1"/>
    <col min="63" max="64" width="7.85546875" bestFit="1" customWidth="1"/>
    <col min="65" max="65" width="6.42578125" bestFit="1" customWidth="1"/>
    <col min="66" max="66" width="6.85546875" bestFit="1" customWidth="1"/>
    <col min="67" max="67" width="7.42578125" bestFit="1" customWidth="1"/>
    <col min="68" max="69" width="7.85546875" bestFit="1" customWidth="1"/>
    <col min="70" max="70" width="6.42578125" bestFit="1" customWidth="1"/>
    <col min="71" max="71" width="6.85546875" bestFit="1" customWidth="1"/>
    <col min="72" max="72" width="7.42578125" bestFit="1" customWidth="1"/>
    <col min="73" max="74" width="7.85546875" bestFit="1" customWidth="1"/>
    <col min="75" max="75" width="6.42578125" bestFit="1" customWidth="1"/>
    <col min="76" max="76" width="6.85546875" bestFit="1" customWidth="1"/>
    <col min="77" max="77" width="7.42578125" bestFit="1" customWidth="1"/>
    <col min="78" max="78" width="7.85546875" bestFit="1" customWidth="1"/>
    <col min="79" max="79" width="6.42578125" bestFit="1" customWidth="1"/>
    <col min="80" max="81" width="6.85546875" bestFit="1" customWidth="1"/>
    <col min="82" max="82" width="6.42578125" bestFit="1" customWidth="1"/>
    <col min="83" max="84" width="6.85546875" bestFit="1" customWidth="1"/>
    <col min="85" max="85" width="6.42578125" customWidth="1"/>
    <col min="86" max="86" width="6.42578125" bestFit="1" customWidth="1"/>
    <col min="87" max="87" width="6.85546875" bestFit="1" customWidth="1"/>
    <col min="88" max="88" width="6.42578125" bestFit="1" customWidth="1"/>
    <col min="89" max="89" width="5.140625" bestFit="1" customWidth="1"/>
  </cols>
  <sheetData>
    <row r="1" spans="1:89" ht="15.75" x14ac:dyDescent="0.25">
      <c r="A1" s="686" t="s">
        <v>445</v>
      </c>
      <c r="B1" s="686"/>
      <c r="C1" s="686"/>
      <c r="D1" s="686"/>
      <c r="E1" s="686"/>
      <c r="X1" t="s">
        <v>306</v>
      </c>
      <c r="AA1" t="s">
        <v>307</v>
      </c>
      <c r="AE1" t="s">
        <v>308</v>
      </c>
      <c r="AI1" t="s">
        <v>309</v>
      </c>
      <c r="AM1" t="s">
        <v>310</v>
      </c>
      <c r="AQ1" t="s">
        <v>305</v>
      </c>
      <c r="AX1" t="s">
        <v>311</v>
      </c>
      <c r="BE1" t="s">
        <v>221</v>
      </c>
      <c r="BJ1" t="s">
        <v>312</v>
      </c>
      <c r="BO1" t="s">
        <v>296</v>
      </c>
      <c r="BT1" t="s">
        <v>354</v>
      </c>
      <c r="BY1" t="s">
        <v>293</v>
      </c>
      <c r="CD1" t="s">
        <v>277</v>
      </c>
      <c r="CH1" t="s">
        <v>64</v>
      </c>
    </row>
    <row r="2" spans="1:89" x14ac:dyDescent="0.25">
      <c r="A2" s="187" t="s">
        <v>71</v>
      </c>
      <c r="B2" s="187" t="s">
        <v>313</v>
      </c>
      <c r="C2" s="187" t="s">
        <v>61</v>
      </c>
      <c r="D2" s="188" t="s">
        <v>314</v>
      </c>
      <c r="E2" s="187" t="s">
        <v>315</v>
      </c>
      <c r="F2" s="189" t="s">
        <v>316</v>
      </c>
      <c r="G2" s="189" t="s">
        <v>317</v>
      </c>
      <c r="H2" s="189" t="s">
        <v>318</v>
      </c>
      <c r="I2" s="190" t="s">
        <v>319</v>
      </c>
      <c r="J2" s="191" t="s">
        <v>320</v>
      </c>
      <c r="K2" s="191" t="s">
        <v>1</v>
      </c>
      <c r="L2" s="191" t="s">
        <v>2</v>
      </c>
      <c r="M2" s="191" t="s">
        <v>321</v>
      </c>
      <c r="N2" s="191" t="s">
        <v>63</v>
      </c>
      <c r="O2" s="191" t="s">
        <v>262</v>
      </c>
      <c r="P2" s="191" t="s">
        <v>322</v>
      </c>
      <c r="Q2" s="191" t="s">
        <v>0</v>
      </c>
      <c r="R2" s="192" t="s">
        <v>257</v>
      </c>
      <c r="S2" s="192" t="s">
        <v>367</v>
      </c>
      <c r="T2" s="192" t="s">
        <v>323</v>
      </c>
      <c r="U2" s="192" t="s">
        <v>324</v>
      </c>
      <c r="V2" s="192" t="s">
        <v>265</v>
      </c>
      <c r="W2" s="192" t="s">
        <v>266</v>
      </c>
      <c r="X2" s="193" t="s">
        <v>325</v>
      </c>
      <c r="Y2" s="193" t="s">
        <v>326</v>
      </c>
      <c r="Z2" s="193" t="s">
        <v>325</v>
      </c>
      <c r="AA2" s="194" t="s">
        <v>325</v>
      </c>
      <c r="AB2" s="194" t="s">
        <v>326</v>
      </c>
      <c r="AC2" s="194" t="s">
        <v>325</v>
      </c>
      <c r="AD2" s="194" t="s">
        <v>62</v>
      </c>
      <c r="AE2" s="194" t="s">
        <v>325</v>
      </c>
      <c r="AF2" s="194" t="s">
        <v>326</v>
      </c>
      <c r="AG2" s="194" t="s">
        <v>325</v>
      </c>
      <c r="AH2" s="194" t="s">
        <v>62</v>
      </c>
      <c r="AI2" s="193" t="s">
        <v>325</v>
      </c>
      <c r="AJ2" s="193" t="s">
        <v>326</v>
      </c>
      <c r="AK2" s="193" t="s">
        <v>62</v>
      </c>
      <c r="AL2" s="193" t="s">
        <v>327</v>
      </c>
      <c r="AM2" s="193" t="s">
        <v>325</v>
      </c>
      <c r="AN2" s="193" t="s">
        <v>326</v>
      </c>
      <c r="AO2" s="193" t="s">
        <v>62</v>
      </c>
      <c r="AP2" s="193" t="s">
        <v>327</v>
      </c>
      <c r="AQ2" s="193" t="s">
        <v>325</v>
      </c>
      <c r="AR2" s="193" t="s">
        <v>326</v>
      </c>
      <c r="AS2" s="193" t="s">
        <v>325</v>
      </c>
      <c r="AT2" s="193" t="s">
        <v>62</v>
      </c>
      <c r="AU2" s="193" t="s">
        <v>327</v>
      </c>
      <c r="AV2" s="193" t="s">
        <v>328</v>
      </c>
      <c r="AW2" s="193" t="s">
        <v>327</v>
      </c>
      <c r="AX2" s="193" t="s">
        <v>325</v>
      </c>
      <c r="AY2" s="193" t="s">
        <v>326</v>
      </c>
      <c r="AZ2" s="193" t="s">
        <v>325</v>
      </c>
      <c r="BA2" s="193" t="s">
        <v>62</v>
      </c>
      <c r="BB2" s="193" t="s">
        <v>327</v>
      </c>
      <c r="BC2" s="193" t="s">
        <v>328</v>
      </c>
      <c r="BD2" s="193" t="s">
        <v>327</v>
      </c>
      <c r="BE2" s="194" t="s">
        <v>325</v>
      </c>
      <c r="BF2" s="194" t="s">
        <v>326</v>
      </c>
      <c r="BG2" s="194" t="s">
        <v>62</v>
      </c>
      <c r="BH2" s="194" t="s">
        <v>327</v>
      </c>
      <c r="BI2" s="194" t="s">
        <v>328</v>
      </c>
      <c r="BJ2" s="194" t="s">
        <v>325</v>
      </c>
      <c r="BK2" s="194" t="s">
        <v>326</v>
      </c>
      <c r="BL2" s="194" t="s">
        <v>62</v>
      </c>
      <c r="BM2" s="194" t="s">
        <v>327</v>
      </c>
      <c r="BN2" s="194" t="s">
        <v>328</v>
      </c>
      <c r="BO2" s="193" t="s">
        <v>325</v>
      </c>
      <c r="BP2" s="193" t="s">
        <v>326</v>
      </c>
      <c r="BQ2" s="193" t="s">
        <v>62</v>
      </c>
      <c r="BR2" s="193" t="s">
        <v>327</v>
      </c>
      <c r="BS2" s="193" t="s">
        <v>328</v>
      </c>
      <c r="BT2" s="193" t="s">
        <v>325</v>
      </c>
      <c r="BU2" s="193" t="s">
        <v>326</v>
      </c>
      <c r="BV2" s="193" t="s">
        <v>62</v>
      </c>
      <c r="BW2" s="193" t="s">
        <v>327</v>
      </c>
      <c r="BX2" s="193" t="s">
        <v>328</v>
      </c>
      <c r="BY2" s="193" t="s">
        <v>325</v>
      </c>
      <c r="BZ2" s="193" t="s">
        <v>326</v>
      </c>
      <c r="CA2" s="193" t="s">
        <v>62</v>
      </c>
      <c r="CB2" s="193" t="s">
        <v>327</v>
      </c>
      <c r="CC2" s="193" t="s">
        <v>328</v>
      </c>
      <c r="CD2" s="194" t="s">
        <v>62</v>
      </c>
      <c r="CE2" s="194" t="s">
        <v>327</v>
      </c>
      <c r="CF2" s="194" t="s">
        <v>328</v>
      </c>
      <c r="CG2" s="194" t="s">
        <v>327</v>
      </c>
      <c r="CH2" s="193" t="s">
        <v>327</v>
      </c>
      <c r="CI2" s="193" t="s">
        <v>328</v>
      </c>
      <c r="CJ2" s="193" t="s">
        <v>327</v>
      </c>
      <c r="CK2" s="193" t="s">
        <v>62</v>
      </c>
    </row>
    <row r="3" spans="1:89" x14ac:dyDescent="0.25">
      <c r="A3" t="str">
        <f>Plantilla!D4</f>
        <v>D. Gehmacher</v>
      </c>
      <c r="B3" s="186">
        <f>Plantilla!E4</f>
        <v>35</v>
      </c>
      <c r="C3" s="115">
        <f ca="1">Plantilla!F4</f>
        <v>19</v>
      </c>
      <c r="D3" s="186">
        <f>Plantilla!G4</f>
        <v>0</v>
      </c>
      <c r="E3" s="265">
        <f>Plantilla!O4</f>
        <v>42468</v>
      </c>
      <c r="F3" s="115">
        <f>Plantilla!Q4</f>
        <v>5</v>
      </c>
      <c r="G3" s="142">
        <f>(F3/7)^0.5</f>
        <v>0.84515425472851657</v>
      </c>
      <c r="H3" s="142">
        <f>IF(F3=7,1,((F3+0.99)/7)^0.5)</f>
        <v>0.92504826128926143</v>
      </c>
      <c r="I3" s="195">
        <f ca="1">Plantilla!P4</f>
        <v>1</v>
      </c>
      <c r="J3" s="196">
        <f>Plantilla!I4</f>
        <v>23.7</v>
      </c>
      <c r="K3" s="49">
        <f>Plantilla!X4</f>
        <v>16.666666666666668</v>
      </c>
      <c r="L3" s="49">
        <f>Plantilla!Y4</f>
        <v>11.95</v>
      </c>
      <c r="M3" s="49">
        <f>Plantilla!Z4</f>
        <v>2.0699999999999985</v>
      </c>
      <c r="N3" s="49">
        <f>Plantilla!AA4</f>
        <v>2.149999999999999</v>
      </c>
      <c r="O3" s="49">
        <f>Plantilla!AB4</f>
        <v>0.95</v>
      </c>
      <c r="P3" s="49">
        <f>Plantilla!AC4</f>
        <v>0</v>
      </c>
      <c r="Q3" s="49">
        <f>Plantilla!AD4</f>
        <v>18.2</v>
      </c>
      <c r="R3" s="196">
        <f>((2*(O3+1))+(L3+1))/8</f>
        <v>2.1062499999999997</v>
      </c>
      <c r="S3" s="196">
        <f ca="1">1.66*(P3+(LOG(J3)*4/3)+I3)+0.55*(Q3+(LOG(J3)*4/3)+I3)-7.6</f>
        <v>8.6709251262431071</v>
      </c>
      <c r="T3" s="49">
        <f>(0.5*P3+ 0.3*Q3)/10</f>
        <v>0.54600000000000004</v>
      </c>
      <c r="U3" s="49">
        <f>(0.4*L3+0.3*Q3)/10</f>
        <v>1.024</v>
      </c>
      <c r="V3" s="196">
        <f ca="1">IF(TODAY()-E3&gt;335,(Q3+1+(LOG(J3)*4/3))*(F3/7)^0.5,(Q3+((TODAY()-E3)^0.5)/(336^0.5)+(LOG(J3)*4/3))*(F3/7)^0.5)</f>
        <v>17.776127575869424</v>
      </c>
      <c r="W3" s="196">
        <f ca="1">IF(F3=7,V3,IF(TODAY()-E3&gt;335,(Q3+1+(LOG(J3)*4/3))*((F3+0.99)/7)^0.5,(Q3+((TODAY()-E3)^0.5)/(336^0.5)+(LOG(J3)*4/3))*((F3+0.99)/7)^0.5))</f>
        <v>19.456538039669731</v>
      </c>
      <c r="X3" s="83">
        <f ca="1">((K3+I3+(LOG(J3)*4/3))*0.597)+((L3+I3+(LOG(J3)*4/3))*0.276)</f>
        <v>15.721407074755762</v>
      </c>
      <c r="Y3" s="83">
        <f ca="1">((K3+I3+(LOG(J3)*4/3))*0.866)+((L3+I3+(LOG(J3)*4/3))*0.425)</f>
        <v>23.169483486265392</v>
      </c>
      <c r="Z3" s="83">
        <f ca="1">X3</f>
        <v>15.721407074755762</v>
      </c>
      <c r="AA3" s="83">
        <f ca="1">((L3+I3+(LOG(J3)*4/3))*0.516)</f>
        <v>7.6280268620549521</v>
      </c>
      <c r="AB3" s="83">
        <f ca="1">(L3+I3+(LOG(J3)*4/3))*1</f>
        <v>14.782997794680139</v>
      </c>
      <c r="AC3" s="83">
        <f ca="1">AA3/2</f>
        <v>3.814013431027476</v>
      </c>
      <c r="AD3" s="83">
        <f ca="1">(M3+I3+(LOG(J3)*4/3))*0.238</f>
        <v>1.1669134751338726</v>
      </c>
      <c r="AE3" s="83">
        <f ca="1">((L3+I3+(LOG(J3)*4/3))*0.378)</f>
        <v>5.5879731663890926</v>
      </c>
      <c r="AF3" s="83">
        <f ca="1">(L3+I3+(LOG(J3)*4/3))*0.723</f>
        <v>10.68810740555374</v>
      </c>
      <c r="AG3" s="83">
        <f ca="1">AE3/2</f>
        <v>2.7939865831945463</v>
      </c>
      <c r="AH3" s="83">
        <f ca="1">(M3+I3+(LOG(J3)*4/3))*0.385</f>
        <v>1.8876541509518527</v>
      </c>
      <c r="AI3" s="83">
        <f ca="1">((L3+I3+(LOG(J3)*4/3))*0.92)</f>
        <v>13.600357971105728</v>
      </c>
      <c r="AJ3" s="83">
        <f ca="1">(L3+I3+(LOG(J3)*4/3))*0.414</f>
        <v>6.1201610869975767</v>
      </c>
      <c r="AK3" s="83">
        <f ca="1">((M3+I3+(LOG(J3)*4/3))*0.167)</f>
        <v>0.8188006317115829</v>
      </c>
      <c r="AL3" s="83">
        <f ca="1">(N3+I3+(LOG(J3)*4/3))*0.588</f>
        <v>2.9300027032719207</v>
      </c>
      <c r="AM3" s="83">
        <f ca="1">((L3+I3+(LOG(J3)*4/3))*0.754)</f>
        <v>11.146380337188825</v>
      </c>
      <c r="AN3" s="83">
        <f ca="1">((L3+I3+(LOG(J3)*4/3))*0.708)</f>
        <v>10.466362438633537</v>
      </c>
      <c r="AO3" s="83">
        <f ca="1">((Q3+I3+(LOG(J3)*4/3))*0.167)</f>
        <v>3.5125106317115833</v>
      </c>
      <c r="AP3" s="83">
        <f ca="1">((R3+I3+(LOG(J3)*4/3))*0.288)</f>
        <v>1.4225033648678798</v>
      </c>
      <c r="AQ3" s="83">
        <f ca="1">((L3+I3+(LOG(J3)*4/3))*0.27)</f>
        <v>3.9914094045636377</v>
      </c>
      <c r="AR3" s="83">
        <f ca="1">((L3+I3+(LOG(J3)*4/3))*0.594)</f>
        <v>8.7811006900400024</v>
      </c>
      <c r="AS3" s="83">
        <f ca="1">AQ3/2</f>
        <v>1.9957047022818188</v>
      </c>
      <c r="AT3" s="83">
        <f ca="1">((M3+I3+(LOG(J3)*4/3))*0.944)</f>
        <v>4.6284299181780488</v>
      </c>
      <c r="AU3" s="83">
        <f ca="1">((O3+I3+(LOG(J3)*4/3))*0.13)</f>
        <v>0.49178971330841803</v>
      </c>
      <c r="AV3" s="83">
        <f ca="1">((P3+I3+(LOG(J3)*4/3))*0.173)+((O3+I3+(LOG(J3)*4/3))*0.12)</f>
        <v>0.94406835384128052</v>
      </c>
      <c r="AW3" s="83">
        <f ca="1">AU3/2</f>
        <v>0.24589485665420902</v>
      </c>
      <c r="AX3" s="83">
        <f ca="1">((L3+I3+(LOG(J3)*4/3))*0.189)</f>
        <v>2.7939865831945463</v>
      </c>
      <c r="AY3" s="83">
        <f ca="1">((L3+I3+(LOG(J3)*4/3))*0.4)</f>
        <v>5.9131991178720558</v>
      </c>
      <c r="AZ3" s="83">
        <f ca="1">AX3/2</f>
        <v>1.3969932915972731</v>
      </c>
      <c r="BA3" s="83">
        <f ca="1">((M3+I3+(LOG(J3)*4/3))*1)</f>
        <v>4.9029977946801369</v>
      </c>
      <c r="BB3" s="83">
        <f ca="1">((O3+I3+(LOG(J3)*4/3))*0.253)</f>
        <v>0.95709844205407502</v>
      </c>
      <c r="BC3" s="83">
        <f ca="1">((P3+I3+(LOG(J3)*4/3))*0.21)+((O3+I3+(LOG(J3)*4/3))*0.341)</f>
        <v>1.8849317848687566</v>
      </c>
      <c r="BD3" s="83">
        <f ca="1">BB3/2</f>
        <v>0.47854922102703751</v>
      </c>
      <c r="BE3" s="83">
        <f ca="1">((L3+I3+(LOG(J3)*4/3))*0.291)</f>
        <v>4.3018523582519199</v>
      </c>
      <c r="BF3" s="83">
        <f ca="1">((L3+I3+(LOG(J3)*4/3))*0.348)</f>
        <v>5.144483232548688</v>
      </c>
      <c r="BG3" s="83">
        <f ca="1">((M3+I3+(LOG(J3)*4/3))*0.881)</f>
        <v>4.3195410571132005</v>
      </c>
      <c r="BH3" s="83">
        <f ca="1">((N3+I3+(LOG(J3)*4/3))*0.574)+((O3+I3+(LOG(J3)*4/3))*0.315)</f>
        <v>4.0518850394706423</v>
      </c>
      <c r="BI3" s="83">
        <f ca="1">((O3+I3+(LOG(J3)*4/3))*0.241)</f>
        <v>0.91170246851791337</v>
      </c>
      <c r="BJ3" s="83">
        <f ca="1">((L3+I3+(LOG(J3)*4/3))*0.485)</f>
        <v>7.1697539304198674</v>
      </c>
      <c r="BK3" s="83">
        <f ca="1">((L3+I3+(LOG(J3)*4/3))*0.264)</f>
        <v>3.9027114177955569</v>
      </c>
      <c r="BL3" s="83">
        <f ca="1">((M3+I3+(LOG(J3)*4/3))*0.381)</f>
        <v>1.8680421597731323</v>
      </c>
      <c r="BM3" s="83">
        <f ca="1">((N3+I3+(LOG(J3)*4/3))*0.673)+((O3+I3+(LOG(J3)*4/3))*0.201)</f>
        <v>4.1139400725504407</v>
      </c>
      <c r="BN3" s="83">
        <f ca="1">((O3+I3+(LOG(J3)*4/3))*0.052)</f>
        <v>0.1967158853233672</v>
      </c>
      <c r="BO3" s="83">
        <f ca="1">((L3+I3+(LOG(J3)*4/3))*0.18)</f>
        <v>2.6609396030424248</v>
      </c>
      <c r="BP3" s="83">
        <f ca="1">(L3+I3+(LOG(J3)*4/3))*0.068</f>
        <v>1.0052438500382495</v>
      </c>
      <c r="BQ3" s="83">
        <f ca="1">((M3+I3+(LOG(J3)*4/3))*0.305)</f>
        <v>1.4954143273774416</v>
      </c>
      <c r="BR3" s="83">
        <f ca="1">((N3+I3+(LOG(J3)*4/3))*1)+((O3+I3+(LOG(J3)*4/3))*0.286)</f>
        <v>6.0649351639586575</v>
      </c>
      <c r="BS3" s="83">
        <f ca="1">((O3+I3+(LOG(J3)*4/3))*0.135)</f>
        <v>0.51070470228181875</v>
      </c>
      <c r="BT3" s="83">
        <f ca="1">((L3+I3+(LOG(J3)*4/3))*0.284)</f>
        <v>4.1983713736891586</v>
      </c>
      <c r="BU3" s="83">
        <f ca="1">(L3+I3+(LOG(J3)*4/3))*0.244</f>
        <v>3.6070514619019538</v>
      </c>
      <c r="BV3" s="83">
        <f ca="1">((M3+I3+(LOG(J3)*4/3))*0.455)</f>
        <v>2.2308639965794623</v>
      </c>
      <c r="BW3" s="83">
        <f ca="1">((N3+I3+(LOG(J3)*4/3))*0.864)+((O3+I3+(LOG(J3)*4/3))*0.244)</f>
        <v>5.2283615565055932</v>
      </c>
      <c r="BX3" s="83">
        <f ca="1">((O3+I3+(LOG(J3)*4/3))*0.121)</f>
        <v>0.45774273315629677</v>
      </c>
      <c r="BY3" s="83">
        <f ca="1">((L3+I3+(LOG(J3)*4/3))*0.284)</f>
        <v>4.1983713736891586</v>
      </c>
      <c r="BZ3" s="83">
        <f ca="1">((L3+I3+(LOG(J3)*4/3))*0.244)</f>
        <v>3.6070514619019538</v>
      </c>
      <c r="CA3" s="83">
        <f ca="1">((M3+I3+(LOG(J3)*4/3))*0.631)</f>
        <v>3.0937916084431665</v>
      </c>
      <c r="CB3" s="83">
        <f ca="1">((N3+I3+(LOG(J3)*4/3))*0.702)+((O3+I3+(LOG(J3)*4/3))*0.193)</f>
        <v>4.2281830262387228</v>
      </c>
      <c r="CC3" s="83">
        <f ca="1">((O3+I3+(LOG(J3)*4/3))*0.148)</f>
        <v>0.55988367361266045</v>
      </c>
      <c r="CD3" s="83">
        <f ca="1">((M3+I3+(LOG(J3)*4/3))*0.406)</f>
        <v>1.9906171046401357</v>
      </c>
      <c r="CE3" s="83">
        <f ca="1">IF(D3="TEC",((N3+I3+(LOG(J3)*4/3))*0.15)+((O3+I3+(LOG(J3)*4/3))*0.324)+((P3+I3+(LOG(J3)*4/3))*0.127),(((N3+I3+(LOG(J3)*4/3))*0.144)+((O3+I3+(LOG(J3)*4/3))*0.25)+((P3+I3+(LOG(J3)*4/3))*0.127)))</f>
        <v>2.0230918510283522</v>
      </c>
      <c r="CF3" s="83">
        <f ca="1">((O3+I3+(LOG(J3)*4/3))*0.543)+((P3+I3+(LOG(J3)*4/3))*0.583)</f>
        <v>3.7058055168098356</v>
      </c>
      <c r="CG3" s="83">
        <f ca="1">CE3</f>
        <v>2.0230918510283522</v>
      </c>
      <c r="CH3" s="83">
        <f ca="1">((P3+1+(LOG(J3)*4/3))*0.26)+((N3+I3+(LOG(J3)*4/3))*0.221)+((O3+I3+(LOG(J3)*4/3))*0.142)</f>
        <v>2.375007626085726</v>
      </c>
      <c r="CI3" s="83">
        <f ca="1">((P3+I3+(LOG(J3)*4/3))*1)+((O3+I3+(LOG(J3)*4/3))*0.369)</f>
        <v>4.2289239809171093</v>
      </c>
      <c r="CJ3" s="83">
        <f ca="1">CH3</f>
        <v>2.375007626085726</v>
      </c>
      <c r="CK3" s="83">
        <f ca="1">((M3+I3+(LOG(J3)*4/3))*0.25)</f>
        <v>1.2257494486700342</v>
      </c>
    </row>
    <row r="4" spans="1:89" x14ac:dyDescent="0.25">
      <c r="A4" t="str">
        <f>Plantilla!D5</f>
        <v>T. Hammond</v>
      </c>
      <c r="B4" s="320">
        <f>Plantilla!E5</f>
        <v>39</v>
      </c>
      <c r="C4" s="115">
        <f ca="1">Plantilla!F5</f>
        <v>28</v>
      </c>
      <c r="D4" s="320" t="str">
        <f>Plantilla!G5</f>
        <v>CAB</v>
      </c>
      <c r="E4" s="265">
        <v>36526</v>
      </c>
      <c r="F4" s="115">
        <f>Plantilla!Q5</f>
        <v>4</v>
      </c>
      <c r="G4" s="142">
        <f t="shared" ref="G4:G26" si="0">(F4/7)^0.5</f>
        <v>0.7559289460184544</v>
      </c>
      <c r="H4" s="142">
        <f t="shared" ref="H4:H26" si="1">IF(F4=7,1,((F4+0.99)/7)^0.5)</f>
        <v>0.84430867747355465</v>
      </c>
      <c r="I4" s="195">
        <f>Plantilla!P5</f>
        <v>1.5</v>
      </c>
      <c r="J4" s="196">
        <f>Plantilla!I5</f>
        <v>8.4</v>
      </c>
      <c r="K4" s="49">
        <f>Plantilla!X5</f>
        <v>7.95</v>
      </c>
      <c r="L4" s="49">
        <f>Plantilla!Y5</f>
        <v>6.95</v>
      </c>
      <c r="M4" s="49">
        <f>Plantilla!Z5</f>
        <v>0.95</v>
      </c>
      <c r="N4" s="49">
        <f>Plantilla!AA5</f>
        <v>0.95</v>
      </c>
      <c r="O4" s="49">
        <f>Plantilla!AB5</f>
        <v>1.95</v>
      </c>
      <c r="P4" s="49">
        <f>Plantilla!AC5</f>
        <v>0</v>
      </c>
      <c r="Q4" s="49">
        <f>Plantilla!AD5</f>
        <v>14.95</v>
      </c>
      <c r="R4" s="196">
        <f t="shared" ref="R4:R26" si="2">((2*(O4+1))+(L4+1))/8</f>
        <v>1.7312500000000002</v>
      </c>
      <c r="S4" s="196">
        <f t="shared" ref="S4:S26" si="3">1.66*(P4+(LOG(J4)*4/3)+I4)+0.55*(Q4+(LOG(J4)*4/3)+I4)-7.6</f>
        <v>6.6610429629290131</v>
      </c>
      <c r="T4" s="49">
        <f t="shared" ref="T4:T26" si="4">(0.5*P4+ 0.3*Q4)/10</f>
        <v>0.44849999999999995</v>
      </c>
      <c r="U4" s="49">
        <f t="shared" ref="U4:U26" si="5">(0.4*L4+0.3*Q4)/10</f>
        <v>0.72649999999999992</v>
      </c>
      <c r="V4" s="196">
        <f t="shared" ref="V4:V26" ca="1" si="6">IF(TODAY()-E4&gt;335,(Q4+1+(LOG(J4)*4/3))*(F4/7)^0.5,(Q4+((TODAY()-E4)^0.5)/(336^0.5)+(LOG(J4)*4/3))*(F4/7)^0.5)</f>
        <v>12.988652644380277</v>
      </c>
      <c r="W4" s="196">
        <f t="shared" ref="W4:W26" ca="1" si="7">IF(F4=7,V4,IF(TODAY()-E4&gt;335,(Q4+1+(LOG(J4)*4/3))*((F4+0.99)/7)^0.5,(Q4+((TODAY()-E4)^0.5)/(336^0.5)+(LOG(J4)*4/3))*((F4+0.99)/7)^0.5))</f>
        <v>14.507226101211341</v>
      </c>
      <c r="X4" s="83">
        <f t="shared" ref="X4:X26" si="8">((K4+I4+(LOG(J4)*4/3))*0.597)+((L4+I4+(LOG(J4)*4/3))*0.276)</f>
        <v>9.0497110889760286</v>
      </c>
      <c r="Y4" s="83">
        <f t="shared" ref="Y4:Y26" si="9">((K4+I4+(LOG(J4)*4/3))*0.866)+((L4+I4+(LOG(J4)*4/3))*0.425)</f>
        <v>13.365942744407853</v>
      </c>
      <c r="Z4" s="83">
        <f t="shared" ref="Z4:Z26" si="10">X4</f>
        <v>9.0497110889760286</v>
      </c>
      <c r="AA4" s="83">
        <f t="shared" ref="AA4:AA26" si="11">((L4+I4+(LOG(J4)*4/3))*0.516)</f>
        <v>4.9961041488105744</v>
      </c>
      <c r="AB4" s="83">
        <f t="shared" ref="AB4:AB26" si="12">(L4+I4+(LOG(J4)*4/3))*1</f>
        <v>9.682372381415842</v>
      </c>
      <c r="AC4" s="83">
        <f t="shared" ref="AC4:AC26" si="13">AA4/2</f>
        <v>2.4980520744052872</v>
      </c>
      <c r="AD4" s="83">
        <f t="shared" ref="AD4:AD26" si="14">(M4+I4+(LOG(J4)*4/3))*0.238</f>
        <v>0.87640462677697051</v>
      </c>
      <c r="AE4" s="83">
        <f t="shared" ref="AE4:AE26" si="15">((L4+I4+(LOG(J4)*4/3))*0.378)</f>
        <v>3.6599367601751882</v>
      </c>
      <c r="AF4" s="83">
        <f t="shared" ref="AF4:AF26" si="16">(L4+I4+(LOG(J4)*4/3))*0.723</f>
        <v>7.0003552317636535</v>
      </c>
      <c r="AG4" s="83">
        <f t="shared" ref="AG4:AG26" si="17">AE4/2</f>
        <v>1.8299683800875941</v>
      </c>
      <c r="AH4" s="83">
        <f t="shared" ref="AH4:AH26" si="18">(M4+I4+(LOG(J4)*4/3))*0.385</f>
        <v>1.4177133668450994</v>
      </c>
      <c r="AI4" s="83">
        <f t="shared" ref="AI4:AI26" si="19">((L4+I4+(LOG(J4)*4/3))*0.92)</f>
        <v>8.9077825909025758</v>
      </c>
      <c r="AJ4" s="83">
        <f t="shared" ref="AJ4:AJ26" si="20">(L4+I4+(LOG(J4)*4/3))*0.414</f>
        <v>4.0085021659061582</v>
      </c>
      <c r="AK4" s="83">
        <f t="shared" ref="AK4:AK26" si="21">((M4+I4+(LOG(J4)*4/3))*0.167)</f>
        <v>0.61495618769644578</v>
      </c>
      <c r="AL4" s="83">
        <f t="shared" ref="AL4:AL26" si="22">(N4+I4+(LOG(J4)*4/3))*0.588</f>
        <v>2.1652349602725152</v>
      </c>
      <c r="AM4" s="83">
        <f t="shared" ref="AM4:AM26" si="23">((L4+I4+(LOG(J4)*4/3))*0.754)</f>
        <v>7.3005087755875451</v>
      </c>
      <c r="AN4" s="83">
        <f t="shared" ref="AN4:AN26" si="24">((L4+I4+(LOG(J4)*4/3))*0.708)</f>
        <v>6.8551196460424162</v>
      </c>
      <c r="AO4" s="83">
        <f t="shared" ref="AO4:AO26" si="25">((Q4+I4+(LOG(J4)*4/3))*0.167)</f>
        <v>2.9529561876964459</v>
      </c>
      <c r="AP4" s="83">
        <f t="shared" ref="AP4:AP26" si="26">((R4+I4+(LOG(J4)*4/3))*0.288)</f>
        <v>1.2855232458477623</v>
      </c>
      <c r="AQ4" s="83">
        <f t="shared" ref="AQ4:AQ26" si="27">((L4+I4+(LOG(J4)*4/3))*0.27)</f>
        <v>2.6142405429822775</v>
      </c>
      <c r="AR4" s="83">
        <f t="shared" ref="AR4:AR26" si="28">((L4+I4+(LOG(J4)*4/3))*0.594)</f>
        <v>5.7513291945610101</v>
      </c>
      <c r="AS4" s="83">
        <f t="shared" ref="AS4:AS26" si="29">AQ4/2</f>
        <v>1.3071202714911387</v>
      </c>
      <c r="AT4" s="83">
        <f t="shared" ref="AT4:AT26" si="30">((M4+I4+(LOG(J4)*4/3))*0.944)</f>
        <v>3.4761595280565549</v>
      </c>
      <c r="AU4" s="83">
        <f t="shared" ref="AU4:AU26" si="31">((O4+I4+(LOG(J4)*4/3))*0.13)</f>
        <v>0.60870840958405947</v>
      </c>
      <c r="AV4" s="83">
        <f t="shared" ref="AV4:AV26" si="32">((P4+I4+(LOG(J4)*4/3))*0.173)+((O4+I4+(LOG(J4)*4/3))*0.12)</f>
        <v>1.0345851077548418</v>
      </c>
      <c r="AW4" s="83">
        <f t="shared" ref="AW4:AW26" si="33">AU4/2</f>
        <v>0.30435420479202974</v>
      </c>
      <c r="AX4" s="83">
        <f t="shared" ref="AX4:AX26" si="34">((L4+I4+(LOG(J4)*4/3))*0.189)</f>
        <v>1.8299683800875941</v>
      </c>
      <c r="AY4" s="83">
        <f t="shared" ref="AY4:AY26" si="35">((L4+I4+(LOG(J4)*4/3))*0.4)</f>
        <v>3.872948952566337</v>
      </c>
      <c r="AZ4" s="83">
        <f t="shared" ref="AZ4:AZ26" si="36">AX4/2</f>
        <v>0.91498419004379705</v>
      </c>
      <c r="BA4" s="83">
        <f t="shared" ref="BA4:BA26" si="37">((M4+I4+(LOG(J4)*4/3))*1)</f>
        <v>3.6823723814158424</v>
      </c>
      <c r="BB4" s="83">
        <f t="shared" ref="BB4:BB26" si="38">((O4+I4+(LOG(J4)*4/3))*0.253)</f>
        <v>1.1846402124982081</v>
      </c>
      <c r="BC4" s="83">
        <f t="shared" ref="BC4:BC26" si="39">((P4+I4+(LOG(J4)*4/3))*0.21)+((O4+I4+(LOG(J4)*4/3))*0.341)</f>
        <v>2.1704871821601293</v>
      </c>
      <c r="BD4" s="83">
        <f t="shared" ref="BD4:BD26" si="40">BB4/2</f>
        <v>0.59232010624910403</v>
      </c>
      <c r="BE4" s="83">
        <f t="shared" ref="BE4:BE26" si="41">((L4+I4+(LOG(J4)*4/3))*0.291)</f>
        <v>2.8175703629920097</v>
      </c>
      <c r="BF4" s="83">
        <f t="shared" ref="BF4:BF26" si="42">((L4+I4+(LOG(J4)*4/3))*0.348)</f>
        <v>3.3694655887327127</v>
      </c>
      <c r="BG4" s="83">
        <f t="shared" ref="BG4:BG26" si="43">((M4+I4+(LOG(J4)*4/3))*0.881)</f>
        <v>3.2441700680273571</v>
      </c>
      <c r="BH4" s="83">
        <f t="shared" ref="BH4:BH26" si="44">((N4+I4+(LOG(J4)*4/3))*0.574)+((O4+I4+(LOG(J4)*4/3))*0.315)</f>
        <v>3.5886290470786841</v>
      </c>
      <c r="BI4" s="83">
        <f t="shared" ref="BI4:BI26" si="45">((O4+I4+(LOG(J4)*4/3))*0.241)</f>
        <v>1.1284517439212178</v>
      </c>
      <c r="BJ4" s="83">
        <f t="shared" ref="BJ4:BJ26" si="46">((L4+I4+(LOG(J4)*4/3))*0.485)</f>
        <v>4.6959506049866828</v>
      </c>
      <c r="BK4" s="83">
        <f t="shared" ref="BK4:BK26" si="47">((L4+I4+(LOG(J4)*4/3))*0.264)</f>
        <v>2.5561463086937826</v>
      </c>
      <c r="BL4" s="83">
        <f t="shared" ref="BL4:BL26" si="48">((M4+I4+(LOG(J4)*4/3))*0.381)</f>
        <v>1.4029838773194361</v>
      </c>
      <c r="BM4" s="83">
        <f t="shared" ref="BM4:BM26" si="49">((N4+I4+(LOG(J4)*4/3))*0.673)+((O4+I4+(LOG(J4)*4/3))*0.201)</f>
        <v>3.4193934613574464</v>
      </c>
      <c r="BN4" s="83">
        <f t="shared" ref="BN4:BN26" si="50">((O4+I4+(LOG(J4)*4/3))*0.052)</f>
        <v>0.24348336383362376</v>
      </c>
      <c r="BO4" s="83">
        <f t="shared" ref="BO4:BO26" si="51">((L4+I4+(LOG(J4)*4/3))*0.18)</f>
        <v>1.7428270286548515</v>
      </c>
      <c r="BP4" s="83">
        <f t="shared" ref="BP4:BP26" si="52">(L4+I4+(LOG(J4)*4/3))*0.068</f>
        <v>0.65840132193627732</v>
      </c>
      <c r="BQ4" s="83">
        <f t="shared" ref="BQ4:BQ26" si="53">((M4+I4+(LOG(J4)*4/3))*0.305)</f>
        <v>1.1231235763318319</v>
      </c>
      <c r="BR4" s="83">
        <f t="shared" ref="BR4:BR26" si="54">((N4+I4+(LOG(J4)*4/3))*1)+((O4+I4+(LOG(J4)*4/3))*0.286)</f>
        <v>5.0215308825007732</v>
      </c>
      <c r="BS4" s="83">
        <f t="shared" ref="BS4:BS26" si="55">((O4+I4+(LOG(J4)*4/3))*0.135)</f>
        <v>0.6321202714911387</v>
      </c>
      <c r="BT4" s="83">
        <f t="shared" ref="BT4:BT26" si="56">((L4+I4+(LOG(J4)*4/3))*0.284)</f>
        <v>2.7497937563220991</v>
      </c>
      <c r="BU4" s="83">
        <f t="shared" ref="BU4:BU26" si="57">(L4+I4+(LOG(J4)*4/3))*0.244</f>
        <v>2.3624988610654656</v>
      </c>
      <c r="BV4" s="83">
        <f t="shared" ref="BV4:BV26" si="58">((M4+I4+(LOG(J4)*4/3))*0.455)</f>
        <v>1.6754794335442085</v>
      </c>
      <c r="BW4" s="83">
        <f t="shared" ref="BW4:BW26" si="59">((N4+I4+(LOG(J4)*4/3))*0.864)+((O4+I4+(LOG(J4)*4/3))*0.244)</f>
        <v>4.3240685986087533</v>
      </c>
      <c r="BX4" s="83">
        <f t="shared" ref="BX4:BX26" si="60">((O4+I4+(LOG(J4)*4/3))*0.121)</f>
        <v>0.56656705815131692</v>
      </c>
      <c r="BY4" s="83">
        <f t="shared" ref="BY4:BY26" si="61">((L4+I4+(LOG(J4)*4/3))*0.284)</f>
        <v>2.7497937563220991</v>
      </c>
      <c r="BZ4" s="83">
        <f t="shared" ref="BZ4:BZ26" si="62">((L4+I4+(LOG(J4)*4/3))*0.244)</f>
        <v>2.3624988610654656</v>
      </c>
      <c r="CA4" s="83">
        <f t="shared" ref="CA4:CA26" si="63">((M4+I4+(LOG(J4)*4/3))*0.631)</f>
        <v>2.3235769726733966</v>
      </c>
      <c r="CB4" s="83">
        <f t="shared" ref="CB4:CB26" si="64">((N4+I4+(LOG(J4)*4/3))*0.702)+((O4+I4+(LOG(J4)*4/3))*0.193)</f>
        <v>3.4887232813671787</v>
      </c>
      <c r="CC4" s="83">
        <f t="shared" ref="CC4:CC26" si="65">((O4+I4+(LOG(J4)*4/3))*0.148)</f>
        <v>0.69299111244954459</v>
      </c>
      <c r="CD4" s="83">
        <f t="shared" ref="CD4:CD26" si="66">((M4+I4+(LOG(J4)*4/3))*0.406)</f>
        <v>1.4950431868548322</v>
      </c>
      <c r="CE4" s="83">
        <f t="shared" ref="CE4:CE26" si="67">IF(D4="TEC",((N4+I4+(LOG(J4)*4/3))*0.15)+((O4+I4+(LOG(J4)*4/3))*0.324)+((P4+I4+(LOG(J4)*4/3))*0.127),(((N4+I4+(LOG(J4)*4/3))*0.144)+((O4+I4+(LOG(J4)*4/3))*0.25)+((P4+I4+(LOG(J4)*4/3))*0.127)))</f>
        <v>2.0478660107176538</v>
      </c>
      <c r="CF4" s="83">
        <f t="shared" ref="CF4:CF26" si="68">((O4+I4+(LOG(J4)*4/3))*0.543)+((P4+I4+(LOG(J4)*4/3))*0.583)</f>
        <v>4.135501301474239</v>
      </c>
      <c r="CG4" s="83">
        <f t="shared" ref="CG4:CG26" si="69">CE4</f>
        <v>2.0478660107176538</v>
      </c>
      <c r="CH4" s="83">
        <f t="shared" ref="CH4:CH26" si="70">((P4+1+(LOG(J4)*4/3))*0.26)+((N4+I4+(LOG(J4)*4/3))*0.221)+((O4+I4+(LOG(J4)*4/3))*0.142)</f>
        <v>2.0591179936220696</v>
      </c>
      <c r="CI4" s="83">
        <f t="shared" ref="CI4:CI26" si="71">((P4+I4+(LOG(J4)*4/3))*1)+((O4+I4+(LOG(J4)*4/3))*0.369)</f>
        <v>4.4601677901582875</v>
      </c>
      <c r="CJ4" s="83">
        <f t="shared" ref="CJ4:CJ26" si="72">CH4</f>
        <v>2.0591179936220696</v>
      </c>
      <c r="CK4" s="83">
        <f t="shared" ref="CK4:CK26" si="73">((M4+I4+(LOG(J4)*4/3))*0.25)</f>
        <v>0.92059309535396061</v>
      </c>
    </row>
    <row r="5" spans="1:89" x14ac:dyDescent="0.25">
      <c r="A5" t="str">
        <f>Plantilla!D6</f>
        <v>E. Toney</v>
      </c>
      <c r="B5" s="320">
        <f>Plantilla!E6</f>
        <v>36</v>
      </c>
      <c r="C5" s="115">
        <f ca="1">Plantilla!F6</f>
        <v>30</v>
      </c>
      <c r="D5" s="320">
        <f>Plantilla!G6</f>
        <v>0</v>
      </c>
      <c r="E5" s="265">
        <v>36526</v>
      </c>
      <c r="F5" s="115">
        <f>Plantilla!Q6</f>
        <v>6</v>
      </c>
      <c r="G5" s="142">
        <f t="shared" si="0"/>
        <v>0.92582009977255142</v>
      </c>
      <c r="H5" s="142">
        <f t="shared" si="1"/>
        <v>0.99928545900129484</v>
      </c>
      <c r="I5" s="195">
        <f>Plantilla!P6</f>
        <v>1.5</v>
      </c>
      <c r="J5" s="196">
        <f>Plantilla!I6</f>
        <v>18</v>
      </c>
      <c r="K5" s="49">
        <f>Plantilla!X6</f>
        <v>0</v>
      </c>
      <c r="L5" s="49">
        <f>Plantilla!Y6</f>
        <v>11.95</v>
      </c>
      <c r="M5" s="49">
        <f>Plantilla!Z6</f>
        <v>12.95</v>
      </c>
      <c r="N5" s="49">
        <f>Plantilla!AA6</f>
        <v>8.9499999999999993</v>
      </c>
      <c r="O5" s="49">
        <f>Plantilla!AB6</f>
        <v>8.9499999999999993</v>
      </c>
      <c r="P5" s="49">
        <f>Plantilla!AC6</f>
        <v>0.95</v>
      </c>
      <c r="Q5" s="49">
        <f>Plantilla!AD6</f>
        <v>17.177777777777774</v>
      </c>
      <c r="R5" s="196">
        <f t="shared" si="2"/>
        <v>4.1062499999999993</v>
      </c>
      <c r="S5" s="196">
        <f t="shared" si="3"/>
        <v>10.438647426148853</v>
      </c>
      <c r="T5" s="49">
        <f t="shared" si="4"/>
        <v>0.56283333333333307</v>
      </c>
      <c r="U5" s="49">
        <f t="shared" si="5"/>
        <v>0.99333333333333318</v>
      </c>
      <c r="V5" s="196">
        <f t="shared" ca="1" si="6"/>
        <v>18.378894057087464</v>
      </c>
      <c r="W5" s="196">
        <f t="shared" ca="1" si="7"/>
        <v>19.837289758868682</v>
      </c>
      <c r="X5" s="83">
        <f t="shared" si="8"/>
        <v>6.0688371959402483</v>
      </c>
      <c r="Y5" s="83">
        <f t="shared" si="9"/>
        <v>9.1759924054511579</v>
      </c>
      <c r="Z5" s="83">
        <f t="shared" si="10"/>
        <v>6.0688371959402483</v>
      </c>
      <c r="AA5" s="83">
        <f t="shared" si="11"/>
        <v>7.8038274835110739</v>
      </c>
      <c r="AB5" s="83">
        <f t="shared" si="12"/>
        <v>15.123696673471073</v>
      </c>
      <c r="AC5" s="83">
        <f t="shared" si="13"/>
        <v>3.901913741755537</v>
      </c>
      <c r="AD5" s="83">
        <f t="shared" si="14"/>
        <v>3.8374398082861152</v>
      </c>
      <c r="AE5" s="83">
        <f t="shared" si="15"/>
        <v>5.7167573425720661</v>
      </c>
      <c r="AF5" s="83">
        <f t="shared" si="16"/>
        <v>10.934432694919586</v>
      </c>
      <c r="AG5" s="83">
        <f t="shared" si="17"/>
        <v>2.8583786712860331</v>
      </c>
      <c r="AH5" s="83">
        <f t="shared" si="18"/>
        <v>6.2076232192863632</v>
      </c>
      <c r="AI5" s="83">
        <f t="shared" si="19"/>
        <v>13.913800939593388</v>
      </c>
      <c r="AJ5" s="83">
        <f t="shared" si="20"/>
        <v>6.2612104228170242</v>
      </c>
      <c r="AK5" s="83">
        <f t="shared" si="21"/>
        <v>2.6926573444696693</v>
      </c>
      <c r="AL5" s="83">
        <f t="shared" si="22"/>
        <v>7.1287336440009907</v>
      </c>
      <c r="AM5" s="83">
        <f t="shared" si="23"/>
        <v>11.403267291797189</v>
      </c>
      <c r="AN5" s="83">
        <f t="shared" si="24"/>
        <v>10.70757724481752</v>
      </c>
      <c r="AO5" s="83">
        <f t="shared" si="25"/>
        <v>3.398696233358558</v>
      </c>
      <c r="AP5" s="83">
        <f t="shared" si="26"/>
        <v>2.0966246419596692</v>
      </c>
      <c r="AQ5" s="83">
        <f t="shared" si="27"/>
        <v>4.0833981018371901</v>
      </c>
      <c r="AR5" s="83">
        <f t="shared" si="28"/>
        <v>8.9834758240418164</v>
      </c>
      <c r="AS5" s="83">
        <f t="shared" si="29"/>
        <v>2.041699050918595</v>
      </c>
      <c r="AT5" s="83">
        <f t="shared" si="30"/>
        <v>15.220769659756693</v>
      </c>
      <c r="AU5" s="83">
        <f t="shared" si="31"/>
        <v>1.5760805675512395</v>
      </c>
      <c r="AV5" s="83">
        <f t="shared" si="32"/>
        <v>2.1682431253270247</v>
      </c>
      <c r="AW5" s="83">
        <f t="shared" si="33"/>
        <v>0.78804028377561974</v>
      </c>
      <c r="AX5" s="83">
        <f t="shared" si="34"/>
        <v>2.8583786712860331</v>
      </c>
      <c r="AY5" s="83">
        <f t="shared" si="35"/>
        <v>6.0494786693884297</v>
      </c>
      <c r="AZ5" s="83">
        <f t="shared" si="36"/>
        <v>1.4291893356430165</v>
      </c>
      <c r="BA5" s="83">
        <f t="shared" si="37"/>
        <v>16.123696673471073</v>
      </c>
      <c r="BB5" s="83">
        <f t="shared" si="38"/>
        <v>3.0672952583881816</v>
      </c>
      <c r="BC5" s="83">
        <f t="shared" si="39"/>
        <v>5.0001568670825627</v>
      </c>
      <c r="BD5" s="83">
        <f t="shared" si="40"/>
        <v>1.5336476291940908</v>
      </c>
      <c r="BE5" s="83">
        <f t="shared" si="41"/>
        <v>4.4009957319800819</v>
      </c>
      <c r="BF5" s="83">
        <f t="shared" si="42"/>
        <v>5.2630464423679335</v>
      </c>
      <c r="BG5" s="83">
        <f t="shared" si="43"/>
        <v>14.204976769328015</v>
      </c>
      <c r="BH5" s="83">
        <f t="shared" si="44"/>
        <v>10.777966342715784</v>
      </c>
      <c r="BI5" s="83">
        <f t="shared" si="45"/>
        <v>2.9218108983065285</v>
      </c>
      <c r="BJ5" s="83">
        <f t="shared" si="46"/>
        <v>7.3349928866334704</v>
      </c>
      <c r="BK5" s="83">
        <f t="shared" si="47"/>
        <v>3.9926559217963637</v>
      </c>
      <c r="BL5" s="83">
        <f t="shared" si="48"/>
        <v>6.1431284325924791</v>
      </c>
      <c r="BM5" s="83">
        <f t="shared" si="49"/>
        <v>10.596110892613719</v>
      </c>
      <c r="BN5" s="83">
        <f t="shared" si="50"/>
        <v>0.63043222702049584</v>
      </c>
      <c r="BO5" s="83">
        <f t="shared" si="51"/>
        <v>2.7222654012247931</v>
      </c>
      <c r="BP5" s="83">
        <f t="shared" si="52"/>
        <v>1.028411373796033</v>
      </c>
      <c r="BQ5" s="83">
        <f t="shared" si="53"/>
        <v>4.917727485408677</v>
      </c>
      <c r="BR5" s="83">
        <f t="shared" si="54"/>
        <v>15.591073922083801</v>
      </c>
      <c r="BS5" s="83">
        <f t="shared" si="55"/>
        <v>1.636699050918595</v>
      </c>
      <c r="BT5" s="83">
        <f t="shared" si="56"/>
        <v>4.2951298552657846</v>
      </c>
      <c r="BU5" s="83">
        <f t="shared" si="57"/>
        <v>3.690181988326942</v>
      </c>
      <c r="BV5" s="83">
        <f t="shared" si="58"/>
        <v>7.3362819864293387</v>
      </c>
      <c r="BW5" s="83">
        <f t="shared" si="59"/>
        <v>13.43305591420595</v>
      </c>
      <c r="BX5" s="83">
        <f t="shared" si="60"/>
        <v>1.4669672974899999</v>
      </c>
      <c r="BY5" s="83">
        <f t="shared" si="61"/>
        <v>4.2951298552657846</v>
      </c>
      <c r="BZ5" s="83">
        <f t="shared" si="62"/>
        <v>3.690181988326942</v>
      </c>
      <c r="CA5" s="83">
        <f t="shared" si="63"/>
        <v>10.174052600960247</v>
      </c>
      <c r="CB5" s="83">
        <f t="shared" si="64"/>
        <v>10.85070852275661</v>
      </c>
      <c r="CC5" s="83">
        <f t="shared" si="65"/>
        <v>1.7943071076737187</v>
      </c>
      <c r="CD5" s="83">
        <f t="shared" si="66"/>
        <v>6.5462208494292566</v>
      </c>
      <c r="CE5" s="83">
        <f t="shared" si="67"/>
        <v>5.3004459668784296</v>
      </c>
      <c r="CF5" s="83">
        <f t="shared" si="68"/>
        <v>8.9872824543284295</v>
      </c>
      <c r="CG5" s="83">
        <f t="shared" si="69"/>
        <v>5.3004459668784296</v>
      </c>
      <c r="CH5" s="83">
        <f t="shared" si="70"/>
        <v>5.3430630275724793</v>
      </c>
      <c r="CI5" s="83">
        <f t="shared" si="71"/>
        <v>8.5973407459819011</v>
      </c>
      <c r="CJ5" s="83">
        <f t="shared" si="72"/>
        <v>5.3430630275724793</v>
      </c>
      <c r="CK5" s="83">
        <f t="shared" si="73"/>
        <v>4.0309241683677683</v>
      </c>
    </row>
    <row r="6" spans="1:89" x14ac:dyDescent="0.25">
      <c r="A6" t="str">
        <f>Plantilla!D7</f>
        <v>B. Bartolache</v>
      </c>
      <c r="B6" s="320">
        <f>Plantilla!E7</f>
        <v>36</v>
      </c>
      <c r="C6" s="115">
        <f ca="1">Plantilla!F7</f>
        <v>15</v>
      </c>
      <c r="D6" s="320">
        <f>Plantilla!G7</f>
        <v>0</v>
      </c>
      <c r="E6" s="265">
        <v>36526</v>
      </c>
      <c r="F6" s="115">
        <f>Plantilla!Q7</f>
        <v>7</v>
      </c>
      <c r="G6" s="142">
        <f t="shared" si="0"/>
        <v>1</v>
      </c>
      <c r="H6" s="142">
        <f t="shared" si="1"/>
        <v>1</v>
      </c>
      <c r="I6" s="195">
        <f>Plantilla!P7</f>
        <v>1.5</v>
      </c>
      <c r="J6" s="196">
        <f>Plantilla!I7</f>
        <v>11.8</v>
      </c>
      <c r="K6" s="49">
        <f>Plantilla!X7</f>
        <v>0</v>
      </c>
      <c r="L6" s="49">
        <f>Plantilla!Y7</f>
        <v>11.95</v>
      </c>
      <c r="M6" s="49">
        <f>Plantilla!Z7</f>
        <v>5.95</v>
      </c>
      <c r="N6" s="49">
        <f>Plantilla!AA7</f>
        <v>6.95</v>
      </c>
      <c r="O6" s="49">
        <f>Plantilla!AB7</f>
        <v>7.95</v>
      </c>
      <c r="P6" s="49">
        <f>Plantilla!AC7</f>
        <v>1.95</v>
      </c>
      <c r="Q6" s="49">
        <f>Plantilla!AD7</f>
        <v>16</v>
      </c>
      <c r="R6" s="196">
        <f t="shared" si="2"/>
        <v>3.8562499999999997</v>
      </c>
      <c r="S6" s="196">
        <f t="shared" si="3"/>
        <v>10.910478981528717</v>
      </c>
      <c r="T6" s="49">
        <f t="shared" si="4"/>
        <v>0.5774999999999999</v>
      </c>
      <c r="U6" s="49">
        <f t="shared" si="5"/>
        <v>0.95799999999999996</v>
      </c>
      <c r="V6" s="196">
        <f t="shared" ca="1" si="6"/>
        <v>18.4291760097415</v>
      </c>
      <c r="W6" s="196">
        <f t="shared" ca="1" si="7"/>
        <v>18.4291760097415</v>
      </c>
      <c r="X6" s="83">
        <f t="shared" si="8"/>
        <v>5.8553706565043298</v>
      </c>
      <c r="Y6" s="83">
        <f t="shared" si="9"/>
        <v>8.8603162285762771</v>
      </c>
      <c r="Z6" s="83">
        <f t="shared" si="10"/>
        <v>5.8553706565043298</v>
      </c>
      <c r="AA6" s="83">
        <f t="shared" si="11"/>
        <v>7.6776548210266142</v>
      </c>
      <c r="AB6" s="83">
        <f t="shared" si="12"/>
        <v>14.879176009741499</v>
      </c>
      <c r="AC6" s="83">
        <f t="shared" si="13"/>
        <v>3.8388274105133071</v>
      </c>
      <c r="AD6" s="83">
        <f t="shared" si="14"/>
        <v>2.1132438903184774</v>
      </c>
      <c r="AE6" s="83">
        <f t="shared" si="15"/>
        <v>5.6243285316822869</v>
      </c>
      <c r="AF6" s="83">
        <f t="shared" si="16"/>
        <v>10.757644255043104</v>
      </c>
      <c r="AG6" s="83">
        <f t="shared" si="17"/>
        <v>2.8121642658411434</v>
      </c>
      <c r="AH6" s="83">
        <f t="shared" si="18"/>
        <v>3.418482763750478</v>
      </c>
      <c r="AI6" s="83">
        <f t="shared" si="19"/>
        <v>13.68884192896218</v>
      </c>
      <c r="AJ6" s="83">
        <f t="shared" si="20"/>
        <v>6.1599788680329803</v>
      </c>
      <c r="AK6" s="83">
        <f t="shared" si="21"/>
        <v>1.4828223936268308</v>
      </c>
      <c r="AL6" s="83">
        <f t="shared" si="22"/>
        <v>5.8089554937280017</v>
      </c>
      <c r="AM6" s="83">
        <f t="shared" si="23"/>
        <v>11.218898711345091</v>
      </c>
      <c r="AN6" s="83">
        <f t="shared" si="24"/>
        <v>10.534456614896982</v>
      </c>
      <c r="AO6" s="83">
        <f t="shared" si="25"/>
        <v>3.1611723936268308</v>
      </c>
      <c r="AP6" s="83">
        <f t="shared" si="26"/>
        <v>1.9542026908055519</v>
      </c>
      <c r="AQ6" s="83">
        <f t="shared" si="27"/>
        <v>4.0173775226302046</v>
      </c>
      <c r="AR6" s="83">
        <f t="shared" si="28"/>
        <v>8.8382305497864504</v>
      </c>
      <c r="AS6" s="83">
        <f t="shared" si="29"/>
        <v>2.0086887613151023</v>
      </c>
      <c r="AT6" s="83">
        <f t="shared" si="30"/>
        <v>8.3819421531959772</v>
      </c>
      <c r="AU6" s="83">
        <f t="shared" si="31"/>
        <v>1.4142928812663949</v>
      </c>
      <c r="AV6" s="83">
        <f t="shared" si="32"/>
        <v>2.1495985708542595</v>
      </c>
      <c r="AW6" s="83">
        <f t="shared" si="33"/>
        <v>0.70714644063319743</v>
      </c>
      <c r="AX6" s="83">
        <f t="shared" si="34"/>
        <v>2.8121642658411434</v>
      </c>
      <c r="AY6" s="83">
        <f t="shared" si="35"/>
        <v>5.9516704038965997</v>
      </c>
      <c r="AZ6" s="83">
        <f t="shared" si="36"/>
        <v>1.4060821329205717</v>
      </c>
      <c r="BA6" s="83">
        <f t="shared" si="37"/>
        <v>8.8791760097415011</v>
      </c>
      <c r="BB6" s="83">
        <f t="shared" si="38"/>
        <v>2.7524315304645994</v>
      </c>
      <c r="BC6" s="83">
        <f t="shared" si="39"/>
        <v>4.7344259813675666</v>
      </c>
      <c r="BD6" s="83">
        <f t="shared" si="40"/>
        <v>1.3762157652322997</v>
      </c>
      <c r="BE6" s="83">
        <f t="shared" si="41"/>
        <v>4.329840218834776</v>
      </c>
      <c r="BF6" s="83">
        <f t="shared" si="42"/>
        <v>5.1779532513900417</v>
      </c>
      <c r="BG6" s="83">
        <f t="shared" si="43"/>
        <v>7.8225540645822624</v>
      </c>
      <c r="BH6" s="83">
        <f t="shared" si="44"/>
        <v>9.0975874726601926</v>
      </c>
      <c r="BI6" s="83">
        <f t="shared" si="45"/>
        <v>2.6218814183477011</v>
      </c>
      <c r="BJ6" s="83">
        <f t="shared" si="46"/>
        <v>7.2164003647246266</v>
      </c>
      <c r="BK6" s="83">
        <f t="shared" si="47"/>
        <v>3.9281024665717559</v>
      </c>
      <c r="BL6" s="83">
        <f t="shared" si="48"/>
        <v>3.3829660597115119</v>
      </c>
      <c r="BM6" s="83">
        <f t="shared" si="49"/>
        <v>8.8353998325140708</v>
      </c>
      <c r="BN6" s="83">
        <f t="shared" si="50"/>
        <v>0.56571715250655796</v>
      </c>
      <c r="BO6" s="83">
        <f t="shared" si="51"/>
        <v>2.6782516817534696</v>
      </c>
      <c r="BP6" s="83">
        <f t="shared" si="52"/>
        <v>1.0117839686624219</v>
      </c>
      <c r="BQ6" s="83">
        <f t="shared" si="53"/>
        <v>2.7081486829711579</v>
      </c>
      <c r="BR6" s="83">
        <f t="shared" si="54"/>
        <v>12.990620348527568</v>
      </c>
      <c r="BS6" s="83">
        <f t="shared" si="55"/>
        <v>1.4686887613151025</v>
      </c>
      <c r="BT6" s="83">
        <f t="shared" si="56"/>
        <v>4.2256859867665852</v>
      </c>
      <c r="BU6" s="83">
        <f t="shared" si="57"/>
        <v>3.6305189463769256</v>
      </c>
      <c r="BV6" s="83">
        <f t="shared" si="58"/>
        <v>4.0400250844323828</v>
      </c>
      <c r="BW6" s="83">
        <f t="shared" si="59"/>
        <v>11.190127018793582</v>
      </c>
      <c r="BX6" s="83">
        <f t="shared" si="60"/>
        <v>1.3163802971787213</v>
      </c>
      <c r="BY6" s="83">
        <f t="shared" si="61"/>
        <v>4.2256859867665852</v>
      </c>
      <c r="BZ6" s="83">
        <f t="shared" si="62"/>
        <v>3.6305189463769256</v>
      </c>
      <c r="CA6" s="83">
        <f t="shared" si="63"/>
        <v>5.6027600621468876</v>
      </c>
      <c r="CB6" s="83">
        <f t="shared" si="64"/>
        <v>9.0348625287186408</v>
      </c>
      <c r="CC6" s="83">
        <f t="shared" si="65"/>
        <v>1.6101180494417417</v>
      </c>
      <c r="CD6" s="83">
        <f t="shared" si="66"/>
        <v>3.6049454599550499</v>
      </c>
      <c r="CE6" s="83">
        <f t="shared" si="67"/>
        <v>4.7620507010753217</v>
      </c>
      <c r="CF6" s="83">
        <f t="shared" si="68"/>
        <v>8.7519521869689285</v>
      </c>
      <c r="CG6" s="83">
        <f t="shared" si="69"/>
        <v>4.7620507010753217</v>
      </c>
      <c r="CH6" s="83">
        <f t="shared" si="70"/>
        <v>4.8667266540689544</v>
      </c>
      <c r="CI6" s="83">
        <f t="shared" si="71"/>
        <v>8.8935919573361133</v>
      </c>
      <c r="CJ6" s="83">
        <f t="shared" si="72"/>
        <v>4.8667266540689544</v>
      </c>
      <c r="CK6" s="83">
        <f t="shared" si="73"/>
        <v>2.2197940024353753</v>
      </c>
    </row>
    <row r="7" spans="1:89" x14ac:dyDescent="0.25">
      <c r="A7" t="str">
        <f>Plantilla!D8</f>
        <v>F. Lasprilla</v>
      </c>
      <c r="B7" s="320">
        <f>Plantilla!E8</f>
        <v>32</v>
      </c>
      <c r="C7" s="115">
        <f ca="1">Plantilla!F8</f>
        <v>38</v>
      </c>
      <c r="D7" s="320">
        <f>Plantilla!G8</f>
        <v>0</v>
      </c>
      <c r="E7" s="265">
        <v>36526</v>
      </c>
      <c r="F7" s="115">
        <f>Plantilla!Q8</f>
        <v>5</v>
      </c>
      <c r="G7" s="142">
        <f t="shared" si="0"/>
        <v>0.84515425472851657</v>
      </c>
      <c r="H7" s="142">
        <f t="shared" si="1"/>
        <v>0.92504826128926143</v>
      </c>
      <c r="I7" s="195">
        <f>Plantilla!P8</f>
        <v>1.5</v>
      </c>
      <c r="J7" s="196">
        <f>Plantilla!I8</f>
        <v>6.3</v>
      </c>
      <c r="K7" s="49">
        <f>Plantilla!X8</f>
        <v>0</v>
      </c>
      <c r="L7" s="49">
        <f>Plantilla!Y8</f>
        <v>9.6046666666666667</v>
      </c>
      <c r="M7" s="49">
        <f>Plantilla!Z8</f>
        <v>8</v>
      </c>
      <c r="N7" s="49">
        <f>Plantilla!AA8</f>
        <v>6.1599999999999984</v>
      </c>
      <c r="O7" s="49">
        <f>Plantilla!AB8</f>
        <v>8.8633333333333315</v>
      </c>
      <c r="P7" s="49">
        <f>Plantilla!AC8</f>
        <v>2.95</v>
      </c>
      <c r="Q7" s="49">
        <f>Plantilla!AD8</f>
        <v>13.33611111111111</v>
      </c>
      <c r="R7" s="196">
        <f t="shared" si="2"/>
        <v>3.7914166666666662</v>
      </c>
      <c r="S7" s="196">
        <f t="shared" si="3"/>
        <v>10.302251263501001</v>
      </c>
      <c r="T7" s="49">
        <f t="shared" si="4"/>
        <v>0.5475833333333332</v>
      </c>
      <c r="U7" s="49">
        <f t="shared" si="5"/>
        <v>0.78426999999999991</v>
      </c>
      <c r="V7" s="196">
        <f t="shared" ca="1" si="6"/>
        <v>13.016980056946617</v>
      </c>
      <c r="W7" s="196">
        <f t="shared" ca="1" si="7"/>
        <v>14.247499437583047</v>
      </c>
      <c r="X7" s="83">
        <f t="shared" si="8"/>
        <v>4.8908203995639692</v>
      </c>
      <c r="Y7" s="83">
        <f t="shared" si="9"/>
        <v>7.3944148657927649</v>
      </c>
      <c r="Z7" s="83">
        <f t="shared" si="10"/>
        <v>4.8908203995639692</v>
      </c>
      <c r="AA7" s="83">
        <f t="shared" si="11"/>
        <v>6.279954298024065</v>
      </c>
      <c r="AB7" s="83">
        <f t="shared" si="12"/>
        <v>12.17045406593811</v>
      </c>
      <c r="AC7" s="83">
        <f t="shared" si="13"/>
        <v>3.1399771490120325</v>
      </c>
      <c r="AD7" s="83">
        <f t="shared" si="14"/>
        <v>2.5146574010266032</v>
      </c>
      <c r="AE7" s="83">
        <f t="shared" si="15"/>
        <v>4.600431636924605</v>
      </c>
      <c r="AF7" s="83">
        <f t="shared" si="16"/>
        <v>8.7992382896732533</v>
      </c>
      <c r="AG7" s="83">
        <f t="shared" si="17"/>
        <v>2.3002158184623025</v>
      </c>
      <c r="AH7" s="83">
        <f t="shared" si="18"/>
        <v>4.0678281487195056</v>
      </c>
      <c r="AI7" s="83">
        <f t="shared" si="19"/>
        <v>11.196817740663061</v>
      </c>
      <c r="AJ7" s="83">
        <f t="shared" si="20"/>
        <v>5.0385679832983774</v>
      </c>
      <c r="AK7" s="83">
        <f t="shared" si="21"/>
        <v>1.764486495678331</v>
      </c>
      <c r="AL7" s="83">
        <f t="shared" si="22"/>
        <v>5.1307629907716068</v>
      </c>
      <c r="AM7" s="83">
        <f t="shared" si="23"/>
        <v>9.176522365717334</v>
      </c>
      <c r="AN7" s="83">
        <f t="shared" si="24"/>
        <v>8.6166814786841819</v>
      </c>
      <c r="AO7" s="83">
        <f t="shared" si="25"/>
        <v>2.6556170512338864</v>
      </c>
      <c r="AP7" s="83">
        <f t="shared" si="26"/>
        <v>1.8308747709901751</v>
      </c>
      <c r="AQ7" s="83">
        <f t="shared" si="27"/>
        <v>3.28602259780329</v>
      </c>
      <c r="AR7" s="83">
        <f t="shared" si="28"/>
        <v>7.2292497151672368</v>
      </c>
      <c r="AS7" s="83">
        <f t="shared" si="29"/>
        <v>1.643011298901645</v>
      </c>
      <c r="AT7" s="83">
        <f t="shared" si="30"/>
        <v>9.9741033049122407</v>
      </c>
      <c r="AU7" s="83">
        <f t="shared" si="31"/>
        <v>1.4857856952386208</v>
      </c>
      <c r="AV7" s="83">
        <f t="shared" si="32"/>
        <v>2.3257257079865323</v>
      </c>
      <c r="AW7" s="83">
        <f t="shared" si="33"/>
        <v>0.7428928476193104</v>
      </c>
      <c r="AX7" s="83">
        <f t="shared" si="34"/>
        <v>2.3002158184623025</v>
      </c>
      <c r="AY7" s="83">
        <f t="shared" si="35"/>
        <v>4.868181626375244</v>
      </c>
      <c r="AZ7" s="83">
        <f t="shared" si="36"/>
        <v>1.1501079092311512</v>
      </c>
      <c r="BA7" s="83">
        <f t="shared" si="37"/>
        <v>10.565787399271443</v>
      </c>
      <c r="BB7" s="83">
        <f t="shared" si="38"/>
        <v>2.891567545349008</v>
      </c>
      <c r="BC7" s="83">
        <f t="shared" si="39"/>
        <v>5.0556455236652313</v>
      </c>
      <c r="BD7" s="83">
        <f t="shared" si="40"/>
        <v>1.445783772674504</v>
      </c>
      <c r="BE7" s="83">
        <f t="shared" si="41"/>
        <v>3.5416021331879897</v>
      </c>
      <c r="BF7" s="83">
        <f t="shared" si="42"/>
        <v>4.2353180149464622</v>
      </c>
      <c r="BG7" s="83">
        <f t="shared" si="43"/>
        <v>9.308458698758141</v>
      </c>
      <c r="BH7" s="83">
        <f t="shared" si="44"/>
        <v>8.6087749979523114</v>
      </c>
      <c r="BI7" s="83">
        <f t="shared" si="45"/>
        <v>2.7544180965577505</v>
      </c>
      <c r="BJ7" s="83">
        <f t="shared" si="46"/>
        <v>5.9026702219799834</v>
      </c>
      <c r="BK7" s="83">
        <f t="shared" si="47"/>
        <v>3.2129998734076612</v>
      </c>
      <c r="BL7" s="83">
        <f t="shared" si="48"/>
        <v>4.0255649991224196</v>
      </c>
      <c r="BM7" s="83">
        <f t="shared" si="49"/>
        <v>8.1697081869632395</v>
      </c>
      <c r="BN7" s="83">
        <f t="shared" si="50"/>
        <v>0.59431427809544823</v>
      </c>
      <c r="BO7" s="83">
        <f t="shared" si="51"/>
        <v>2.1906817318688598</v>
      </c>
      <c r="BP7" s="83">
        <f t="shared" si="52"/>
        <v>0.82759087648379148</v>
      </c>
      <c r="BQ7" s="83">
        <f t="shared" si="53"/>
        <v>3.2225651567777902</v>
      </c>
      <c r="BR7" s="83">
        <f t="shared" si="54"/>
        <v>11.994515928796407</v>
      </c>
      <c r="BS7" s="83">
        <f t="shared" si="55"/>
        <v>1.5429312989016446</v>
      </c>
      <c r="BT7" s="83">
        <f t="shared" si="56"/>
        <v>3.456408954726423</v>
      </c>
      <c r="BU7" s="83">
        <f t="shared" si="57"/>
        <v>2.9695907920888986</v>
      </c>
      <c r="BV7" s="83">
        <f t="shared" si="58"/>
        <v>4.8074332666685065</v>
      </c>
      <c r="BW7" s="83">
        <f t="shared" si="59"/>
        <v>10.32778577172609</v>
      </c>
      <c r="BX7" s="83">
        <f t="shared" si="60"/>
        <v>1.3829236086451777</v>
      </c>
      <c r="BY7" s="83">
        <f t="shared" si="61"/>
        <v>3.456408954726423</v>
      </c>
      <c r="BZ7" s="83">
        <f t="shared" si="62"/>
        <v>2.9695907920888986</v>
      </c>
      <c r="CA7" s="83">
        <f t="shared" si="63"/>
        <v>6.6670118489402803</v>
      </c>
      <c r="CB7" s="83">
        <f t="shared" si="64"/>
        <v>8.3313230556812741</v>
      </c>
      <c r="CC7" s="83">
        <f t="shared" si="65"/>
        <v>1.6915098684255065</v>
      </c>
      <c r="CD7" s="83">
        <f t="shared" si="66"/>
        <v>4.2897096841042064</v>
      </c>
      <c r="CE7" s="83">
        <f t="shared" si="67"/>
        <v>4.8142985683537542</v>
      </c>
      <c r="CF7" s="83">
        <f t="shared" si="68"/>
        <v>9.4217166115796438</v>
      </c>
      <c r="CG7" s="83">
        <f t="shared" si="69"/>
        <v>4.8142985683537542</v>
      </c>
      <c r="CH7" s="83">
        <f t="shared" si="70"/>
        <v>4.855438883079441</v>
      </c>
      <c r="CI7" s="83">
        <f t="shared" si="71"/>
        <v>9.733132949602604</v>
      </c>
      <c r="CJ7" s="83">
        <f t="shared" si="72"/>
        <v>4.855438883079441</v>
      </c>
      <c r="CK7" s="83">
        <f t="shared" si="73"/>
        <v>2.6414468498178607</v>
      </c>
    </row>
    <row r="8" spans="1:89" x14ac:dyDescent="0.25">
      <c r="A8" t="str">
        <f>Plantilla!D9</f>
        <v>E. Romweber</v>
      </c>
      <c r="B8" s="320">
        <f>Plantilla!E9</f>
        <v>35</v>
      </c>
      <c r="C8" s="115">
        <f ca="1">Plantilla!F9</f>
        <v>104</v>
      </c>
      <c r="D8" s="320" t="str">
        <f>Plantilla!G9</f>
        <v>IMP</v>
      </c>
      <c r="E8" s="265">
        <v>36526</v>
      </c>
      <c r="F8" s="115">
        <f>Plantilla!Q9</f>
        <v>6</v>
      </c>
      <c r="G8" s="142">
        <f t="shared" si="0"/>
        <v>0.92582009977255142</v>
      </c>
      <c r="H8" s="142">
        <f t="shared" si="1"/>
        <v>0.99928545900129484</v>
      </c>
      <c r="I8" s="195">
        <f>Plantilla!P9</f>
        <v>1.5</v>
      </c>
      <c r="J8" s="196">
        <f>Plantilla!I9</f>
        <v>17.100000000000001</v>
      </c>
      <c r="K8" s="49">
        <f>Plantilla!X9</f>
        <v>0</v>
      </c>
      <c r="L8" s="49">
        <f>Plantilla!Y9</f>
        <v>11.95</v>
      </c>
      <c r="M8" s="49">
        <f>Plantilla!Z9</f>
        <v>11.95</v>
      </c>
      <c r="N8" s="49">
        <f>Plantilla!AA9</f>
        <v>12.95</v>
      </c>
      <c r="O8" s="49">
        <f>Plantilla!AB9</f>
        <v>9.9499999999999993</v>
      </c>
      <c r="P8" s="49">
        <f>Plantilla!AC9</f>
        <v>5.95</v>
      </c>
      <c r="Q8" s="49">
        <f>Plantilla!AD9</f>
        <v>17.529999999999998</v>
      </c>
      <c r="R8" s="196">
        <f t="shared" si="2"/>
        <v>4.3562499999999993</v>
      </c>
      <c r="S8" s="196">
        <f t="shared" si="3"/>
        <v>18.866728538622212</v>
      </c>
      <c r="T8" s="49">
        <f t="shared" si="4"/>
        <v>0.82340000000000002</v>
      </c>
      <c r="U8" s="49">
        <f t="shared" si="5"/>
        <v>1.0039</v>
      </c>
      <c r="V8" s="196">
        <f t="shared" ca="1" si="6"/>
        <v>18.677489891375284</v>
      </c>
      <c r="W8" s="196">
        <f t="shared" ca="1" si="7"/>
        <v>20.15957966745404</v>
      </c>
      <c r="X8" s="83">
        <f t="shared" si="8"/>
        <v>6.0429074724964664</v>
      </c>
      <c r="Y8" s="83">
        <f t="shared" si="9"/>
        <v>9.1376473046883611</v>
      </c>
      <c r="Z8" s="83">
        <f t="shared" si="10"/>
        <v>6.0429074724964664</v>
      </c>
      <c r="AA8" s="83">
        <f t="shared" si="11"/>
        <v>7.7885013239498013</v>
      </c>
      <c r="AB8" s="83">
        <f t="shared" si="12"/>
        <v>15.093994813856204</v>
      </c>
      <c r="AC8" s="83">
        <f t="shared" si="13"/>
        <v>3.8942506619749007</v>
      </c>
      <c r="AD8" s="83">
        <f t="shared" si="14"/>
        <v>3.5923707656977766</v>
      </c>
      <c r="AE8" s="83">
        <f t="shared" si="15"/>
        <v>5.7055300396376456</v>
      </c>
      <c r="AF8" s="83">
        <f t="shared" si="16"/>
        <v>10.912958250418034</v>
      </c>
      <c r="AG8" s="83">
        <f t="shared" si="17"/>
        <v>2.8527650198188228</v>
      </c>
      <c r="AH8" s="83">
        <f t="shared" si="18"/>
        <v>5.8111880033346388</v>
      </c>
      <c r="AI8" s="83">
        <f t="shared" si="19"/>
        <v>13.886475228747708</v>
      </c>
      <c r="AJ8" s="83">
        <f t="shared" si="20"/>
        <v>6.2489138529364681</v>
      </c>
      <c r="AK8" s="83">
        <f t="shared" si="21"/>
        <v>2.5206971339139863</v>
      </c>
      <c r="AL8" s="83">
        <f t="shared" si="22"/>
        <v>9.4632689505474481</v>
      </c>
      <c r="AM8" s="83">
        <f t="shared" si="23"/>
        <v>11.380872089647578</v>
      </c>
      <c r="AN8" s="83">
        <f t="shared" si="24"/>
        <v>10.686548328210192</v>
      </c>
      <c r="AO8" s="83">
        <f t="shared" si="25"/>
        <v>3.4525571339139862</v>
      </c>
      <c r="AP8" s="83">
        <f t="shared" si="26"/>
        <v>2.1600705063905865</v>
      </c>
      <c r="AQ8" s="83">
        <f t="shared" si="27"/>
        <v>4.0753785997411756</v>
      </c>
      <c r="AR8" s="83">
        <f t="shared" si="28"/>
        <v>8.9658329194305857</v>
      </c>
      <c r="AS8" s="83">
        <f t="shared" si="29"/>
        <v>2.0376892998705878</v>
      </c>
      <c r="AT8" s="83">
        <f t="shared" si="30"/>
        <v>14.248731104280257</v>
      </c>
      <c r="AU8" s="83">
        <f t="shared" si="31"/>
        <v>1.7022193258013065</v>
      </c>
      <c r="AV8" s="83">
        <f t="shared" si="32"/>
        <v>3.144540480459868</v>
      </c>
      <c r="AW8" s="83">
        <f t="shared" si="33"/>
        <v>0.85110966290065326</v>
      </c>
      <c r="AX8" s="83">
        <f t="shared" si="34"/>
        <v>2.8527650198188228</v>
      </c>
      <c r="AY8" s="83">
        <f t="shared" si="35"/>
        <v>6.0375979255424816</v>
      </c>
      <c r="AZ8" s="83">
        <f t="shared" si="36"/>
        <v>1.4263825099094114</v>
      </c>
      <c r="BA8" s="83">
        <f t="shared" si="37"/>
        <v>15.093994813856204</v>
      </c>
      <c r="BB8" s="83">
        <f t="shared" si="38"/>
        <v>3.3127806879056196</v>
      </c>
      <c r="BC8" s="83">
        <f t="shared" si="39"/>
        <v>6.3747911424347699</v>
      </c>
      <c r="BD8" s="83">
        <f t="shared" si="40"/>
        <v>1.6563903439528098</v>
      </c>
      <c r="BE8" s="83">
        <f t="shared" si="41"/>
        <v>4.3923524908321552</v>
      </c>
      <c r="BF8" s="83">
        <f t="shared" si="42"/>
        <v>5.252710195221959</v>
      </c>
      <c r="BG8" s="83">
        <f t="shared" si="43"/>
        <v>13.297809431007316</v>
      </c>
      <c r="BH8" s="83">
        <f t="shared" si="44"/>
        <v>13.362561389518167</v>
      </c>
      <c r="BI8" s="83">
        <f t="shared" si="45"/>
        <v>3.1556527501393452</v>
      </c>
      <c r="BJ8" s="83">
        <f t="shared" si="46"/>
        <v>7.3205874847202592</v>
      </c>
      <c r="BK8" s="83">
        <f t="shared" si="47"/>
        <v>3.9848146308580379</v>
      </c>
      <c r="BL8" s="83">
        <f t="shared" si="48"/>
        <v>5.750812024079214</v>
      </c>
      <c r="BM8" s="83">
        <f t="shared" si="49"/>
        <v>13.463151467310325</v>
      </c>
      <c r="BN8" s="83">
        <f t="shared" si="50"/>
        <v>0.68088773032052263</v>
      </c>
      <c r="BO8" s="83">
        <f t="shared" si="51"/>
        <v>2.7169190664941167</v>
      </c>
      <c r="BP8" s="83">
        <f t="shared" si="52"/>
        <v>1.0263916473422219</v>
      </c>
      <c r="BQ8" s="83">
        <f t="shared" si="53"/>
        <v>4.6036684182261425</v>
      </c>
      <c r="BR8" s="83">
        <f t="shared" si="54"/>
        <v>19.838877330619081</v>
      </c>
      <c r="BS8" s="83">
        <f t="shared" si="55"/>
        <v>1.7676892998705878</v>
      </c>
      <c r="BT8" s="83">
        <f t="shared" si="56"/>
        <v>4.286694527135162</v>
      </c>
      <c r="BU8" s="83">
        <f t="shared" si="57"/>
        <v>3.6829347345809138</v>
      </c>
      <c r="BV8" s="83">
        <f t="shared" si="58"/>
        <v>6.8677676403045735</v>
      </c>
      <c r="BW8" s="83">
        <f t="shared" si="59"/>
        <v>17.100146253752676</v>
      </c>
      <c r="BX8" s="83">
        <f t="shared" si="60"/>
        <v>1.5843733724766007</v>
      </c>
      <c r="BY8" s="83">
        <f t="shared" si="61"/>
        <v>4.286694527135162</v>
      </c>
      <c r="BZ8" s="83">
        <f t="shared" si="62"/>
        <v>3.6829347345809138</v>
      </c>
      <c r="CA8" s="83">
        <f t="shared" si="63"/>
        <v>9.5243107275432646</v>
      </c>
      <c r="CB8" s="83">
        <f t="shared" si="64"/>
        <v>13.825125358401305</v>
      </c>
      <c r="CC8" s="83">
        <f t="shared" si="65"/>
        <v>1.9379112324507182</v>
      </c>
      <c r="CD8" s="83">
        <f t="shared" si="66"/>
        <v>6.1281618944256193</v>
      </c>
      <c r="CE8" s="83">
        <f t="shared" si="67"/>
        <v>6.7459712980190831</v>
      </c>
      <c r="CF8" s="83">
        <f t="shared" si="68"/>
        <v>12.411838160402088</v>
      </c>
      <c r="CG8" s="83">
        <f t="shared" si="69"/>
        <v>6.7459712980190831</v>
      </c>
      <c r="CH8" s="83">
        <f t="shared" si="70"/>
        <v>7.6505587690324157</v>
      </c>
      <c r="CI8" s="83">
        <f t="shared" si="71"/>
        <v>13.925678900169146</v>
      </c>
      <c r="CJ8" s="83">
        <f t="shared" si="72"/>
        <v>7.6505587690324157</v>
      </c>
      <c r="CK8" s="83">
        <f t="shared" si="73"/>
        <v>3.773498703464051</v>
      </c>
    </row>
    <row r="9" spans="1:89" x14ac:dyDescent="0.25">
      <c r="A9" t="str">
        <f>Plantilla!D10</f>
        <v>S. Buschelman</v>
      </c>
      <c r="B9" s="320">
        <f>Plantilla!E10</f>
        <v>34</v>
      </c>
      <c r="C9" s="115">
        <f ca="1">Plantilla!F10</f>
        <v>63</v>
      </c>
      <c r="D9" s="320" t="str">
        <f>Plantilla!G10</f>
        <v>TEC</v>
      </c>
      <c r="E9" s="265">
        <v>36526</v>
      </c>
      <c r="F9" s="115">
        <f>Plantilla!Q10</f>
        <v>6</v>
      </c>
      <c r="G9" s="142">
        <f t="shared" si="0"/>
        <v>0.92582009977255142</v>
      </c>
      <c r="H9" s="142">
        <f t="shared" si="1"/>
        <v>0.99928545900129484</v>
      </c>
      <c r="I9" s="195">
        <f>Plantilla!P10</f>
        <v>1.5</v>
      </c>
      <c r="J9" s="196">
        <f>Plantilla!I10</f>
        <v>14.8</v>
      </c>
      <c r="K9" s="49">
        <f>Plantilla!X10</f>
        <v>0</v>
      </c>
      <c r="L9" s="49">
        <f>Plantilla!Y10</f>
        <v>9.3036666666666648</v>
      </c>
      <c r="M9" s="49">
        <f>Plantilla!Z10</f>
        <v>14</v>
      </c>
      <c r="N9" s="49">
        <f>Plantilla!AA10</f>
        <v>12.945</v>
      </c>
      <c r="O9" s="49">
        <f>Plantilla!AB10</f>
        <v>9.9499999999999993</v>
      </c>
      <c r="P9" s="49">
        <f>Plantilla!AC10</f>
        <v>3.95</v>
      </c>
      <c r="Q9" s="49">
        <f>Plantilla!AD10</f>
        <v>16</v>
      </c>
      <c r="R9" s="196">
        <f t="shared" si="2"/>
        <v>4.0254583333333329</v>
      </c>
      <c r="S9" s="196">
        <f t="shared" si="3"/>
        <v>14.520371188030476</v>
      </c>
      <c r="T9" s="49">
        <f t="shared" si="4"/>
        <v>0.67749999999999999</v>
      </c>
      <c r="U9" s="49">
        <f t="shared" si="5"/>
        <v>0.8521466666666665</v>
      </c>
      <c r="V9" s="196">
        <f t="shared" ca="1" si="6"/>
        <v>17.183544120275982</v>
      </c>
      <c r="W9" s="196">
        <f t="shared" ca="1" si="7"/>
        <v>18.547086823582134</v>
      </c>
      <c r="X9" s="83">
        <f t="shared" si="8"/>
        <v>5.2394966367197302</v>
      </c>
      <c r="Y9" s="83">
        <f t="shared" si="9"/>
        <v>7.9049688327665191</v>
      </c>
      <c r="Z9" s="83">
        <f t="shared" si="10"/>
        <v>5.2394966367197302</v>
      </c>
      <c r="AA9" s="83">
        <f t="shared" si="11"/>
        <v>6.3798320601917302</v>
      </c>
      <c r="AB9" s="83">
        <f t="shared" si="12"/>
        <v>12.364015620526608</v>
      </c>
      <c r="AC9" s="83">
        <f t="shared" si="13"/>
        <v>3.1899160300958651</v>
      </c>
      <c r="AD9" s="83">
        <f t="shared" si="14"/>
        <v>4.0603630510186663</v>
      </c>
      <c r="AE9" s="83">
        <f t="shared" si="15"/>
        <v>4.6735979045590579</v>
      </c>
      <c r="AF9" s="83">
        <f t="shared" si="16"/>
        <v>8.9391832936407365</v>
      </c>
      <c r="AG9" s="83">
        <f t="shared" si="17"/>
        <v>2.3367989522795289</v>
      </c>
      <c r="AH9" s="83">
        <f t="shared" si="18"/>
        <v>6.5682343472360785</v>
      </c>
      <c r="AI9" s="83">
        <f t="shared" si="19"/>
        <v>11.37489437088448</v>
      </c>
      <c r="AJ9" s="83">
        <f t="shared" si="20"/>
        <v>5.1187024668980152</v>
      </c>
      <c r="AK9" s="83">
        <f t="shared" si="21"/>
        <v>2.8490782752946107</v>
      </c>
      <c r="AL9" s="83">
        <f t="shared" si="22"/>
        <v>9.4111451848696461</v>
      </c>
      <c r="AM9" s="83">
        <f t="shared" si="23"/>
        <v>9.3224677778770619</v>
      </c>
      <c r="AN9" s="83">
        <f t="shared" si="24"/>
        <v>8.7537230593328381</v>
      </c>
      <c r="AO9" s="83">
        <f t="shared" si="25"/>
        <v>3.1830782752946107</v>
      </c>
      <c r="AP9" s="83">
        <f t="shared" si="26"/>
        <v>2.0407124987116636</v>
      </c>
      <c r="AQ9" s="83">
        <f t="shared" si="27"/>
        <v>3.3382842175421845</v>
      </c>
      <c r="AR9" s="83">
        <f t="shared" si="28"/>
        <v>7.3442252785928046</v>
      </c>
      <c r="AS9" s="83">
        <f t="shared" si="29"/>
        <v>1.6691421087710923</v>
      </c>
      <c r="AT9" s="83">
        <f t="shared" si="30"/>
        <v>16.104969412443786</v>
      </c>
      <c r="AU9" s="83">
        <f t="shared" si="31"/>
        <v>1.6913453640017926</v>
      </c>
      <c r="AV9" s="83">
        <f t="shared" si="32"/>
        <v>2.7740322434809634</v>
      </c>
      <c r="AW9" s="83">
        <f t="shared" si="33"/>
        <v>0.84567268200089629</v>
      </c>
      <c r="AX9" s="83">
        <f t="shared" si="34"/>
        <v>2.3367989522795289</v>
      </c>
      <c r="AY9" s="83">
        <f t="shared" si="35"/>
        <v>4.9456062482106438</v>
      </c>
      <c r="AZ9" s="83">
        <f t="shared" si="36"/>
        <v>1.1683994761397645</v>
      </c>
      <c r="BA9" s="83">
        <f t="shared" si="37"/>
        <v>17.060348953859943</v>
      </c>
      <c r="BB9" s="83">
        <f t="shared" si="38"/>
        <v>3.2916182853265656</v>
      </c>
      <c r="BC9" s="83">
        <f t="shared" si="39"/>
        <v>5.9087022735768286</v>
      </c>
      <c r="BD9" s="83">
        <f t="shared" si="40"/>
        <v>1.6458091426632828</v>
      </c>
      <c r="BE9" s="83">
        <f t="shared" si="41"/>
        <v>3.5979285455732426</v>
      </c>
      <c r="BF9" s="83">
        <f t="shared" si="42"/>
        <v>4.3026774359432594</v>
      </c>
      <c r="BG9" s="83">
        <f t="shared" si="43"/>
        <v>15.030167428350611</v>
      </c>
      <c r="BH9" s="83">
        <f t="shared" si="44"/>
        <v>13.285330219981489</v>
      </c>
      <c r="BI9" s="83">
        <f t="shared" si="45"/>
        <v>3.1354940978802461</v>
      </c>
      <c r="BJ9" s="83">
        <f t="shared" si="46"/>
        <v>5.9965475759554048</v>
      </c>
      <c r="BK9" s="83">
        <f t="shared" si="47"/>
        <v>3.2641001238190248</v>
      </c>
      <c r="BL9" s="83">
        <f t="shared" si="48"/>
        <v>6.4999929514206389</v>
      </c>
      <c r="BM9" s="83">
        <f t="shared" si="49"/>
        <v>13.386679985673592</v>
      </c>
      <c r="BN9" s="83">
        <f t="shared" si="50"/>
        <v>0.67653814560071701</v>
      </c>
      <c r="BO9" s="83">
        <f t="shared" si="51"/>
        <v>2.2255228116947894</v>
      </c>
      <c r="BP9" s="83">
        <f t="shared" si="52"/>
        <v>0.84075306219580936</v>
      </c>
      <c r="BQ9" s="83">
        <f t="shared" si="53"/>
        <v>5.2034064309272825</v>
      </c>
      <c r="BR9" s="83">
        <f t="shared" si="54"/>
        <v>19.726308754663886</v>
      </c>
      <c r="BS9" s="83">
        <f t="shared" si="55"/>
        <v>1.7563971087710923</v>
      </c>
      <c r="BT9" s="83">
        <f t="shared" si="56"/>
        <v>3.5113804362295564</v>
      </c>
      <c r="BU9" s="83">
        <f t="shared" si="57"/>
        <v>3.0168198114084923</v>
      </c>
      <c r="BV9" s="83">
        <f t="shared" si="58"/>
        <v>7.7624587740062747</v>
      </c>
      <c r="BW9" s="83">
        <f t="shared" si="59"/>
        <v>17.003146640876817</v>
      </c>
      <c r="BX9" s="83">
        <f t="shared" si="60"/>
        <v>1.5742522234170531</v>
      </c>
      <c r="BY9" s="83">
        <f t="shared" si="61"/>
        <v>3.5113804362295564</v>
      </c>
      <c r="BZ9" s="83">
        <f t="shared" si="62"/>
        <v>3.0168198114084923</v>
      </c>
      <c r="CA9" s="83">
        <f t="shared" si="63"/>
        <v>10.765080189885625</v>
      </c>
      <c r="CB9" s="83">
        <f t="shared" si="64"/>
        <v>13.746752313704649</v>
      </c>
      <c r="CC9" s="83">
        <f t="shared" si="65"/>
        <v>1.9255316451712714</v>
      </c>
      <c r="CD9" s="83">
        <f t="shared" si="66"/>
        <v>6.9265016752671373</v>
      </c>
      <c r="CE9" s="83">
        <f t="shared" si="67"/>
        <v>7.5064697212698261</v>
      </c>
      <c r="CF9" s="83">
        <f t="shared" si="68"/>
        <v>11.151652922046296</v>
      </c>
      <c r="CG9" s="83">
        <f t="shared" si="69"/>
        <v>7.5064697212698261</v>
      </c>
      <c r="CH9" s="83">
        <f t="shared" si="70"/>
        <v>7.0773423982547445</v>
      </c>
      <c r="CI9" s="83">
        <f t="shared" si="71"/>
        <v>11.811167717834262</v>
      </c>
      <c r="CJ9" s="83">
        <f t="shared" si="72"/>
        <v>7.0773423982547445</v>
      </c>
      <c r="CK9" s="83">
        <f t="shared" si="73"/>
        <v>4.2650872384649858</v>
      </c>
    </row>
    <row r="10" spans="1:89" x14ac:dyDescent="0.25">
      <c r="A10" t="str">
        <f>Plantilla!D11</f>
        <v>E. Gross</v>
      </c>
      <c r="B10" s="320">
        <f>Plantilla!E11</f>
        <v>35</v>
      </c>
      <c r="C10" s="115">
        <f ca="1">Plantilla!F11</f>
        <v>91</v>
      </c>
      <c r="D10" s="320">
        <f>Plantilla!G11</f>
        <v>0</v>
      </c>
      <c r="E10" s="265">
        <v>36526</v>
      </c>
      <c r="F10" s="115">
        <f>Plantilla!Q11</f>
        <v>7</v>
      </c>
      <c r="G10" s="142">
        <f t="shared" si="0"/>
        <v>1</v>
      </c>
      <c r="H10" s="142">
        <f t="shared" si="1"/>
        <v>1</v>
      </c>
      <c r="I10" s="195">
        <f>Plantilla!P11</f>
        <v>1.5</v>
      </c>
      <c r="J10" s="196">
        <f>Plantilla!I11</f>
        <v>13.1</v>
      </c>
      <c r="K10" s="49">
        <f>Plantilla!X11</f>
        <v>0</v>
      </c>
      <c r="L10" s="49">
        <f>Plantilla!Y11</f>
        <v>10.549999999999995</v>
      </c>
      <c r="M10" s="49">
        <f>Plantilla!Z11</f>
        <v>12.95</v>
      </c>
      <c r="N10" s="49">
        <f>Plantilla!AA11</f>
        <v>3.95</v>
      </c>
      <c r="O10" s="49">
        <f>Plantilla!AB11</f>
        <v>8.9499999999999993</v>
      </c>
      <c r="P10" s="49">
        <f>Plantilla!AC11</f>
        <v>0.95</v>
      </c>
      <c r="Q10" s="49">
        <f>Plantilla!AD11</f>
        <v>17.3</v>
      </c>
      <c r="R10" s="196">
        <f t="shared" si="2"/>
        <v>3.9312499999999995</v>
      </c>
      <c r="S10" s="196">
        <f t="shared" si="3"/>
        <v>10.099226084532321</v>
      </c>
      <c r="T10" s="49">
        <f t="shared" si="4"/>
        <v>0.5665</v>
      </c>
      <c r="U10" s="49">
        <f t="shared" si="5"/>
        <v>0.94099999999999984</v>
      </c>
      <c r="V10" s="196">
        <f t="shared" ca="1" si="6"/>
        <v>19.789695060874354</v>
      </c>
      <c r="W10" s="196">
        <f t="shared" ca="1" si="7"/>
        <v>19.789695060874354</v>
      </c>
      <c r="X10" s="83">
        <f t="shared" si="8"/>
        <v>5.5218037881433082</v>
      </c>
      <c r="Y10" s="83">
        <f t="shared" si="9"/>
        <v>8.3434463235887861</v>
      </c>
      <c r="Z10" s="83">
        <f t="shared" si="10"/>
        <v>5.5218037881433082</v>
      </c>
      <c r="AA10" s="83">
        <f t="shared" si="11"/>
        <v>6.9864826514111638</v>
      </c>
      <c r="AB10" s="83">
        <f t="shared" si="12"/>
        <v>13.539695060874347</v>
      </c>
      <c r="AC10" s="83">
        <f t="shared" si="13"/>
        <v>3.4932413257055819</v>
      </c>
      <c r="AD10" s="83">
        <f t="shared" si="14"/>
        <v>3.7936474244880953</v>
      </c>
      <c r="AE10" s="83">
        <f t="shared" si="15"/>
        <v>5.118004733010503</v>
      </c>
      <c r="AF10" s="83">
        <f t="shared" si="16"/>
        <v>9.7891995290121532</v>
      </c>
      <c r="AG10" s="83">
        <f t="shared" si="17"/>
        <v>2.5590023665052515</v>
      </c>
      <c r="AH10" s="83">
        <f t="shared" si="18"/>
        <v>6.1367825984366258</v>
      </c>
      <c r="AI10" s="83">
        <f t="shared" si="19"/>
        <v>12.456519456004401</v>
      </c>
      <c r="AJ10" s="83">
        <f t="shared" si="20"/>
        <v>5.6054337552019797</v>
      </c>
      <c r="AK10" s="83">
        <f t="shared" si="21"/>
        <v>2.6619290751660167</v>
      </c>
      <c r="AL10" s="83">
        <f t="shared" si="22"/>
        <v>4.0805406957941193</v>
      </c>
      <c r="AM10" s="83">
        <f t="shared" si="23"/>
        <v>10.208930075899257</v>
      </c>
      <c r="AN10" s="83">
        <f t="shared" si="24"/>
        <v>9.5861041030990375</v>
      </c>
      <c r="AO10" s="83">
        <f t="shared" si="25"/>
        <v>3.3883790751660174</v>
      </c>
      <c r="AP10" s="83">
        <f t="shared" si="26"/>
        <v>1.9932321775318131</v>
      </c>
      <c r="AQ10" s="83">
        <f t="shared" si="27"/>
        <v>3.655717666436074</v>
      </c>
      <c r="AR10" s="83">
        <f t="shared" si="28"/>
        <v>8.0425788661593618</v>
      </c>
      <c r="AS10" s="83">
        <f t="shared" si="29"/>
        <v>1.827858833218037</v>
      </c>
      <c r="AT10" s="83">
        <f t="shared" si="30"/>
        <v>15.047072137465387</v>
      </c>
      <c r="AU10" s="83">
        <f t="shared" si="31"/>
        <v>1.5521603579136658</v>
      </c>
      <c r="AV10" s="83">
        <f t="shared" si="32"/>
        <v>2.1143306528361849</v>
      </c>
      <c r="AW10" s="83">
        <f t="shared" si="33"/>
        <v>0.7760801789568329</v>
      </c>
      <c r="AX10" s="83">
        <f t="shared" si="34"/>
        <v>2.5590023665052515</v>
      </c>
      <c r="AY10" s="83">
        <f t="shared" si="35"/>
        <v>5.4158780243497393</v>
      </c>
      <c r="AZ10" s="83">
        <f t="shared" si="36"/>
        <v>1.2795011832526257</v>
      </c>
      <c r="BA10" s="83">
        <f t="shared" si="37"/>
        <v>15.939695060874351</v>
      </c>
      <c r="BB10" s="83">
        <f t="shared" si="38"/>
        <v>3.020742850401211</v>
      </c>
      <c r="BC10" s="83">
        <f t="shared" si="39"/>
        <v>4.8987719785417685</v>
      </c>
      <c r="BD10" s="83">
        <f t="shared" si="40"/>
        <v>1.5103714252006055</v>
      </c>
      <c r="BE10" s="83">
        <f t="shared" si="41"/>
        <v>3.9400512627144346</v>
      </c>
      <c r="BF10" s="83">
        <f t="shared" si="42"/>
        <v>4.7118138811842725</v>
      </c>
      <c r="BG10" s="83">
        <f t="shared" si="43"/>
        <v>14.042871348630303</v>
      </c>
      <c r="BH10" s="83">
        <f t="shared" si="44"/>
        <v>7.7443889091172986</v>
      </c>
      <c r="BI10" s="83">
        <f t="shared" si="45"/>
        <v>2.8774665096707186</v>
      </c>
      <c r="BJ10" s="83">
        <f t="shared" si="46"/>
        <v>6.566752104524058</v>
      </c>
      <c r="BK10" s="83">
        <f t="shared" si="47"/>
        <v>3.5744794960708277</v>
      </c>
      <c r="BL10" s="83">
        <f t="shared" si="48"/>
        <v>6.0730238181931275</v>
      </c>
      <c r="BM10" s="83">
        <f t="shared" si="49"/>
        <v>7.0702934832041837</v>
      </c>
      <c r="BN10" s="83">
        <f t="shared" si="50"/>
        <v>0.62086414316546623</v>
      </c>
      <c r="BO10" s="83">
        <f t="shared" si="51"/>
        <v>2.4371451109573825</v>
      </c>
      <c r="BP10" s="83">
        <f t="shared" si="52"/>
        <v>0.92069926413945569</v>
      </c>
      <c r="BQ10" s="83">
        <f t="shared" si="53"/>
        <v>4.861606993566677</v>
      </c>
      <c r="BR10" s="83">
        <f t="shared" si="54"/>
        <v>10.354447848284416</v>
      </c>
      <c r="BS10" s="83">
        <f t="shared" si="55"/>
        <v>1.6118588332180375</v>
      </c>
      <c r="BT10" s="83">
        <f t="shared" si="56"/>
        <v>3.8452733972883144</v>
      </c>
      <c r="BU10" s="83">
        <f t="shared" si="57"/>
        <v>3.3036855948533406</v>
      </c>
      <c r="BV10" s="83">
        <f t="shared" si="58"/>
        <v>7.2525612526978298</v>
      </c>
      <c r="BW10" s="83">
        <f t="shared" si="59"/>
        <v>8.9091821274487817</v>
      </c>
      <c r="BX10" s="83">
        <f t="shared" si="60"/>
        <v>1.4447031023657964</v>
      </c>
      <c r="BY10" s="83">
        <f t="shared" si="61"/>
        <v>3.8452733972883144</v>
      </c>
      <c r="BZ10" s="83">
        <f t="shared" si="62"/>
        <v>3.3036855948533406</v>
      </c>
      <c r="CA10" s="83">
        <f t="shared" si="63"/>
        <v>10.057947583411716</v>
      </c>
      <c r="CB10" s="83">
        <f t="shared" si="64"/>
        <v>7.1760270794825445</v>
      </c>
      <c r="CC10" s="83">
        <f t="shared" si="65"/>
        <v>1.7670748690094038</v>
      </c>
      <c r="CD10" s="83">
        <f t="shared" si="66"/>
        <v>6.4715161947149866</v>
      </c>
      <c r="CE10" s="83">
        <f t="shared" si="67"/>
        <v>4.4845811267155371</v>
      </c>
      <c r="CF10" s="83">
        <f t="shared" si="68"/>
        <v>8.7800966385445207</v>
      </c>
      <c r="CG10" s="83">
        <f t="shared" si="69"/>
        <v>4.4845811267155371</v>
      </c>
      <c r="CH10" s="83">
        <f t="shared" si="70"/>
        <v>4.1234300229247216</v>
      </c>
      <c r="CI10" s="83">
        <f t="shared" si="71"/>
        <v>8.3454425383369877</v>
      </c>
      <c r="CJ10" s="83">
        <f t="shared" si="72"/>
        <v>4.1234300229247216</v>
      </c>
      <c r="CK10" s="83">
        <f t="shared" si="73"/>
        <v>3.9849237652185878</v>
      </c>
    </row>
    <row r="11" spans="1:89" x14ac:dyDescent="0.25">
      <c r="A11" t="str">
        <f>Plantilla!D12</f>
        <v>W. Gelifini</v>
      </c>
      <c r="B11" s="320">
        <f>Plantilla!E12</f>
        <v>34</v>
      </c>
      <c r="C11" s="115">
        <f ca="1">Plantilla!F12</f>
        <v>16</v>
      </c>
      <c r="D11" s="320">
        <f>Plantilla!G12</f>
        <v>0</v>
      </c>
      <c r="E11" s="265">
        <v>36526</v>
      </c>
      <c r="F11" s="115">
        <f>Plantilla!Q12</f>
        <v>5</v>
      </c>
      <c r="G11" s="142">
        <f t="shared" si="0"/>
        <v>0.84515425472851657</v>
      </c>
      <c r="H11" s="142">
        <f t="shared" si="1"/>
        <v>0.92504826128926143</v>
      </c>
      <c r="I11" s="195">
        <f>Plantilla!P12</f>
        <v>1.5</v>
      </c>
      <c r="J11" s="196">
        <f>Plantilla!I12</f>
        <v>4.5</v>
      </c>
      <c r="K11" s="49">
        <f>Plantilla!X12</f>
        <v>0</v>
      </c>
      <c r="L11" s="49">
        <f>Plantilla!Y12</f>
        <v>5.6515555555555519</v>
      </c>
      <c r="M11" s="49">
        <f>Plantilla!Z12</f>
        <v>9</v>
      </c>
      <c r="N11" s="49">
        <f>Plantilla!AA12</f>
        <v>6.95</v>
      </c>
      <c r="O11" s="49">
        <f>Plantilla!AB12</f>
        <v>8.9499999999999993</v>
      </c>
      <c r="P11" s="49">
        <f>Plantilla!AC12</f>
        <v>2.95</v>
      </c>
      <c r="Q11" s="49">
        <f>Plantilla!AD12</f>
        <v>12.847222222222223</v>
      </c>
      <c r="R11" s="196">
        <f t="shared" si="2"/>
        <v>3.318944444444444</v>
      </c>
      <c r="S11" s="196">
        <f t="shared" si="3"/>
        <v>9.6027717628135694</v>
      </c>
      <c r="T11" s="49">
        <f t="shared" si="4"/>
        <v>0.53291666666666671</v>
      </c>
      <c r="U11" s="49">
        <f t="shared" si="5"/>
        <v>0.61147888888888879</v>
      </c>
      <c r="V11" s="196">
        <f t="shared" ca="1" si="6"/>
        <v>12.439125890961233</v>
      </c>
      <c r="W11" s="196">
        <f t="shared" ca="1" si="7"/>
        <v>13.615019640513051</v>
      </c>
      <c r="X11" s="83">
        <f t="shared" si="8"/>
        <v>3.6296686993678327</v>
      </c>
      <c r="Y11" s="83">
        <f t="shared" si="9"/>
        <v>5.4628075848230679</v>
      </c>
      <c r="Z11" s="83">
        <f t="shared" si="10"/>
        <v>3.6296686993678327</v>
      </c>
      <c r="AA11" s="83">
        <f t="shared" si="11"/>
        <v>4.1396128761441018</v>
      </c>
      <c r="AB11" s="83">
        <f t="shared" si="12"/>
        <v>8.0225055739226772</v>
      </c>
      <c r="AC11" s="83">
        <f t="shared" si="13"/>
        <v>2.0698064380720509</v>
      </c>
      <c r="AD11" s="83">
        <f t="shared" si="14"/>
        <v>2.7062861043713755</v>
      </c>
      <c r="AE11" s="83">
        <f t="shared" si="15"/>
        <v>3.0325071069427718</v>
      </c>
      <c r="AF11" s="83">
        <f t="shared" si="16"/>
        <v>5.8002715299460954</v>
      </c>
      <c r="AG11" s="83">
        <f t="shared" si="17"/>
        <v>1.5162535534713859</v>
      </c>
      <c r="AH11" s="83">
        <f t="shared" si="18"/>
        <v>4.3778157570713434</v>
      </c>
      <c r="AI11" s="83">
        <f t="shared" si="19"/>
        <v>7.3807051280088629</v>
      </c>
      <c r="AJ11" s="83">
        <f t="shared" si="20"/>
        <v>3.3213173076039881</v>
      </c>
      <c r="AK11" s="83">
        <f t="shared" si="21"/>
        <v>1.8989486530673101</v>
      </c>
      <c r="AL11" s="83">
        <f t="shared" si="22"/>
        <v>5.4807186107998689</v>
      </c>
      <c r="AM11" s="83">
        <f t="shared" si="23"/>
        <v>6.0489692027376982</v>
      </c>
      <c r="AN11" s="83">
        <f t="shared" si="24"/>
        <v>5.6799339463372549</v>
      </c>
      <c r="AO11" s="83">
        <f t="shared" si="25"/>
        <v>2.5414347641784212</v>
      </c>
      <c r="AP11" s="83">
        <f t="shared" si="26"/>
        <v>1.6386896052897317</v>
      </c>
      <c r="AQ11" s="83">
        <f t="shared" si="27"/>
        <v>2.1660765049591229</v>
      </c>
      <c r="AR11" s="83">
        <f t="shared" si="28"/>
        <v>4.7653683109100697</v>
      </c>
      <c r="AS11" s="83">
        <f t="shared" si="29"/>
        <v>1.0830382524795614</v>
      </c>
      <c r="AT11" s="83">
        <f t="shared" si="30"/>
        <v>10.734176817338566</v>
      </c>
      <c r="AU11" s="83">
        <f t="shared" si="31"/>
        <v>1.4717235023877262</v>
      </c>
      <c r="AV11" s="83">
        <f t="shared" si="32"/>
        <v>2.2790383553815676</v>
      </c>
      <c r="AW11" s="83">
        <f t="shared" si="33"/>
        <v>0.7358617511938631</v>
      </c>
      <c r="AX11" s="83">
        <f t="shared" si="34"/>
        <v>1.5162535534713859</v>
      </c>
      <c r="AY11" s="83">
        <f t="shared" si="35"/>
        <v>3.2090022295690712</v>
      </c>
      <c r="AZ11" s="83">
        <f t="shared" si="36"/>
        <v>0.75812677673569295</v>
      </c>
      <c r="BA11" s="83">
        <f t="shared" si="37"/>
        <v>11.370950018367125</v>
      </c>
      <c r="BB11" s="83">
        <f t="shared" si="38"/>
        <v>2.8642003546468824</v>
      </c>
      <c r="BC11" s="83">
        <f t="shared" si="39"/>
        <v>4.9778434601202859</v>
      </c>
      <c r="BD11" s="83">
        <f t="shared" si="40"/>
        <v>1.4321001773234412</v>
      </c>
      <c r="BE11" s="83">
        <f t="shared" si="41"/>
        <v>2.3345491220114991</v>
      </c>
      <c r="BF11" s="83">
        <f t="shared" si="42"/>
        <v>2.7918319397250912</v>
      </c>
      <c r="BG11" s="83">
        <f t="shared" si="43"/>
        <v>10.017806966181437</v>
      </c>
      <c r="BH11" s="83">
        <f t="shared" si="44"/>
        <v>8.9163245663283739</v>
      </c>
      <c r="BI11" s="83">
        <f t="shared" si="45"/>
        <v>2.728348954426477</v>
      </c>
      <c r="BJ11" s="83">
        <f t="shared" si="46"/>
        <v>3.8909152033524985</v>
      </c>
      <c r="BK11" s="83">
        <f t="shared" si="47"/>
        <v>2.1179414715155866</v>
      </c>
      <c r="BL11" s="83">
        <f t="shared" si="48"/>
        <v>4.3323319569978747</v>
      </c>
      <c r="BM11" s="83">
        <f t="shared" si="49"/>
        <v>8.5485103160528677</v>
      </c>
      <c r="BN11" s="83">
        <f t="shared" si="50"/>
        <v>0.58868940095509048</v>
      </c>
      <c r="BO11" s="83">
        <f t="shared" si="51"/>
        <v>1.4440510033060818</v>
      </c>
      <c r="BP11" s="83">
        <f t="shared" si="52"/>
        <v>0.54553037902674206</v>
      </c>
      <c r="BQ11" s="83">
        <f t="shared" si="53"/>
        <v>3.4681397556019733</v>
      </c>
      <c r="BR11" s="83">
        <f t="shared" si="54"/>
        <v>12.558741723620122</v>
      </c>
      <c r="BS11" s="83">
        <f t="shared" si="55"/>
        <v>1.5283282524795618</v>
      </c>
      <c r="BT11" s="83">
        <f t="shared" si="56"/>
        <v>2.2783915829940402</v>
      </c>
      <c r="BU11" s="83">
        <f t="shared" si="57"/>
        <v>1.9574913600371331</v>
      </c>
      <c r="BV11" s="83">
        <f t="shared" si="58"/>
        <v>5.1737822583570425</v>
      </c>
      <c r="BW11" s="83">
        <f t="shared" si="59"/>
        <v>10.815612620350775</v>
      </c>
      <c r="BX11" s="83">
        <f t="shared" si="60"/>
        <v>1.369834952222422</v>
      </c>
      <c r="BY11" s="83">
        <f t="shared" si="61"/>
        <v>2.2783915829940402</v>
      </c>
      <c r="BZ11" s="83">
        <f t="shared" si="62"/>
        <v>1.9574913600371331</v>
      </c>
      <c r="CA11" s="83">
        <f t="shared" si="63"/>
        <v>7.175069461589656</v>
      </c>
      <c r="CB11" s="83">
        <f t="shared" si="64"/>
        <v>8.7282502664385753</v>
      </c>
      <c r="CC11" s="83">
        <f t="shared" si="65"/>
        <v>1.6755006027183343</v>
      </c>
      <c r="CD11" s="83">
        <f t="shared" si="66"/>
        <v>4.6166057074570528</v>
      </c>
      <c r="CE11" s="83">
        <f t="shared" si="67"/>
        <v>4.8482149595692716</v>
      </c>
      <c r="CF11" s="83">
        <f t="shared" si="68"/>
        <v>9.249389720681382</v>
      </c>
      <c r="CG11" s="83">
        <f t="shared" si="69"/>
        <v>4.8482149595692716</v>
      </c>
      <c r="CH11" s="83">
        <f t="shared" si="70"/>
        <v>4.9209518614427195</v>
      </c>
      <c r="CI11" s="83">
        <f t="shared" si="71"/>
        <v>9.4983805751445942</v>
      </c>
      <c r="CJ11" s="83">
        <f t="shared" si="72"/>
        <v>4.9209518614427195</v>
      </c>
      <c r="CK11" s="83">
        <f t="shared" si="73"/>
        <v>2.8427375045917813</v>
      </c>
    </row>
    <row r="12" spans="1:89" x14ac:dyDescent="0.25">
      <c r="A12" t="str">
        <f>Plantilla!D13</f>
        <v>I. Vanags</v>
      </c>
      <c r="B12" s="320">
        <f>Plantilla!E13</f>
        <v>18</v>
      </c>
      <c r="C12" s="115">
        <f ca="1">Plantilla!F13</f>
        <v>86</v>
      </c>
      <c r="D12" s="320" t="str">
        <f>Plantilla!G13</f>
        <v>CAB</v>
      </c>
      <c r="E12" s="265">
        <f>Plantilla!O13</f>
        <v>43626</v>
      </c>
      <c r="F12" s="115">
        <f>Plantilla!Q13</f>
        <v>5</v>
      </c>
      <c r="G12" s="142">
        <f t="shared" si="0"/>
        <v>0.84515425472851657</v>
      </c>
      <c r="H12" s="142">
        <f t="shared" si="1"/>
        <v>0.92504826128926143</v>
      </c>
      <c r="I12" s="195">
        <f ca="1">Plantilla!P13</f>
        <v>0.2175776824553268</v>
      </c>
      <c r="J12" s="196">
        <f>Plantilla!I13</f>
        <v>0.4</v>
      </c>
      <c r="K12" s="49">
        <f>Plantilla!X13</f>
        <v>0</v>
      </c>
      <c r="L12" s="49">
        <f>Plantilla!Y13</f>
        <v>4</v>
      </c>
      <c r="M12" s="49">
        <f>Plantilla!Z13</f>
        <v>7.8</v>
      </c>
      <c r="N12" s="49">
        <f>Plantilla!AA13</f>
        <v>3</v>
      </c>
      <c r="O12" s="49">
        <f>Plantilla!AB13</f>
        <v>4</v>
      </c>
      <c r="P12" s="49">
        <f>Plantilla!AC13</f>
        <v>7</v>
      </c>
      <c r="Q12" s="49">
        <f>Plantilla!AD13</f>
        <v>6</v>
      </c>
      <c r="R12" s="196">
        <f t="shared" si="2"/>
        <v>1.875</v>
      </c>
      <c r="S12" s="196">
        <f t="shared" ca="1" si="3"/>
        <v>6.6282501193393362</v>
      </c>
      <c r="T12" s="49">
        <f t="shared" si="4"/>
        <v>0.53</v>
      </c>
      <c r="U12" s="49">
        <f t="shared" si="5"/>
        <v>0.33999999999999997</v>
      </c>
      <c r="V12" s="196">
        <f t="shared" ca="1" si="6"/>
        <v>4.8792105427733583</v>
      </c>
      <c r="W12" s="196">
        <f t="shared" ca="1" si="7"/>
        <v>5.3404514073073832</v>
      </c>
      <c r="X12" s="83">
        <f t="shared" ca="1" si="8"/>
        <v>0.83074314668924853</v>
      </c>
      <c r="Y12" s="83">
        <f t="shared" ca="1" si="9"/>
        <v>1.2959053864556926</v>
      </c>
      <c r="Z12" s="83">
        <f t="shared" ca="1" si="10"/>
        <v>0.83074314668924853</v>
      </c>
      <c r="AA12" s="83">
        <f t="shared" ca="1" si="11"/>
        <v>1.9024873581805866</v>
      </c>
      <c r="AB12" s="83">
        <f t="shared" ca="1" si="12"/>
        <v>3.6869910042259431</v>
      </c>
      <c r="AC12" s="83">
        <f t="shared" ca="1" si="13"/>
        <v>0.95124367909029328</v>
      </c>
      <c r="AD12" s="83">
        <f t="shared" ca="1" si="14"/>
        <v>1.7819038590057745</v>
      </c>
      <c r="AE12" s="83">
        <f t="shared" ca="1" si="15"/>
        <v>1.3936825995974065</v>
      </c>
      <c r="AF12" s="83">
        <f t="shared" ca="1" si="16"/>
        <v>2.6656944960553566</v>
      </c>
      <c r="AG12" s="83">
        <f t="shared" ca="1" si="17"/>
        <v>0.69684129979870324</v>
      </c>
      <c r="AH12" s="83">
        <f t="shared" ca="1" si="18"/>
        <v>2.8824915366269885</v>
      </c>
      <c r="AI12" s="83">
        <f t="shared" ca="1" si="19"/>
        <v>3.3920317238878677</v>
      </c>
      <c r="AJ12" s="83">
        <f t="shared" ca="1" si="20"/>
        <v>1.5264142757495403</v>
      </c>
      <c r="AK12" s="83">
        <f t="shared" ca="1" si="21"/>
        <v>1.2503274977057326</v>
      </c>
      <c r="AL12" s="83">
        <f t="shared" ca="1" si="22"/>
        <v>1.5799507104848547</v>
      </c>
      <c r="AM12" s="83">
        <f t="shared" ca="1" si="23"/>
        <v>2.7799912171863612</v>
      </c>
      <c r="AN12" s="83">
        <f t="shared" ca="1" si="24"/>
        <v>2.6103896309919676</v>
      </c>
      <c r="AO12" s="83">
        <f t="shared" ca="1" si="25"/>
        <v>0.9497274977057325</v>
      </c>
      <c r="AP12" s="83">
        <f t="shared" ca="1" si="26"/>
        <v>0.44985340921707168</v>
      </c>
      <c r="AQ12" s="83">
        <f t="shared" ca="1" si="27"/>
        <v>0.99548757114100472</v>
      </c>
      <c r="AR12" s="83">
        <f t="shared" ca="1" si="28"/>
        <v>2.19007265651021</v>
      </c>
      <c r="AS12" s="83">
        <f t="shared" ca="1" si="29"/>
        <v>0.49774378557050236</v>
      </c>
      <c r="AT12" s="83">
        <f t="shared" ca="1" si="30"/>
        <v>7.0677195079892909</v>
      </c>
      <c r="AU12" s="83">
        <f t="shared" ca="1" si="31"/>
        <v>0.47930883054937262</v>
      </c>
      <c r="AV12" s="83">
        <f t="shared" ca="1" si="32"/>
        <v>1.5992883642382012</v>
      </c>
      <c r="AW12" s="83">
        <f t="shared" ca="1" si="33"/>
        <v>0.23965441527468631</v>
      </c>
      <c r="AX12" s="83">
        <f t="shared" ca="1" si="34"/>
        <v>0.69684129979870324</v>
      </c>
      <c r="AY12" s="83">
        <f t="shared" ca="1" si="35"/>
        <v>1.4747964016903774</v>
      </c>
      <c r="AZ12" s="83">
        <f t="shared" ca="1" si="36"/>
        <v>0.34842064989935162</v>
      </c>
      <c r="BA12" s="83">
        <f t="shared" ca="1" si="37"/>
        <v>7.4869910042259438</v>
      </c>
      <c r="BB12" s="83">
        <f t="shared" ca="1" si="38"/>
        <v>0.9328087240691636</v>
      </c>
      <c r="BC12" s="83">
        <f t="shared" ca="1" si="39"/>
        <v>2.6615320433284948</v>
      </c>
      <c r="BD12" s="83">
        <f t="shared" ca="1" si="40"/>
        <v>0.4664043620345818</v>
      </c>
      <c r="BE12" s="83">
        <f t="shared" ca="1" si="41"/>
        <v>1.0729143822297493</v>
      </c>
      <c r="BF12" s="83">
        <f t="shared" ca="1" si="42"/>
        <v>1.2830728694706282</v>
      </c>
      <c r="BG12" s="83">
        <f t="shared" ca="1" si="43"/>
        <v>6.5960390747230564</v>
      </c>
      <c r="BH12" s="83">
        <f t="shared" ca="1" si="44"/>
        <v>2.7037350027568632</v>
      </c>
      <c r="BI12" s="83">
        <f t="shared" ca="1" si="45"/>
        <v>0.88856483201845227</v>
      </c>
      <c r="BJ12" s="83">
        <f t="shared" ca="1" si="46"/>
        <v>1.7881906370495824</v>
      </c>
      <c r="BK12" s="83">
        <f t="shared" ca="1" si="47"/>
        <v>0.97336562511564906</v>
      </c>
      <c r="BL12" s="83">
        <f t="shared" ca="1" si="48"/>
        <v>2.8525435726100845</v>
      </c>
      <c r="BM12" s="83">
        <f t="shared" ca="1" si="49"/>
        <v>2.5494301376934745</v>
      </c>
      <c r="BN12" s="83">
        <f t="shared" ca="1" si="50"/>
        <v>0.19172353221974903</v>
      </c>
      <c r="BO12" s="83">
        <f t="shared" ca="1" si="51"/>
        <v>0.66365838076066974</v>
      </c>
      <c r="BP12" s="83">
        <f t="shared" ca="1" si="52"/>
        <v>0.25071538828736417</v>
      </c>
      <c r="BQ12" s="83">
        <f t="shared" ca="1" si="53"/>
        <v>2.2835322562889129</v>
      </c>
      <c r="BR12" s="83">
        <f t="shared" ca="1" si="54"/>
        <v>3.7414704314345633</v>
      </c>
      <c r="BS12" s="83">
        <f t="shared" ca="1" si="55"/>
        <v>0.49774378557050236</v>
      </c>
      <c r="BT12" s="83">
        <f t="shared" ca="1" si="56"/>
        <v>1.0471054452001678</v>
      </c>
      <c r="BU12" s="83">
        <f t="shared" ca="1" si="57"/>
        <v>0.8996258050311301</v>
      </c>
      <c r="BV12" s="83">
        <f t="shared" ca="1" si="58"/>
        <v>3.4065809069228044</v>
      </c>
      <c r="BW12" s="83">
        <f t="shared" ca="1" si="59"/>
        <v>3.2211860326823452</v>
      </c>
      <c r="BX12" s="83">
        <f t="shared" ca="1" si="60"/>
        <v>0.44612591151133912</v>
      </c>
      <c r="BY12" s="83">
        <f t="shared" ca="1" si="61"/>
        <v>1.0471054452001678</v>
      </c>
      <c r="BZ12" s="83">
        <f t="shared" ca="1" si="62"/>
        <v>0.8996258050311301</v>
      </c>
      <c r="CA12" s="83">
        <f t="shared" ca="1" si="63"/>
        <v>4.7242913236665709</v>
      </c>
      <c r="CB12" s="83">
        <f t="shared" ca="1" si="64"/>
        <v>2.5978569487822192</v>
      </c>
      <c r="CC12" s="83">
        <f t="shared" ca="1" si="65"/>
        <v>0.54567466862543956</v>
      </c>
      <c r="CD12" s="83">
        <f t="shared" ca="1" si="66"/>
        <v>3.0397183477157332</v>
      </c>
      <c r="CE12" s="83">
        <f t="shared" ca="1" si="67"/>
        <v>2.1579223132017162</v>
      </c>
      <c r="CF12" s="83">
        <f t="shared" ca="1" si="68"/>
        <v>5.9005518707584113</v>
      </c>
      <c r="CG12" s="83">
        <f t="shared" ca="1" si="69"/>
        <v>2.1579223132017162</v>
      </c>
      <c r="CH12" s="83">
        <f t="shared" ca="1" si="70"/>
        <v>3.0594251981943779</v>
      </c>
      <c r="CI12" s="83">
        <f t="shared" ca="1" si="71"/>
        <v>8.0474906847853163</v>
      </c>
      <c r="CJ12" s="83">
        <f t="shared" ca="1" si="72"/>
        <v>3.0594251981943779</v>
      </c>
      <c r="CK12" s="83">
        <f t="shared" ca="1" si="73"/>
        <v>1.8717477510564859</v>
      </c>
    </row>
    <row r="13" spans="1:89" x14ac:dyDescent="0.25">
      <c r="A13" t="str">
        <f>Plantilla!D14</f>
        <v>I. Stone</v>
      </c>
      <c r="B13" s="320">
        <f>Plantilla!E14</f>
        <v>18</v>
      </c>
      <c r="C13" s="115">
        <f ca="1">Plantilla!F14</f>
        <v>29</v>
      </c>
      <c r="D13" s="320" t="str">
        <f>Plantilla!G14</f>
        <v>RAP</v>
      </c>
      <c r="E13" s="265">
        <f>Plantilla!O14</f>
        <v>43633</v>
      </c>
      <c r="F13" s="115">
        <f>Plantilla!Q14</f>
        <v>4</v>
      </c>
      <c r="G13" s="142">
        <f t="shared" si="0"/>
        <v>0.7559289460184544</v>
      </c>
      <c r="H13" s="142">
        <f t="shared" si="1"/>
        <v>0.84430867747355465</v>
      </c>
      <c r="I13" s="195">
        <f ca="1">Plantilla!P14</f>
        <v>0.18470474700304157</v>
      </c>
      <c r="J13" s="196">
        <f>Plantilla!I14</f>
        <v>1.2</v>
      </c>
      <c r="K13" s="49">
        <f>Plantilla!X14</f>
        <v>0</v>
      </c>
      <c r="L13" s="49">
        <f>Plantilla!Y14</f>
        <v>3</v>
      </c>
      <c r="M13" s="49">
        <f>Plantilla!Z14</f>
        <v>6.25</v>
      </c>
      <c r="N13" s="49">
        <f>Plantilla!AA14</f>
        <v>2</v>
      </c>
      <c r="O13" s="49">
        <f>Plantilla!AB14</f>
        <v>6</v>
      </c>
      <c r="P13" s="49">
        <f>Plantilla!AC14</f>
        <v>9</v>
      </c>
      <c r="Q13" s="49">
        <f>Plantilla!AD14</f>
        <v>2</v>
      </c>
      <c r="R13" s="196">
        <f t="shared" si="2"/>
        <v>2.25</v>
      </c>
      <c r="S13" s="196">
        <f t="shared" ca="1" si="3"/>
        <v>9.0815182292303884</v>
      </c>
      <c r="T13" s="49">
        <f t="shared" si="4"/>
        <v>0.51</v>
      </c>
      <c r="U13" s="49">
        <f t="shared" si="5"/>
        <v>0.18000000000000002</v>
      </c>
      <c r="V13" s="196">
        <f t="shared" ca="1" si="6"/>
        <v>1.7936955954396294</v>
      </c>
      <c r="W13" s="196">
        <f t="shared" ca="1" si="7"/>
        <v>2.0034062248210325</v>
      </c>
      <c r="X13" s="83">
        <f t="shared" ca="1" si="8"/>
        <v>1.0814142145330907</v>
      </c>
      <c r="Y13" s="83">
        <f t="shared" ca="1" si="9"/>
        <v>1.6497511465775716</v>
      </c>
      <c r="Z13" s="83">
        <f t="shared" ca="1" si="10"/>
        <v>1.0814142145330907</v>
      </c>
      <c r="AA13" s="83">
        <f t="shared" ca="1" si="11"/>
        <v>1.6977843467343354</v>
      </c>
      <c r="AB13" s="83">
        <f t="shared" ca="1" si="12"/>
        <v>3.2902797417332081</v>
      </c>
      <c r="AC13" s="83">
        <f t="shared" ca="1" si="13"/>
        <v>0.84889217336716771</v>
      </c>
      <c r="AD13" s="83">
        <f t="shared" ca="1" si="14"/>
        <v>1.5565865785325035</v>
      </c>
      <c r="AE13" s="83">
        <f t="shared" ca="1" si="15"/>
        <v>1.2437257423751527</v>
      </c>
      <c r="AF13" s="83">
        <f t="shared" ca="1" si="16"/>
        <v>2.3788722532731095</v>
      </c>
      <c r="AG13" s="83">
        <f t="shared" ca="1" si="17"/>
        <v>0.62186287118757633</v>
      </c>
      <c r="AH13" s="83">
        <f t="shared" ca="1" si="18"/>
        <v>2.5180077005672854</v>
      </c>
      <c r="AI13" s="83">
        <f t="shared" ca="1" si="19"/>
        <v>3.0270573623945518</v>
      </c>
      <c r="AJ13" s="83">
        <f t="shared" ca="1" si="20"/>
        <v>1.3621758130775481</v>
      </c>
      <c r="AK13" s="83">
        <f t="shared" ca="1" si="21"/>
        <v>1.0922267168694457</v>
      </c>
      <c r="AL13" s="83">
        <f t="shared" ca="1" si="22"/>
        <v>1.3466844881391262</v>
      </c>
      <c r="AM13" s="83">
        <f t="shared" ca="1" si="23"/>
        <v>2.4808709252668391</v>
      </c>
      <c r="AN13" s="83">
        <f t="shared" ca="1" si="24"/>
        <v>2.3295180571471112</v>
      </c>
      <c r="AO13" s="83">
        <f t="shared" ca="1" si="25"/>
        <v>0.38247671686944579</v>
      </c>
      <c r="AP13" s="83">
        <f t="shared" ca="1" si="26"/>
        <v>0.73160056561916387</v>
      </c>
      <c r="AQ13" s="83">
        <f t="shared" ca="1" si="27"/>
        <v>0.88837553026796623</v>
      </c>
      <c r="AR13" s="83">
        <f t="shared" ca="1" si="28"/>
        <v>1.9544261665895255</v>
      </c>
      <c r="AS13" s="83">
        <f t="shared" ca="1" si="29"/>
        <v>0.44418776513398311</v>
      </c>
      <c r="AT13" s="83">
        <f t="shared" ca="1" si="30"/>
        <v>6.1740240761961482</v>
      </c>
      <c r="AU13" s="83">
        <f t="shared" ca="1" si="31"/>
        <v>0.81773636642531711</v>
      </c>
      <c r="AV13" s="83">
        <f t="shared" ca="1" si="32"/>
        <v>2.3620519643278297</v>
      </c>
      <c r="AW13" s="83">
        <f t="shared" ca="1" si="33"/>
        <v>0.40886818321265855</v>
      </c>
      <c r="AX13" s="83">
        <f t="shared" ca="1" si="34"/>
        <v>0.62186287118757633</v>
      </c>
      <c r="AY13" s="83">
        <f t="shared" ca="1" si="35"/>
        <v>1.3161118966932834</v>
      </c>
      <c r="AZ13" s="83">
        <f t="shared" ca="1" si="36"/>
        <v>0.31093143559378816</v>
      </c>
      <c r="BA13" s="83">
        <f t="shared" ca="1" si="37"/>
        <v>6.5402797417332081</v>
      </c>
      <c r="BB13" s="83">
        <f t="shared" ca="1" si="38"/>
        <v>1.5914407746585018</v>
      </c>
      <c r="BC13" s="83">
        <f t="shared" ca="1" si="39"/>
        <v>4.0959441376949979</v>
      </c>
      <c r="BD13" s="83">
        <f t="shared" ca="1" si="40"/>
        <v>0.79572038732925088</v>
      </c>
      <c r="BE13" s="83">
        <f t="shared" ca="1" si="41"/>
        <v>0.95747140484436355</v>
      </c>
      <c r="BF13" s="83">
        <f t="shared" ca="1" si="42"/>
        <v>1.1450173501231564</v>
      </c>
      <c r="BG13" s="83">
        <f t="shared" ca="1" si="43"/>
        <v>5.7619864524669566</v>
      </c>
      <c r="BH13" s="83">
        <f t="shared" ca="1" si="44"/>
        <v>3.2960586904008222</v>
      </c>
      <c r="BI13" s="83">
        <f t="shared" ca="1" si="45"/>
        <v>1.5159574177577031</v>
      </c>
      <c r="BJ13" s="83">
        <f t="shared" ca="1" si="46"/>
        <v>1.5957856747406058</v>
      </c>
      <c r="BK13" s="83">
        <f t="shared" ca="1" si="47"/>
        <v>0.86863385181756703</v>
      </c>
      <c r="BL13" s="83">
        <f t="shared" ca="1" si="48"/>
        <v>2.4918465816003526</v>
      </c>
      <c r="BM13" s="83">
        <f t="shared" ca="1" si="49"/>
        <v>2.8057044942748242</v>
      </c>
      <c r="BN13" s="83">
        <f t="shared" ca="1" si="50"/>
        <v>0.32709454657012682</v>
      </c>
      <c r="BO13" s="83">
        <f t="shared" ca="1" si="51"/>
        <v>0.59225035351197741</v>
      </c>
      <c r="BP13" s="83">
        <f t="shared" ca="1" si="52"/>
        <v>0.22373902243785818</v>
      </c>
      <c r="BQ13" s="83">
        <f t="shared" ca="1" si="53"/>
        <v>1.9947853212286284</v>
      </c>
      <c r="BR13" s="83">
        <f t="shared" ca="1" si="54"/>
        <v>4.089299747868905</v>
      </c>
      <c r="BS13" s="83">
        <f t="shared" ca="1" si="55"/>
        <v>0.8491877651339832</v>
      </c>
      <c r="BT13" s="83">
        <f t="shared" ca="1" si="56"/>
        <v>0.934439446652231</v>
      </c>
      <c r="BU13" s="83">
        <f t="shared" ca="1" si="57"/>
        <v>0.80282825698290272</v>
      </c>
      <c r="BV13" s="83">
        <f t="shared" ca="1" si="58"/>
        <v>2.9758272824886096</v>
      </c>
      <c r="BW13" s="83">
        <f t="shared" ca="1" si="59"/>
        <v>3.5136299538403946</v>
      </c>
      <c r="BX13" s="83">
        <f t="shared" ca="1" si="60"/>
        <v>0.76112384874971817</v>
      </c>
      <c r="BY13" s="83">
        <f t="shared" ca="1" si="61"/>
        <v>0.934439446652231</v>
      </c>
      <c r="BZ13" s="83">
        <f t="shared" ca="1" si="62"/>
        <v>0.80282825698290272</v>
      </c>
      <c r="CA13" s="83">
        <f t="shared" ca="1" si="63"/>
        <v>4.1269165170336546</v>
      </c>
      <c r="CB13" s="83">
        <f t="shared" ca="1" si="64"/>
        <v>2.8218003688512212</v>
      </c>
      <c r="CC13" s="83">
        <f t="shared" ca="1" si="65"/>
        <v>0.93096140177651476</v>
      </c>
      <c r="CD13" s="83">
        <f t="shared" ca="1" si="66"/>
        <v>2.6553535751436828</v>
      </c>
      <c r="CE13" s="83">
        <f t="shared" ca="1" si="67"/>
        <v>3.0822357454430014</v>
      </c>
      <c r="CF13" s="83">
        <f t="shared" ca="1" si="68"/>
        <v>8.8318549891915907</v>
      </c>
      <c r="CG13" s="83">
        <f t="shared" ca="1" si="69"/>
        <v>3.0822357454430014</v>
      </c>
      <c r="CH13" s="83">
        <f t="shared" ca="1" si="70"/>
        <v>4.0268210448789974</v>
      </c>
      <c r="CI13" s="83">
        <f t="shared" ca="1" si="71"/>
        <v>11.61139296643276</v>
      </c>
      <c r="CJ13" s="83">
        <f t="shared" ca="1" si="72"/>
        <v>4.0268210448789974</v>
      </c>
      <c r="CK13" s="83">
        <f t="shared" ca="1" si="73"/>
        <v>1.635069935433302</v>
      </c>
    </row>
    <row r="14" spans="1:89" x14ac:dyDescent="0.25">
      <c r="A14" t="str">
        <f>Plantilla!D15</f>
        <v>G. Piscaer</v>
      </c>
      <c r="B14" s="320">
        <f>Plantilla!E15</f>
        <v>18</v>
      </c>
      <c r="C14" s="115">
        <f ca="1">Plantilla!F15</f>
        <v>102</v>
      </c>
      <c r="D14" s="320" t="str">
        <f>Plantilla!G15</f>
        <v>IMP</v>
      </c>
      <c r="E14" s="265">
        <f>Plantilla!O15</f>
        <v>43630</v>
      </c>
      <c r="F14" s="115">
        <f>Plantilla!Q15</f>
        <v>5</v>
      </c>
      <c r="G14" s="142">
        <f t="shared" si="0"/>
        <v>0.84515425472851657</v>
      </c>
      <c r="H14" s="142">
        <f t="shared" si="1"/>
        <v>0.92504826128926143</v>
      </c>
      <c r="I14" s="195">
        <f ca="1">Plantilla!P15</f>
        <v>0.199166215696265</v>
      </c>
      <c r="J14" s="196">
        <f>Plantilla!I15</f>
        <v>1.8</v>
      </c>
      <c r="K14" s="49">
        <f>Plantilla!X15</f>
        <v>0</v>
      </c>
      <c r="L14" s="49">
        <f>Plantilla!Y15</f>
        <v>4</v>
      </c>
      <c r="M14" s="49">
        <f>Plantilla!Z15</f>
        <v>8.6</v>
      </c>
      <c r="N14" s="49">
        <f>Plantilla!AA15</f>
        <v>3</v>
      </c>
      <c r="O14" s="49">
        <f>Plantilla!AB15</f>
        <v>2</v>
      </c>
      <c r="P14" s="49">
        <f>Plantilla!AC15</f>
        <v>8</v>
      </c>
      <c r="Q14" s="49">
        <f>Plantilla!AD15</f>
        <v>0</v>
      </c>
      <c r="R14" s="196">
        <f t="shared" si="2"/>
        <v>1.375</v>
      </c>
      <c r="S14" s="196">
        <f t="shared" ca="1" si="3"/>
        <v>6.8723603183931523</v>
      </c>
      <c r="T14" s="49">
        <f t="shared" si="4"/>
        <v>0.4</v>
      </c>
      <c r="U14" s="49">
        <f t="shared" si="5"/>
        <v>0.16</v>
      </c>
      <c r="V14" s="196">
        <f t="shared" ca="1" si="6"/>
        <v>0.52723823694599892</v>
      </c>
      <c r="W14" s="196">
        <f t="shared" ca="1" si="7"/>
        <v>0.57707904994074644</v>
      </c>
      <c r="X14" s="83">
        <f t="shared" ca="1" si="8"/>
        <v>1.5750093022430876</v>
      </c>
      <c r="Y14" s="83">
        <f t="shared" ca="1" si="9"/>
        <v>2.396532656581702</v>
      </c>
      <c r="Z14" s="83">
        <f t="shared" ca="1" si="10"/>
        <v>1.5750093022430876</v>
      </c>
      <c r="AA14" s="83">
        <f t="shared" ca="1" si="11"/>
        <v>2.3423972508103472</v>
      </c>
      <c r="AB14" s="83">
        <f t="shared" ca="1" si="12"/>
        <v>4.5395295558340063</v>
      </c>
      <c r="AC14" s="83">
        <f t="shared" ca="1" si="13"/>
        <v>1.1711986254051736</v>
      </c>
      <c r="AD14" s="83">
        <f t="shared" ca="1" si="14"/>
        <v>2.1752080342884934</v>
      </c>
      <c r="AE14" s="83">
        <f t="shared" ca="1" si="15"/>
        <v>1.7159421721052543</v>
      </c>
      <c r="AF14" s="83">
        <f t="shared" ca="1" si="16"/>
        <v>3.2820798688679864</v>
      </c>
      <c r="AG14" s="83">
        <f t="shared" ca="1" si="17"/>
        <v>0.85797108605262717</v>
      </c>
      <c r="AH14" s="83">
        <f t="shared" ca="1" si="18"/>
        <v>3.5187188789960926</v>
      </c>
      <c r="AI14" s="83">
        <f t="shared" ca="1" si="19"/>
        <v>4.1763671913672864</v>
      </c>
      <c r="AJ14" s="83">
        <f t="shared" ca="1" si="20"/>
        <v>1.8793652361152786</v>
      </c>
      <c r="AK14" s="83">
        <f t="shared" ca="1" si="21"/>
        <v>1.526301435824279</v>
      </c>
      <c r="AL14" s="83">
        <f t="shared" ca="1" si="22"/>
        <v>2.0812433788303957</v>
      </c>
      <c r="AM14" s="83">
        <f t="shared" ca="1" si="23"/>
        <v>3.4228052850988409</v>
      </c>
      <c r="AN14" s="83">
        <f t="shared" ca="1" si="24"/>
        <v>3.2139869255304765</v>
      </c>
      <c r="AO14" s="83">
        <f t="shared" ca="1" si="25"/>
        <v>9.0101435824279083E-2</v>
      </c>
      <c r="AP14" s="83">
        <f t="shared" ca="1" si="26"/>
        <v>0.55138451208019379</v>
      </c>
      <c r="AQ14" s="83">
        <f t="shared" ca="1" si="27"/>
        <v>1.2256729800751818</v>
      </c>
      <c r="AR14" s="83">
        <f t="shared" ca="1" si="28"/>
        <v>2.6964805561653997</v>
      </c>
      <c r="AS14" s="83">
        <f t="shared" ca="1" si="29"/>
        <v>0.61283649003759089</v>
      </c>
      <c r="AT14" s="83">
        <f t="shared" ca="1" si="30"/>
        <v>8.627715900707301</v>
      </c>
      <c r="AU14" s="83">
        <f t="shared" ca="1" si="31"/>
        <v>0.33013884225842083</v>
      </c>
      <c r="AV14" s="83">
        <f t="shared" ca="1" si="32"/>
        <v>1.7820821598593637</v>
      </c>
      <c r="AW14" s="83">
        <f t="shared" ca="1" si="33"/>
        <v>0.16506942112921041</v>
      </c>
      <c r="AX14" s="83">
        <f t="shared" ca="1" si="34"/>
        <v>0.85797108605262717</v>
      </c>
      <c r="AY14" s="83">
        <f t="shared" ca="1" si="35"/>
        <v>1.8158118223336026</v>
      </c>
      <c r="AZ14" s="83">
        <f t="shared" ca="1" si="36"/>
        <v>0.42898554302631359</v>
      </c>
      <c r="BA14" s="83">
        <f t="shared" ca="1" si="37"/>
        <v>9.1395295558340059</v>
      </c>
      <c r="BB14" s="83">
        <f t="shared" ca="1" si="38"/>
        <v>0.64250097762600356</v>
      </c>
      <c r="BC14" s="83">
        <f t="shared" ca="1" si="39"/>
        <v>2.6592807852645377</v>
      </c>
      <c r="BD14" s="83">
        <f t="shared" ca="1" si="40"/>
        <v>0.32125048881300178</v>
      </c>
      <c r="BE14" s="83">
        <f t="shared" ca="1" si="41"/>
        <v>1.3210031007476957</v>
      </c>
      <c r="BF14" s="83">
        <f t="shared" ca="1" si="42"/>
        <v>1.5797562854302341</v>
      </c>
      <c r="BG14" s="83">
        <f t="shared" ca="1" si="43"/>
        <v>8.0519255386897601</v>
      </c>
      <c r="BH14" s="83">
        <f t="shared" ca="1" si="44"/>
        <v>2.8316417751364313</v>
      </c>
      <c r="BI14" s="83">
        <f t="shared" ca="1" si="45"/>
        <v>0.61202662295599553</v>
      </c>
      <c r="BJ14" s="83">
        <f t="shared" ca="1" si="46"/>
        <v>2.2016718345794928</v>
      </c>
      <c r="BK14" s="83">
        <f t="shared" ca="1" si="47"/>
        <v>1.1984358027401778</v>
      </c>
      <c r="BL14" s="83">
        <f t="shared" ca="1" si="48"/>
        <v>3.4821607607727563</v>
      </c>
      <c r="BM14" s="83">
        <f t="shared" ca="1" si="49"/>
        <v>2.8925488317989219</v>
      </c>
      <c r="BN14" s="83">
        <f t="shared" ca="1" si="50"/>
        <v>0.13205553690336833</v>
      </c>
      <c r="BO14" s="83">
        <f t="shared" ca="1" si="51"/>
        <v>0.81711532005012111</v>
      </c>
      <c r="BP14" s="83">
        <f t="shared" ca="1" si="52"/>
        <v>0.30868800979671246</v>
      </c>
      <c r="BQ14" s="83">
        <f t="shared" ca="1" si="53"/>
        <v>2.7875565145293719</v>
      </c>
      <c r="BR14" s="83">
        <f t="shared" ca="1" si="54"/>
        <v>4.2658350088025321</v>
      </c>
      <c r="BS14" s="83">
        <f t="shared" ca="1" si="55"/>
        <v>0.34283649003759087</v>
      </c>
      <c r="BT14" s="83">
        <f t="shared" ca="1" si="56"/>
        <v>1.2892263938568578</v>
      </c>
      <c r="BU14" s="83">
        <f t="shared" ca="1" si="57"/>
        <v>1.1076452116234976</v>
      </c>
      <c r="BV14" s="83">
        <f t="shared" ca="1" si="58"/>
        <v>4.1584859479044729</v>
      </c>
      <c r="BW14" s="83">
        <f t="shared" ca="1" si="59"/>
        <v>3.6777987478640792</v>
      </c>
      <c r="BX14" s="83">
        <f t="shared" ca="1" si="60"/>
        <v>0.30728307625591478</v>
      </c>
      <c r="BY14" s="83">
        <f t="shared" ca="1" si="61"/>
        <v>1.2892263938568578</v>
      </c>
      <c r="BZ14" s="83">
        <f t="shared" ca="1" si="62"/>
        <v>1.1076452116234976</v>
      </c>
      <c r="CA14" s="83">
        <f t="shared" ca="1" si="63"/>
        <v>5.7670431497312578</v>
      </c>
      <c r="CB14" s="83">
        <f t="shared" ca="1" si="64"/>
        <v>2.9748789524714354</v>
      </c>
      <c r="CC14" s="83">
        <f t="shared" ca="1" si="65"/>
        <v>0.37585037426343293</v>
      </c>
      <c r="CD14" s="83">
        <f t="shared" ca="1" si="66"/>
        <v>3.7106489996686065</v>
      </c>
      <c r="CE14" s="83">
        <f t="shared" ca="1" si="67"/>
        <v>2.2290948985895174</v>
      </c>
      <c r="CF14" s="83">
        <f t="shared" ca="1" si="68"/>
        <v>6.357510279869091</v>
      </c>
      <c r="CG14" s="83">
        <f t="shared" ca="1" si="69"/>
        <v>2.2290948985895174</v>
      </c>
      <c r="CH14" s="83">
        <f t="shared" ca="1" si="70"/>
        <v>3.5713436972035573</v>
      </c>
      <c r="CI14" s="83">
        <f t="shared" ca="1" si="71"/>
        <v>9.4766159619367549</v>
      </c>
      <c r="CJ14" s="83">
        <f t="shared" ca="1" si="72"/>
        <v>3.5713436972035573</v>
      </c>
      <c r="CK14" s="83">
        <f t="shared" ca="1" si="73"/>
        <v>2.2848823889585015</v>
      </c>
    </row>
    <row r="15" spans="1:89" x14ac:dyDescent="0.25">
      <c r="A15" t="str">
        <f>Plantilla!D16</f>
        <v>M. Bondarewski</v>
      </c>
      <c r="B15" s="320">
        <f>Plantilla!E16</f>
        <v>18</v>
      </c>
      <c r="C15" s="115">
        <f ca="1">Plantilla!F16</f>
        <v>102</v>
      </c>
      <c r="D15" s="320" t="str">
        <f>Plantilla!G16</f>
        <v>RAP</v>
      </c>
      <c r="E15" s="265">
        <f>Plantilla!O16</f>
        <v>43627</v>
      </c>
      <c r="F15" s="115">
        <f>Plantilla!Q16</f>
        <v>5</v>
      </c>
      <c r="G15" s="142">
        <f t="shared" si="0"/>
        <v>0.84515425472851657</v>
      </c>
      <c r="H15" s="142">
        <f t="shared" si="1"/>
        <v>0.92504826128926143</v>
      </c>
      <c r="I15" s="195">
        <f ca="1">Plantilla!P16</f>
        <v>0.21305928511808678</v>
      </c>
      <c r="J15" s="196">
        <f>Plantilla!I16</f>
        <v>1.6</v>
      </c>
      <c r="K15" s="49">
        <f>Plantilla!X16</f>
        <v>0</v>
      </c>
      <c r="L15" s="49">
        <f>Plantilla!Y16</f>
        <v>2</v>
      </c>
      <c r="M15" s="49">
        <f>Plantilla!Z16</f>
        <v>8.8000000000000007</v>
      </c>
      <c r="N15" s="49">
        <f>Plantilla!AA16</f>
        <v>5</v>
      </c>
      <c r="O15" s="49">
        <f>Plantilla!AB16</f>
        <v>4</v>
      </c>
      <c r="P15" s="49">
        <f>Plantilla!AC16</f>
        <v>8</v>
      </c>
      <c r="Q15" s="49">
        <f>Plantilla!AD16</f>
        <v>6</v>
      </c>
      <c r="R15" s="196">
        <f t="shared" si="2"/>
        <v>1.625</v>
      </c>
      <c r="S15" s="196">
        <f t="shared" ca="1" si="3"/>
        <v>10.052334569003763</v>
      </c>
      <c r="T15" s="49">
        <f t="shared" si="4"/>
        <v>0.57999999999999996</v>
      </c>
      <c r="U15" s="49">
        <f t="shared" si="5"/>
        <v>0.25999999999999995</v>
      </c>
      <c r="V15" s="196">
        <f t="shared" ca="1" si="6"/>
        <v>5.5534808269315068</v>
      </c>
      <c r="W15" s="196">
        <f t="shared" ca="1" si="7"/>
        <v>6.0784617178629023</v>
      </c>
      <c r="X15" s="83">
        <f t="shared" ca="1" si="8"/>
        <v>0.97559641571958622</v>
      </c>
      <c r="Y15" s="83">
        <f t="shared" ca="1" si="9"/>
        <v>1.4764180672325153</v>
      </c>
      <c r="Z15" s="83">
        <f t="shared" ca="1" si="10"/>
        <v>0.97559641571958622</v>
      </c>
      <c r="AA15" s="83">
        <f t="shared" ca="1" si="11"/>
        <v>1.2823731391882092</v>
      </c>
      <c r="AB15" s="83">
        <f t="shared" ca="1" si="12"/>
        <v>2.4852192619926532</v>
      </c>
      <c r="AC15" s="83">
        <f t="shared" ca="1" si="13"/>
        <v>0.64118656959410458</v>
      </c>
      <c r="AD15" s="83">
        <f t="shared" ca="1" si="14"/>
        <v>2.2098821843542518</v>
      </c>
      <c r="AE15" s="83">
        <f t="shared" ca="1" si="15"/>
        <v>0.93941288103322296</v>
      </c>
      <c r="AF15" s="83">
        <f t="shared" ca="1" si="16"/>
        <v>1.7968135264206881</v>
      </c>
      <c r="AG15" s="83">
        <f t="shared" ca="1" si="17"/>
        <v>0.46970644051661148</v>
      </c>
      <c r="AH15" s="83">
        <f t="shared" ca="1" si="18"/>
        <v>3.5748094158671724</v>
      </c>
      <c r="AI15" s="83">
        <f t="shared" ca="1" si="19"/>
        <v>2.2864017210332412</v>
      </c>
      <c r="AJ15" s="83">
        <f t="shared" ca="1" si="20"/>
        <v>1.0288807744649584</v>
      </c>
      <c r="AK15" s="83">
        <f t="shared" ca="1" si="21"/>
        <v>1.5506316167527734</v>
      </c>
      <c r="AL15" s="83">
        <f t="shared" ca="1" si="22"/>
        <v>3.2253089260516798</v>
      </c>
      <c r="AM15" s="83">
        <f t="shared" ca="1" si="23"/>
        <v>1.8738553235424604</v>
      </c>
      <c r="AN15" s="83">
        <f t="shared" ca="1" si="24"/>
        <v>1.7595352374907984</v>
      </c>
      <c r="AO15" s="83">
        <f t="shared" ca="1" si="25"/>
        <v>1.0830316167527732</v>
      </c>
      <c r="AP15" s="83">
        <f t="shared" ca="1" si="26"/>
        <v>0.60774314745388403</v>
      </c>
      <c r="AQ15" s="83">
        <f t="shared" ca="1" si="27"/>
        <v>0.6710092007380164</v>
      </c>
      <c r="AR15" s="83">
        <f t="shared" ca="1" si="28"/>
        <v>1.4762202416236359</v>
      </c>
      <c r="AS15" s="83">
        <f t="shared" ca="1" si="29"/>
        <v>0.3355046003690082</v>
      </c>
      <c r="AT15" s="83">
        <f t="shared" ca="1" si="30"/>
        <v>8.7652469833210649</v>
      </c>
      <c r="AU15" s="83">
        <f t="shared" ca="1" si="31"/>
        <v>0.58307850405904493</v>
      </c>
      <c r="AV15" s="83">
        <f t="shared" ca="1" si="32"/>
        <v>2.0061692437638472</v>
      </c>
      <c r="AW15" s="83">
        <f t="shared" ca="1" si="33"/>
        <v>0.29153925202952247</v>
      </c>
      <c r="AX15" s="83">
        <f t="shared" ca="1" si="34"/>
        <v>0.46970644051661148</v>
      </c>
      <c r="AY15" s="83">
        <f t="shared" ca="1" si="35"/>
        <v>0.99408770479706132</v>
      </c>
      <c r="AZ15" s="83">
        <f t="shared" ca="1" si="36"/>
        <v>0.23485322025830574</v>
      </c>
      <c r="BA15" s="83">
        <f t="shared" ca="1" si="37"/>
        <v>9.2852192619926548</v>
      </c>
      <c r="BB15" s="83">
        <f t="shared" ca="1" si="38"/>
        <v>1.1347604732841412</v>
      </c>
      <c r="BC15" s="83">
        <f t="shared" ca="1" si="39"/>
        <v>3.3113558133579524</v>
      </c>
      <c r="BD15" s="83">
        <f t="shared" ca="1" si="40"/>
        <v>0.5673802366420706</v>
      </c>
      <c r="BE15" s="83">
        <f t="shared" ca="1" si="41"/>
        <v>0.72319880523986202</v>
      </c>
      <c r="BF15" s="83">
        <f t="shared" ca="1" si="42"/>
        <v>0.8648563031734432</v>
      </c>
      <c r="BG15" s="83">
        <f t="shared" ca="1" si="43"/>
        <v>8.1802781698155282</v>
      </c>
      <c r="BH15" s="83">
        <f t="shared" ca="1" si="44"/>
        <v>4.5613599239114686</v>
      </c>
      <c r="BI15" s="83">
        <f t="shared" ca="1" si="45"/>
        <v>1.0809378421402294</v>
      </c>
      <c r="BJ15" s="83">
        <f t="shared" ca="1" si="46"/>
        <v>1.2053313420664367</v>
      </c>
      <c r="BK15" s="83">
        <f t="shared" ca="1" si="47"/>
        <v>0.65609788516606049</v>
      </c>
      <c r="BL15" s="83">
        <f t="shared" ca="1" si="48"/>
        <v>3.5376685388192017</v>
      </c>
      <c r="BM15" s="83">
        <f t="shared" ca="1" si="49"/>
        <v>4.5930816349815791</v>
      </c>
      <c r="BN15" s="83">
        <f t="shared" ca="1" si="50"/>
        <v>0.23323140162361797</v>
      </c>
      <c r="BO15" s="83">
        <f t="shared" ca="1" si="51"/>
        <v>0.44733946715867756</v>
      </c>
      <c r="BP15" s="83">
        <f t="shared" ca="1" si="52"/>
        <v>0.16899490981550042</v>
      </c>
      <c r="BQ15" s="83">
        <f t="shared" ca="1" si="53"/>
        <v>2.8319918749077595</v>
      </c>
      <c r="BR15" s="83">
        <f t="shared" ca="1" si="54"/>
        <v>6.7679919709225516</v>
      </c>
      <c r="BS15" s="83">
        <f t="shared" ca="1" si="55"/>
        <v>0.60550460036900822</v>
      </c>
      <c r="BT15" s="83">
        <f t="shared" ca="1" si="56"/>
        <v>0.70580227040591348</v>
      </c>
      <c r="BU15" s="83">
        <f t="shared" ca="1" si="57"/>
        <v>0.60639349992620739</v>
      </c>
      <c r="BV15" s="83">
        <f t="shared" ca="1" si="58"/>
        <v>4.224774764206658</v>
      </c>
      <c r="BW15" s="83">
        <f t="shared" ca="1" si="59"/>
        <v>5.8336229422878594</v>
      </c>
      <c r="BX15" s="83">
        <f t="shared" ca="1" si="60"/>
        <v>0.542711530701111</v>
      </c>
      <c r="BY15" s="83">
        <f t="shared" ca="1" si="61"/>
        <v>0.70580227040591348</v>
      </c>
      <c r="BZ15" s="83">
        <f t="shared" ca="1" si="62"/>
        <v>0.60639349992620739</v>
      </c>
      <c r="CA15" s="83">
        <f t="shared" ca="1" si="63"/>
        <v>5.8589733543173654</v>
      </c>
      <c r="CB15" s="83">
        <f t="shared" ca="1" si="64"/>
        <v>4.7162712394834241</v>
      </c>
      <c r="CC15" s="83">
        <f t="shared" ca="1" si="65"/>
        <v>0.66381245077491269</v>
      </c>
      <c r="CD15" s="83">
        <f t="shared" ca="1" si="66"/>
        <v>3.7697990203690179</v>
      </c>
      <c r="CE15" s="83">
        <f t="shared" ca="1" si="67"/>
        <v>2.9887992354981723</v>
      </c>
      <c r="CF15" s="83">
        <f t="shared" ca="1" si="68"/>
        <v>7.3823568890037272</v>
      </c>
      <c r="CG15" s="83">
        <f t="shared" ca="1" si="69"/>
        <v>2.9887992354981723</v>
      </c>
      <c r="CH15" s="83">
        <f t="shared" ca="1" si="70"/>
        <v>4.2598961860907201</v>
      </c>
      <c r="CI15" s="83">
        <f t="shared" ca="1" si="71"/>
        <v>10.140265169667943</v>
      </c>
      <c r="CJ15" s="83">
        <f t="shared" ca="1" si="72"/>
        <v>4.2598961860907201</v>
      </c>
      <c r="CK15" s="83">
        <f t="shared" ca="1" si="73"/>
        <v>2.3213048154981637</v>
      </c>
    </row>
    <row r="16" spans="1:89" x14ac:dyDescent="0.25">
      <c r="A16" t="str">
        <f>Plantilla!D17</f>
        <v>J. Vartiainen</v>
      </c>
      <c r="B16" s="320">
        <f>Plantilla!E17</f>
        <v>19</v>
      </c>
      <c r="C16" s="115">
        <f ca="1">Plantilla!F17</f>
        <v>36</v>
      </c>
      <c r="D16" s="320" t="str">
        <f>Plantilla!G17</f>
        <v>CAB</v>
      </c>
      <c r="E16" s="265">
        <f>Plantilla!O17</f>
        <v>43628</v>
      </c>
      <c r="F16" s="115">
        <f>Plantilla!Q17</f>
        <v>5</v>
      </c>
      <c r="G16" s="142">
        <f t="shared" si="0"/>
        <v>0.84515425472851657</v>
      </c>
      <c r="H16" s="142">
        <f t="shared" si="1"/>
        <v>0.92504826128926143</v>
      </c>
      <c r="I16" s="195">
        <f ca="1">Plantilla!P17</f>
        <v>0.20848632838563147</v>
      </c>
      <c r="J16" s="196">
        <f>Plantilla!I17</f>
        <v>0.3</v>
      </c>
      <c r="K16" s="49">
        <f>Plantilla!X17</f>
        <v>0</v>
      </c>
      <c r="L16" s="49">
        <f>Plantilla!Y17</f>
        <v>7</v>
      </c>
      <c r="M16" s="49">
        <f>Plantilla!Z17</f>
        <v>7.7111111111111104</v>
      </c>
      <c r="N16" s="49">
        <f>Plantilla!AA17</f>
        <v>1</v>
      </c>
      <c r="O16" s="49">
        <f>Plantilla!AB17</f>
        <v>1</v>
      </c>
      <c r="P16" s="49">
        <f>Plantilla!AC17</f>
        <v>6</v>
      </c>
      <c r="Q16" s="49">
        <f>Plantilla!AD17</f>
        <v>1</v>
      </c>
      <c r="R16" s="196">
        <f t="shared" si="2"/>
        <v>1.5</v>
      </c>
      <c r="S16" s="196">
        <f t="shared" ca="1" si="3"/>
        <v>1.8300054163061841</v>
      </c>
      <c r="T16" s="49">
        <f t="shared" si="4"/>
        <v>0.32999999999999996</v>
      </c>
      <c r="U16" s="49">
        <f t="shared" si="5"/>
        <v>0.31</v>
      </c>
      <c r="V16" s="196">
        <f t="shared" ca="1" si="6"/>
        <v>0.50423015509954294</v>
      </c>
      <c r="W16" s="196">
        <f t="shared" ca="1" si="7"/>
        <v>0.55189597124406287</v>
      </c>
      <c r="X16" s="83">
        <f t="shared" ca="1" si="8"/>
        <v>1.5053777051743435</v>
      </c>
      <c r="Y16" s="83">
        <f t="shared" ca="1" si="9"/>
        <v>2.3441072364032958</v>
      </c>
      <c r="Z16" s="83">
        <f t="shared" ca="1" si="10"/>
        <v>1.5053777051743435</v>
      </c>
      <c r="AA16" s="83">
        <f t="shared" ca="1" si="11"/>
        <v>3.3598383686941138</v>
      </c>
      <c r="AB16" s="83">
        <f t="shared" ca="1" si="12"/>
        <v>6.5113146680118481</v>
      </c>
      <c r="AC16" s="83">
        <f t="shared" ca="1" si="13"/>
        <v>1.6799191843470569</v>
      </c>
      <c r="AD16" s="83">
        <f t="shared" ca="1" si="14"/>
        <v>1.718937335431264</v>
      </c>
      <c r="AE16" s="83">
        <f t="shared" ca="1" si="15"/>
        <v>2.4612769445084788</v>
      </c>
      <c r="AF16" s="83">
        <f t="shared" ca="1" si="16"/>
        <v>4.7076805049725658</v>
      </c>
      <c r="AG16" s="83">
        <f t="shared" ca="1" si="17"/>
        <v>1.2306384722542394</v>
      </c>
      <c r="AH16" s="83">
        <f t="shared" ca="1" si="18"/>
        <v>2.7806339249623391</v>
      </c>
      <c r="AI16" s="83">
        <f t="shared" ca="1" si="19"/>
        <v>5.9904094945709003</v>
      </c>
      <c r="AJ16" s="83">
        <f t="shared" ca="1" si="20"/>
        <v>2.695684272556905</v>
      </c>
      <c r="AK16" s="83">
        <f t="shared" ca="1" si="21"/>
        <v>1.2061451051135341</v>
      </c>
      <c r="AL16" s="83">
        <f t="shared" ca="1" si="22"/>
        <v>0.30065302479096662</v>
      </c>
      <c r="AM16" s="83">
        <f t="shared" ca="1" si="23"/>
        <v>4.9095312596809331</v>
      </c>
      <c r="AN16" s="83">
        <f t="shared" ca="1" si="24"/>
        <v>4.6100107849523884</v>
      </c>
      <c r="AO16" s="83">
        <f t="shared" ca="1" si="25"/>
        <v>8.5389549557978617E-2</v>
      </c>
      <c r="AP16" s="83">
        <f t="shared" ca="1" si="26"/>
        <v>0.29125862438741223</v>
      </c>
      <c r="AQ16" s="83">
        <f t="shared" ca="1" si="27"/>
        <v>1.7580549603631992</v>
      </c>
      <c r="AR16" s="83">
        <f t="shared" ca="1" si="28"/>
        <v>3.8677209127990375</v>
      </c>
      <c r="AS16" s="83">
        <f t="shared" ca="1" si="29"/>
        <v>0.8790274801815996</v>
      </c>
      <c r="AT16" s="83">
        <f t="shared" ca="1" si="30"/>
        <v>6.8179699354920729</v>
      </c>
      <c r="AU16" s="83">
        <f t="shared" ca="1" si="31"/>
        <v>6.6470906841540237E-2</v>
      </c>
      <c r="AV16" s="83">
        <f t="shared" ca="1" si="32"/>
        <v>1.0148151977274713</v>
      </c>
      <c r="AW16" s="83">
        <f t="shared" ca="1" si="33"/>
        <v>3.3235453420770118E-2</v>
      </c>
      <c r="AX16" s="83">
        <f t="shared" ca="1" si="34"/>
        <v>1.2306384722542394</v>
      </c>
      <c r="AY16" s="83">
        <f t="shared" ca="1" si="35"/>
        <v>2.6045258672047393</v>
      </c>
      <c r="AZ16" s="83">
        <f t="shared" ca="1" si="36"/>
        <v>0.6153192361271197</v>
      </c>
      <c r="BA16" s="83">
        <f t="shared" ca="1" si="37"/>
        <v>7.2224257791229585</v>
      </c>
      <c r="BB16" s="83">
        <f t="shared" ca="1" si="38"/>
        <v>0.12936261100699756</v>
      </c>
      <c r="BC16" s="83">
        <f t="shared" ca="1" si="39"/>
        <v>1.3317343820745282</v>
      </c>
      <c r="BD16" s="83">
        <f t="shared" ca="1" si="40"/>
        <v>6.4681305503498779E-2</v>
      </c>
      <c r="BE16" s="83">
        <f t="shared" ca="1" si="41"/>
        <v>1.8947925683914477</v>
      </c>
      <c r="BF16" s="83">
        <f t="shared" ca="1" si="42"/>
        <v>2.2659375044681229</v>
      </c>
      <c r="BG16" s="83">
        <f t="shared" ca="1" si="43"/>
        <v>6.3629571114073267</v>
      </c>
      <c r="BH16" s="83">
        <f t="shared" ca="1" si="44"/>
        <v>0.45455873986253281</v>
      </c>
      <c r="BI16" s="83">
        <f t="shared" ca="1" si="45"/>
        <v>0.12322683499085536</v>
      </c>
      <c r="BJ16" s="83">
        <f t="shared" ca="1" si="46"/>
        <v>3.1579876139857461</v>
      </c>
      <c r="BK16" s="83">
        <f t="shared" ca="1" si="47"/>
        <v>1.7189870723551279</v>
      </c>
      <c r="BL16" s="83">
        <f t="shared" ca="1" si="48"/>
        <v>2.751744221845847</v>
      </c>
      <c r="BM16" s="83">
        <f t="shared" ca="1" si="49"/>
        <v>0.44688901984235518</v>
      </c>
      <c r="BN16" s="83">
        <f t="shared" ca="1" si="50"/>
        <v>2.6588362736616095E-2</v>
      </c>
      <c r="BO16" s="83">
        <f t="shared" ca="1" si="51"/>
        <v>1.1720366402421327</v>
      </c>
      <c r="BP16" s="83">
        <f t="shared" ca="1" si="52"/>
        <v>0.4427693974248057</v>
      </c>
      <c r="BQ16" s="83">
        <f t="shared" ca="1" si="53"/>
        <v>2.2028398626325023</v>
      </c>
      <c r="BR16" s="83">
        <f t="shared" ca="1" si="54"/>
        <v>0.65755066306323651</v>
      </c>
      <c r="BS16" s="83">
        <f t="shared" ca="1" si="55"/>
        <v>6.9027480181599488E-2</v>
      </c>
      <c r="BT16" s="83">
        <f t="shared" ca="1" si="56"/>
        <v>1.8492133657153647</v>
      </c>
      <c r="BU16" s="83">
        <f t="shared" ca="1" si="57"/>
        <v>1.588760778994891</v>
      </c>
      <c r="BV16" s="83">
        <f t="shared" ca="1" si="58"/>
        <v>3.2862037295009463</v>
      </c>
      <c r="BW16" s="83">
        <f t="shared" ca="1" si="59"/>
        <v>0.56653665215712756</v>
      </c>
      <c r="BX16" s="83">
        <f t="shared" ca="1" si="60"/>
        <v>6.1869074829433608E-2</v>
      </c>
      <c r="BY16" s="83">
        <f t="shared" ca="1" si="61"/>
        <v>1.8492133657153647</v>
      </c>
      <c r="BZ16" s="83">
        <f t="shared" ca="1" si="62"/>
        <v>1.588760778994891</v>
      </c>
      <c r="CA16" s="83">
        <f t="shared" ca="1" si="63"/>
        <v>4.5573506666265864</v>
      </c>
      <c r="CB16" s="83">
        <f t="shared" ca="1" si="64"/>
        <v>0.45762662787060393</v>
      </c>
      <c r="CC16" s="83">
        <f t="shared" ca="1" si="65"/>
        <v>7.5674570865753493E-2</v>
      </c>
      <c r="CD16" s="83">
        <f t="shared" ca="1" si="66"/>
        <v>2.9323048663239213</v>
      </c>
      <c r="CE16" s="83">
        <f t="shared" ca="1" si="67"/>
        <v>0.90139494203417281</v>
      </c>
      <c r="CF16" s="83">
        <f t="shared" ca="1" si="68"/>
        <v>3.4907403161813404</v>
      </c>
      <c r="CG16" s="83">
        <f t="shared" ca="1" si="69"/>
        <v>0.90139494203417281</v>
      </c>
      <c r="CH16" s="83">
        <f t="shared" ca="1" si="70"/>
        <v>1.8243425927911172</v>
      </c>
      <c r="CI16" s="83">
        <f t="shared" ca="1" si="71"/>
        <v>5.6999897805082202</v>
      </c>
      <c r="CJ16" s="83">
        <f t="shared" ca="1" si="72"/>
        <v>1.8243425927911172</v>
      </c>
      <c r="CK16" s="83">
        <f t="shared" ca="1" si="73"/>
        <v>1.8056064447807396</v>
      </c>
    </row>
    <row r="17" spans="1:89" x14ac:dyDescent="0.25">
      <c r="A17" t="str">
        <f>Plantilla!D18</f>
        <v>R. Forsyth</v>
      </c>
      <c r="B17" s="320">
        <f>Plantilla!E18</f>
        <v>19</v>
      </c>
      <c r="C17" s="115">
        <f ca="1">Plantilla!F18</f>
        <v>31</v>
      </c>
      <c r="D17" s="320" t="str">
        <f>Plantilla!G18</f>
        <v>POT</v>
      </c>
      <c r="E17" s="265">
        <f>Plantilla!O18</f>
        <v>43626</v>
      </c>
      <c r="F17" s="115">
        <f>Plantilla!Q18</f>
        <v>5</v>
      </c>
      <c r="G17" s="142">
        <f t="shared" si="0"/>
        <v>0.84515425472851657</v>
      </c>
      <c r="H17" s="142">
        <f t="shared" si="1"/>
        <v>0.92504826128926143</v>
      </c>
      <c r="I17" s="195">
        <f ca="1">Plantilla!P18</f>
        <v>0.2175776824553268</v>
      </c>
      <c r="J17" s="196">
        <f>Plantilla!I18</f>
        <v>1.8</v>
      </c>
      <c r="K17" s="49">
        <f>Plantilla!X18</f>
        <v>0</v>
      </c>
      <c r="L17" s="49">
        <f>Plantilla!Y18</f>
        <v>7</v>
      </c>
      <c r="M17" s="49">
        <f>Plantilla!Z18</f>
        <v>8</v>
      </c>
      <c r="N17" s="49">
        <f>Plantilla!AA18</f>
        <v>2</v>
      </c>
      <c r="O17" s="49">
        <f>Plantilla!AB18</f>
        <v>4</v>
      </c>
      <c r="P17" s="49">
        <f>Plantilla!AC18</f>
        <v>6</v>
      </c>
      <c r="Q17" s="49">
        <f>Plantilla!AD18</f>
        <v>2</v>
      </c>
      <c r="R17" s="196">
        <f t="shared" si="2"/>
        <v>2.25</v>
      </c>
      <c r="S17" s="196">
        <f t="shared" ca="1" si="3"/>
        <v>4.6930496599306792</v>
      </c>
      <c r="T17" s="49">
        <f t="shared" si="4"/>
        <v>0.36</v>
      </c>
      <c r="U17" s="49">
        <f t="shared" si="5"/>
        <v>0.34</v>
      </c>
      <c r="V17" s="196">
        <f t="shared" ca="1" si="6"/>
        <v>2.2346806375381481</v>
      </c>
      <c r="W17" s="196">
        <f t="shared" ca="1" si="7"/>
        <v>2.4459291623106969</v>
      </c>
      <c r="X17" s="83">
        <f t="shared" ca="1" si="8"/>
        <v>2.4190825127237483</v>
      </c>
      <c r="Y17" s="83">
        <f t="shared" ca="1" si="9"/>
        <v>3.6953018601676506</v>
      </c>
      <c r="Z17" s="83">
        <f t="shared" ca="1" si="10"/>
        <v>2.4190825127237483</v>
      </c>
      <c r="AA17" s="83">
        <f t="shared" ca="1" si="11"/>
        <v>3.899897567658023</v>
      </c>
      <c r="AB17" s="83">
        <f t="shared" ca="1" si="12"/>
        <v>7.5579410225930674</v>
      </c>
      <c r="AC17" s="83">
        <f t="shared" ca="1" si="13"/>
        <v>1.9499487838290115</v>
      </c>
      <c r="AD17" s="83">
        <f t="shared" ca="1" si="14"/>
        <v>2.0367899633771502</v>
      </c>
      <c r="AE17" s="83">
        <f t="shared" ca="1" si="15"/>
        <v>2.8569017065401794</v>
      </c>
      <c r="AF17" s="83">
        <f t="shared" ca="1" si="16"/>
        <v>5.4643913593347877</v>
      </c>
      <c r="AG17" s="83">
        <f t="shared" ca="1" si="17"/>
        <v>1.4284508532700897</v>
      </c>
      <c r="AH17" s="83">
        <f t="shared" ca="1" si="18"/>
        <v>3.2948072936983315</v>
      </c>
      <c r="AI17" s="83">
        <f t="shared" ca="1" si="19"/>
        <v>6.9533057407856225</v>
      </c>
      <c r="AJ17" s="83">
        <f t="shared" ca="1" si="20"/>
        <v>3.1289875833535299</v>
      </c>
      <c r="AK17" s="83">
        <f t="shared" ca="1" si="21"/>
        <v>1.4291761507730425</v>
      </c>
      <c r="AL17" s="83">
        <f t="shared" ca="1" si="22"/>
        <v>1.504069321284724</v>
      </c>
      <c r="AM17" s="83">
        <f t="shared" ca="1" si="23"/>
        <v>5.6986875310351728</v>
      </c>
      <c r="AN17" s="83">
        <f t="shared" ca="1" si="24"/>
        <v>5.3510222439958914</v>
      </c>
      <c r="AO17" s="83">
        <f t="shared" ca="1" si="25"/>
        <v>0.42717615077304244</v>
      </c>
      <c r="AP17" s="83">
        <f t="shared" ca="1" si="26"/>
        <v>0.80868701450680358</v>
      </c>
      <c r="AQ17" s="83">
        <f t="shared" ca="1" si="27"/>
        <v>2.0406440761001283</v>
      </c>
      <c r="AR17" s="83">
        <f t="shared" ca="1" si="28"/>
        <v>4.489416967420282</v>
      </c>
      <c r="AS17" s="83">
        <f t="shared" ca="1" si="29"/>
        <v>1.0203220380500642</v>
      </c>
      <c r="AT17" s="83">
        <f t="shared" ca="1" si="30"/>
        <v>8.0786963253278561</v>
      </c>
      <c r="AU17" s="83">
        <f t="shared" ca="1" si="31"/>
        <v>0.59253233293709884</v>
      </c>
      <c r="AV17" s="83">
        <f t="shared" ca="1" si="32"/>
        <v>1.6814767196197686</v>
      </c>
      <c r="AW17" s="83">
        <f t="shared" ca="1" si="33"/>
        <v>0.29626616646854942</v>
      </c>
      <c r="AX17" s="83">
        <f t="shared" ca="1" si="34"/>
        <v>1.4284508532700897</v>
      </c>
      <c r="AY17" s="83">
        <f t="shared" ca="1" si="35"/>
        <v>3.0231764090372271</v>
      </c>
      <c r="AZ17" s="83">
        <f t="shared" ca="1" si="36"/>
        <v>0.71422542663504485</v>
      </c>
      <c r="BA17" s="83">
        <f t="shared" ca="1" si="37"/>
        <v>8.5579410225930683</v>
      </c>
      <c r="BB17" s="83">
        <f t="shared" ca="1" si="38"/>
        <v>1.1531590787160462</v>
      </c>
      <c r="BC17" s="83">
        <f t="shared" ca="1" si="39"/>
        <v>2.9314255034487804</v>
      </c>
      <c r="BD17" s="83">
        <f t="shared" ca="1" si="40"/>
        <v>0.57657953935802309</v>
      </c>
      <c r="BE17" s="83">
        <f t="shared" ca="1" si="41"/>
        <v>2.1993608375745826</v>
      </c>
      <c r="BF17" s="83">
        <f t="shared" ca="1" si="42"/>
        <v>2.6301634758623873</v>
      </c>
      <c r="BG17" s="83">
        <f t="shared" ca="1" si="43"/>
        <v>7.5395460409044937</v>
      </c>
      <c r="BH17" s="83">
        <f t="shared" ca="1" si="44"/>
        <v>2.904009569085237</v>
      </c>
      <c r="BI17" s="83">
        <f t="shared" ca="1" si="45"/>
        <v>1.0984637864449291</v>
      </c>
      <c r="BJ17" s="83">
        <f t="shared" ca="1" si="46"/>
        <v>3.6656013959576375</v>
      </c>
      <c r="BK17" s="83">
        <f t="shared" ca="1" si="47"/>
        <v>1.9952964299645699</v>
      </c>
      <c r="BL17" s="83">
        <f t="shared" ca="1" si="48"/>
        <v>3.260575529607959</v>
      </c>
      <c r="BM17" s="83">
        <f t="shared" ca="1" si="49"/>
        <v>2.6376404537463416</v>
      </c>
      <c r="BN17" s="83">
        <f t="shared" ca="1" si="50"/>
        <v>0.23701293317483949</v>
      </c>
      <c r="BO17" s="83">
        <f t="shared" ca="1" si="51"/>
        <v>1.3604293840667521</v>
      </c>
      <c r="BP17" s="83">
        <f t="shared" ca="1" si="52"/>
        <v>0.51393998953632858</v>
      </c>
      <c r="BQ17" s="83">
        <f t="shared" ca="1" si="53"/>
        <v>2.610172011890886</v>
      </c>
      <c r="BR17" s="83">
        <f t="shared" ca="1" si="54"/>
        <v>3.8615121550546858</v>
      </c>
      <c r="BS17" s="83">
        <f t="shared" ca="1" si="55"/>
        <v>0.61532203805006414</v>
      </c>
      <c r="BT17" s="83">
        <f t="shared" ca="1" si="56"/>
        <v>2.1464552504164311</v>
      </c>
      <c r="BU17" s="83">
        <f t="shared" ca="1" si="57"/>
        <v>1.8441376095127084</v>
      </c>
      <c r="BV17" s="83">
        <f t="shared" ca="1" si="58"/>
        <v>3.8938631652798463</v>
      </c>
      <c r="BW17" s="83">
        <f t="shared" ca="1" si="59"/>
        <v>3.3221986530331193</v>
      </c>
      <c r="BX17" s="83">
        <f t="shared" ca="1" si="60"/>
        <v>0.55151086373376113</v>
      </c>
      <c r="BY17" s="83">
        <f t="shared" ca="1" si="61"/>
        <v>2.1464552504164311</v>
      </c>
      <c r="BZ17" s="83">
        <f t="shared" ca="1" si="62"/>
        <v>1.8441376095127084</v>
      </c>
      <c r="CA17" s="83">
        <f t="shared" ca="1" si="63"/>
        <v>5.4000607852562261</v>
      </c>
      <c r="CB17" s="83">
        <f t="shared" ca="1" si="64"/>
        <v>2.6753572152207958</v>
      </c>
      <c r="CC17" s="83">
        <f t="shared" ca="1" si="65"/>
        <v>0.67457527134377393</v>
      </c>
      <c r="CD17" s="83">
        <f t="shared" ca="1" si="66"/>
        <v>3.4745240551727861</v>
      </c>
      <c r="CE17" s="83">
        <f t="shared" ca="1" si="67"/>
        <v>2.340687272770988</v>
      </c>
      <c r="CF17" s="83">
        <f t="shared" ca="1" si="68"/>
        <v>6.298241591439794</v>
      </c>
      <c r="CG17" s="83">
        <f t="shared" ca="1" si="69"/>
        <v>2.340687272770988</v>
      </c>
      <c r="CH17" s="83">
        <f t="shared" ca="1" si="70"/>
        <v>3.1210270596370964</v>
      </c>
      <c r="CI17" s="83">
        <f t="shared" ca="1" si="71"/>
        <v>8.2398212599299097</v>
      </c>
      <c r="CJ17" s="83">
        <f t="shared" ca="1" si="72"/>
        <v>3.1210270596370964</v>
      </c>
      <c r="CK17" s="83">
        <f t="shared" ca="1" si="73"/>
        <v>2.1394852556482671</v>
      </c>
    </row>
    <row r="18" spans="1:89" x14ac:dyDescent="0.25">
      <c r="A18" t="str">
        <f>Plantilla!D19</f>
        <v>M. Grupinski</v>
      </c>
      <c r="B18" s="320">
        <f>Plantilla!E19</f>
        <v>22</v>
      </c>
      <c r="C18" s="115">
        <f ca="1">Plantilla!F19</f>
        <v>101</v>
      </c>
      <c r="D18" s="320" t="str">
        <f>Plantilla!G19</f>
        <v>CAB</v>
      </c>
      <c r="E18" s="265">
        <f>Plantilla!O19</f>
        <v>43650</v>
      </c>
      <c r="F18" s="115">
        <f>Plantilla!Q19</f>
        <v>6</v>
      </c>
      <c r="G18" s="142">
        <f t="shared" si="0"/>
        <v>0.92582009977255142</v>
      </c>
      <c r="H18" s="142">
        <f t="shared" si="1"/>
        <v>0.99928545900129484</v>
      </c>
      <c r="I18" s="195">
        <f ca="1">Plantilla!P19</f>
        <v>8.394708266038052E-2</v>
      </c>
      <c r="J18" s="196">
        <f>Plantilla!I19</f>
        <v>1.6</v>
      </c>
      <c r="K18" s="49">
        <f>Plantilla!X19</f>
        <v>0</v>
      </c>
      <c r="L18" s="49">
        <f>Plantilla!Y19</f>
        <v>3</v>
      </c>
      <c r="M18" s="49">
        <f>Plantilla!Z19</f>
        <v>8</v>
      </c>
      <c r="N18" s="49">
        <f>Plantilla!AA19</f>
        <v>9</v>
      </c>
      <c r="O18" s="49">
        <f>Plantilla!AB19</f>
        <v>6</v>
      </c>
      <c r="P18" s="49">
        <f>Plantilla!AC19</f>
        <v>3</v>
      </c>
      <c r="Q18" s="49">
        <f>Plantilla!AD19</f>
        <v>3</v>
      </c>
      <c r="R18" s="196">
        <f t="shared" si="2"/>
        <v>2.25</v>
      </c>
      <c r="S18" s="196">
        <f t="shared" ca="1" si="3"/>
        <v>-0.18300339842776658</v>
      </c>
      <c r="T18" s="49">
        <f t="shared" si="4"/>
        <v>0.24</v>
      </c>
      <c r="U18" s="49">
        <f t="shared" si="5"/>
        <v>0.21000000000000002</v>
      </c>
      <c r="V18" s="196">
        <f t="shared" ca="1" si="6"/>
        <v>3.1630620972179728</v>
      </c>
      <c r="W18" s="196">
        <f t="shared" ca="1" si="7"/>
        <v>3.4140563166046864</v>
      </c>
      <c r="X18" s="83">
        <f t="shared" ca="1" si="8"/>
        <v>1.1388814629740087</v>
      </c>
      <c r="Y18" s="83">
        <f t="shared" ca="1" si="9"/>
        <v>1.7347342138596165</v>
      </c>
      <c r="Z18" s="83">
        <f t="shared" ca="1" si="10"/>
        <v>1.1388814629740087</v>
      </c>
      <c r="AA18" s="83">
        <f t="shared" ca="1" si="11"/>
        <v>1.7317512427200326</v>
      </c>
      <c r="AB18" s="83">
        <f t="shared" ca="1" si="12"/>
        <v>3.3561070595349469</v>
      </c>
      <c r="AC18" s="83">
        <f t="shared" ca="1" si="13"/>
        <v>0.86587562136001628</v>
      </c>
      <c r="AD18" s="83">
        <f t="shared" ca="1" si="14"/>
        <v>1.988753480169317</v>
      </c>
      <c r="AE18" s="83">
        <f t="shared" ca="1" si="15"/>
        <v>1.2686084685042101</v>
      </c>
      <c r="AF18" s="83">
        <f t="shared" ca="1" si="16"/>
        <v>2.4264654040437668</v>
      </c>
      <c r="AG18" s="83">
        <f t="shared" ca="1" si="17"/>
        <v>0.63430423425210503</v>
      </c>
      <c r="AH18" s="83">
        <f t="shared" ca="1" si="18"/>
        <v>3.2171012179209542</v>
      </c>
      <c r="AI18" s="83">
        <f t="shared" ca="1" si="19"/>
        <v>3.0876184947721512</v>
      </c>
      <c r="AJ18" s="83">
        <f t="shared" ca="1" si="20"/>
        <v>1.389428322647468</v>
      </c>
      <c r="AK18" s="83">
        <f t="shared" ca="1" si="21"/>
        <v>1.3954698789423361</v>
      </c>
      <c r="AL18" s="83">
        <f t="shared" ca="1" si="22"/>
        <v>5.501390951006548</v>
      </c>
      <c r="AM18" s="83">
        <f t="shared" ca="1" si="23"/>
        <v>2.5305047228893498</v>
      </c>
      <c r="AN18" s="83">
        <f t="shared" ca="1" si="24"/>
        <v>2.3761237981507422</v>
      </c>
      <c r="AO18" s="83">
        <f t="shared" ca="1" si="25"/>
        <v>0.56046987894233613</v>
      </c>
      <c r="AP18" s="83">
        <f t="shared" ca="1" si="26"/>
        <v>0.75055883314606464</v>
      </c>
      <c r="AQ18" s="83">
        <f t="shared" ca="1" si="27"/>
        <v>0.90614890607443577</v>
      </c>
      <c r="AR18" s="83">
        <f t="shared" ca="1" si="28"/>
        <v>1.9935275933637584</v>
      </c>
      <c r="AS18" s="83">
        <f t="shared" ca="1" si="29"/>
        <v>0.45307445303721788</v>
      </c>
      <c r="AT18" s="83">
        <f t="shared" ca="1" si="30"/>
        <v>7.8881650642009884</v>
      </c>
      <c r="AU18" s="83">
        <f t="shared" ca="1" si="31"/>
        <v>0.82629391773954308</v>
      </c>
      <c r="AV18" s="83">
        <f t="shared" ca="1" si="32"/>
        <v>1.3433393684437394</v>
      </c>
      <c r="AW18" s="83">
        <f t="shared" ca="1" si="33"/>
        <v>0.41314695886977154</v>
      </c>
      <c r="AX18" s="83">
        <f t="shared" ca="1" si="34"/>
        <v>0.63430423425210503</v>
      </c>
      <c r="AY18" s="83">
        <f t="shared" ca="1" si="35"/>
        <v>1.3424428238139789</v>
      </c>
      <c r="AZ18" s="83">
        <f t="shared" ca="1" si="36"/>
        <v>0.31715211712605251</v>
      </c>
      <c r="BA18" s="83">
        <f t="shared" ca="1" si="37"/>
        <v>8.3561070595349456</v>
      </c>
      <c r="BB18" s="83">
        <f t="shared" ca="1" si="38"/>
        <v>1.6080950860623415</v>
      </c>
      <c r="BC18" s="83">
        <f t="shared" ca="1" si="39"/>
        <v>2.8722149898037559</v>
      </c>
      <c r="BD18" s="83">
        <f t="shared" ca="1" si="40"/>
        <v>0.80404754303117076</v>
      </c>
      <c r="BE18" s="83">
        <f t="shared" ca="1" si="41"/>
        <v>0.97662715432466951</v>
      </c>
      <c r="BF18" s="83">
        <f t="shared" ca="1" si="42"/>
        <v>1.1679252567181615</v>
      </c>
      <c r="BG18" s="83">
        <f t="shared" ca="1" si="43"/>
        <v>7.3617303194502872</v>
      </c>
      <c r="BH18" s="83">
        <f t="shared" ca="1" si="44"/>
        <v>7.3725791759265658</v>
      </c>
      <c r="BI18" s="83">
        <f t="shared" ca="1" si="45"/>
        <v>1.5318218013479221</v>
      </c>
      <c r="BJ18" s="83">
        <f t="shared" ca="1" si="46"/>
        <v>1.6277119238744493</v>
      </c>
      <c r="BK18" s="83">
        <f t="shared" ca="1" si="47"/>
        <v>0.88601226371722608</v>
      </c>
      <c r="BL18" s="83">
        <f t="shared" ca="1" si="48"/>
        <v>3.1836767896828144</v>
      </c>
      <c r="BM18" s="83">
        <f t="shared" ca="1" si="49"/>
        <v>7.574237570033544</v>
      </c>
      <c r="BN18" s="83">
        <f t="shared" ca="1" si="50"/>
        <v>0.3305175670958172</v>
      </c>
      <c r="BO18" s="83">
        <f t="shared" ca="1" si="51"/>
        <v>0.60409927071629044</v>
      </c>
      <c r="BP18" s="83">
        <f t="shared" ca="1" si="52"/>
        <v>0.22821528004837641</v>
      </c>
      <c r="BQ18" s="83">
        <f t="shared" ca="1" si="53"/>
        <v>2.5486126531581585</v>
      </c>
      <c r="BR18" s="83">
        <f t="shared" ca="1" si="54"/>
        <v>11.17395367856194</v>
      </c>
      <c r="BS18" s="83">
        <f t="shared" ca="1" si="55"/>
        <v>0.85807445303721785</v>
      </c>
      <c r="BT18" s="83">
        <f t="shared" ca="1" si="56"/>
        <v>0.95313440490792489</v>
      </c>
      <c r="BU18" s="83">
        <f t="shared" ca="1" si="57"/>
        <v>0.81889012252652704</v>
      </c>
      <c r="BV18" s="83">
        <f t="shared" ca="1" si="58"/>
        <v>3.8020287120884002</v>
      </c>
      <c r="BW18" s="83">
        <f t="shared" ca="1" si="59"/>
        <v>9.6345666219647192</v>
      </c>
      <c r="BX18" s="83">
        <f t="shared" ca="1" si="60"/>
        <v>0.76908895420372847</v>
      </c>
      <c r="BY18" s="83">
        <f t="shared" ca="1" si="61"/>
        <v>0.95313440490792489</v>
      </c>
      <c r="BZ18" s="83">
        <f t="shared" ca="1" si="62"/>
        <v>0.81889012252652704</v>
      </c>
      <c r="CA18" s="83">
        <f t="shared" ca="1" si="63"/>
        <v>5.2727035545665508</v>
      </c>
      <c r="CB18" s="83">
        <f t="shared" ca="1" si="64"/>
        <v>7.7947158182837759</v>
      </c>
      <c r="CC18" s="83">
        <f t="shared" ca="1" si="65"/>
        <v>0.94070384481117209</v>
      </c>
      <c r="CD18" s="83">
        <f t="shared" ca="1" si="66"/>
        <v>3.3925794661711883</v>
      </c>
      <c r="CE18" s="83">
        <f t="shared" ca="1" si="67"/>
        <v>3.3625317780177069</v>
      </c>
      <c r="CF18" s="83">
        <f t="shared" ca="1" si="68"/>
        <v>5.4079765490363503</v>
      </c>
      <c r="CG18" s="83">
        <f t="shared" ca="1" si="69"/>
        <v>3.3625317780177069</v>
      </c>
      <c r="CH18" s="83">
        <f t="shared" ca="1" si="70"/>
        <v>4.0810284565985722</v>
      </c>
      <c r="CI18" s="83">
        <f t="shared" ca="1" si="71"/>
        <v>5.7015105645033426</v>
      </c>
      <c r="CJ18" s="83">
        <f t="shared" ca="1" si="72"/>
        <v>4.0810284565985722</v>
      </c>
      <c r="CK18" s="83">
        <f t="shared" ca="1" si="73"/>
        <v>2.0890267648837364</v>
      </c>
    </row>
    <row r="19" spans="1:89" x14ac:dyDescent="0.25">
      <c r="A19" t="str">
        <f>Plantilla!D20</f>
        <v>V. Godoi</v>
      </c>
      <c r="B19" s="320">
        <f>Plantilla!E20</f>
        <v>25</v>
      </c>
      <c r="C19" s="115">
        <f ca="1">Plantilla!F20</f>
        <v>107</v>
      </c>
      <c r="D19" s="320">
        <f>Plantilla!G20</f>
        <v>0</v>
      </c>
      <c r="E19" s="265">
        <f>Plantilla!O20</f>
        <v>43639</v>
      </c>
      <c r="F19" s="115">
        <f>Plantilla!Q20</f>
        <v>7</v>
      </c>
      <c r="G19" s="142">
        <f t="shared" si="0"/>
        <v>1</v>
      </c>
      <c r="H19" s="142">
        <f t="shared" si="1"/>
        <v>1</v>
      </c>
      <c r="I19" s="195">
        <f ca="1">Plantilla!P20</f>
        <v>0.15364458747949647</v>
      </c>
      <c r="J19" s="196">
        <f>Plantilla!I20</f>
        <v>4.5</v>
      </c>
      <c r="K19" s="49">
        <f>Plantilla!X20</f>
        <v>0</v>
      </c>
      <c r="L19" s="49">
        <f>Plantilla!Y20</f>
        <v>3</v>
      </c>
      <c r="M19" s="49">
        <f>Plantilla!Z20</f>
        <v>9.1538461538461533</v>
      </c>
      <c r="N19" s="49">
        <f>Plantilla!AA20</f>
        <v>9</v>
      </c>
      <c r="O19" s="49">
        <f>Plantilla!AB20</f>
        <v>5</v>
      </c>
      <c r="P19" s="49">
        <f>Plantilla!AC20</f>
        <v>5</v>
      </c>
      <c r="Q19" s="49">
        <f>Plantilla!AD20</f>
        <v>1</v>
      </c>
      <c r="R19" s="196">
        <f t="shared" si="2"/>
        <v>2</v>
      </c>
      <c r="S19" s="196">
        <f t="shared" ca="1" si="3"/>
        <v>3.5143540789210324</v>
      </c>
      <c r="T19" s="49">
        <f t="shared" si="4"/>
        <v>0.27999999999999997</v>
      </c>
      <c r="U19" s="49">
        <f t="shared" si="5"/>
        <v>0.15000000000000002</v>
      </c>
      <c r="V19" s="196">
        <f t="shared" ca="1" si="6"/>
        <v>2.1024050433102626</v>
      </c>
      <c r="W19" s="196">
        <f t="shared" ca="1" si="7"/>
        <v>2.1024050433102626</v>
      </c>
      <c r="X19" s="83">
        <f t="shared" ca="1" si="8"/>
        <v>1.7224710909041003</v>
      </c>
      <c r="Y19" s="83">
        <f t="shared" ca="1" si="9"/>
        <v>2.5977516361479882</v>
      </c>
      <c r="Z19" s="83">
        <f t="shared" ca="1" si="10"/>
        <v>1.7224710909041003</v>
      </c>
      <c r="AA19" s="83">
        <f t="shared" ca="1" si="11"/>
        <v>2.0766908166168565</v>
      </c>
      <c r="AB19" s="83">
        <f t="shared" ca="1" si="12"/>
        <v>4.0245946058466213</v>
      </c>
      <c r="AC19" s="83">
        <f t="shared" ca="1" si="13"/>
        <v>1.0383454083084283</v>
      </c>
      <c r="AD19" s="83">
        <f t="shared" ca="1" si="14"/>
        <v>2.42246890080688</v>
      </c>
      <c r="AE19" s="83">
        <f t="shared" ca="1" si="15"/>
        <v>1.521296761010023</v>
      </c>
      <c r="AF19" s="83">
        <f t="shared" ca="1" si="16"/>
        <v>2.9097819000271072</v>
      </c>
      <c r="AG19" s="83">
        <f t="shared" ca="1" si="17"/>
        <v>0.76064838050501149</v>
      </c>
      <c r="AH19" s="83">
        <f t="shared" ca="1" si="18"/>
        <v>3.9186996924817183</v>
      </c>
      <c r="AI19" s="83">
        <f t="shared" ca="1" si="19"/>
        <v>3.7026270373788917</v>
      </c>
      <c r="AJ19" s="83">
        <f t="shared" ca="1" si="20"/>
        <v>1.6661821668205012</v>
      </c>
      <c r="AK19" s="83">
        <f t="shared" ca="1" si="21"/>
        <v>1.6997996068686934</v>
      </c>
      <c r="AL19" s="83">
        <f t="shared" ca="1" si="22"/>
        <v>5.8944616282378126</v>
      </c>
      <c r="AM19" s="83">
        <f t="shared" ca="1" si="23"/>
        <v>3.0345443328083523</v>
      </c>
      <c r="AN19" s="83">
        <f t="shared" ca="1" si="24"/>
        <v>2.8494129809394075</v>
      </c>
      <c r="AO19" s="83">
        <f t="shared" ca="1" si="25"/>
        <v>0.33810729917638577</v>
      </c>
      <c r="AP19" s="83">
        <f t="shared" ca="1" si="26"/>
        <v>0.87108324648382685</v>
      </c>
      <c r="AQ19" s="83">
        <f t="shared" ca="1" si="27"/>
        <v>1.0866405435785877</v>
      </c>
      <c r="AR19" s="83">
        <f t="shared" ca="1" si="28"/>
        <v>2.390609195872893</v>
      </c>
      <c r="AS19" s="83">
        <f t="shared" ca="1" si="29"/>
        <v>0.54332027178929387</v>
      </c>
      <c r="AT19" s="83">
        <f t="shared" ca="1" si="30"/>
        <v>9.6084480771499781</v>
      </c>
      <c r="AU19" s="83">
        <f t="shared" ca="1" si="31"/>
        <v>0.78319729876006083</v>
      </c>
      <c r="AV19" s="83">
        <f t="shared" ca="1" si="32"/>
        <v>1.76520621951306</v>
      </c>
      <c r="AW19" s="83">
        <f t="shared" ca="1" si="33"/>
        <v>0.39159864938003042</v>
      </c>
      <c r="AX19" s="83">
        <f t="shared" ca="1" si="34"/>
        <v>0.76064838050501149</v>
      </c>
      <c r="AY19" s="83">
        <f t="shared" ca="1" si="35"/>
        <v>1.6098378423386486</v>
      </c>
      <c r="AZ19" s="83">
        <f t="shared" ca="1" si="36"/>
        <v>0.38032419025250574</v>
      </c>
      <c r="BA19" s="83">
        <f t="shared" ca="1" si="37"/>
        <v>10.178440759692775</v>
      </c>
      <c r="BB19" s="83">
        <f t="shared" ca="1" si="38"/>
        <v>1.5242224352791953</v>
      </c>
      <c r="BC19" s="83">
        <f t="shared" ca="1" si="39"/>
        <v>3.3195516278214883</v>
      </c>
      <c r="BD19" s="83">
        <f t="shared" ca="1" si="40"/>
        <v>0.76211121763959766</v>
      </c>
      <c r="BE19" s="83">
        <f t="shared" ca="1" si="41"/>
        <v>1.1711570303013668</v>
      </c>
      <c r="BF19" s="83">
        <f t="shared" ca="1" si="42"/>
        <v>1.400558922834624</v>
      </c>
      <c r="BG19" s="83">
        <f t="shared" ca="1" si="43"/>
        <v>8.9672063092893346</v>
      </c>
      <c r="BH19" s="83">
        <f t="shared" ca="1" si="44"/>
        <v>7.6518646045976455</v>
      </c>
      <c r="BI19" s="83">
        <f t="shared" ca="1" si="45"/>
        <v>1.4519273000090356</v>
      </c>
      <c r="BJ19" s="83">
        <f t="shared" ca="1" si="46"/>
        <v>1.9519283838356112</v>
      </c>
      <c r="BK19" s="83">
        <f t="shared" ca="1" si="47"/>
        <v>1.062492975943508</v>
      </c>
      <c r="BL19" s="83">
        <f t="shared" ca="1" si="48"/>
        <v>3.8779859294429473</v>
      </c>
      <c r="BM19" s="83">
        <f t="shared" ca="1" si="49"/>
        <v>7.9574956855099472</v>
      </c>
      <c r="BN19" s="83">
        <f t="shared" ca="1" si="50"/>
        <v>0.31327891950402431</v>
      </c>
      <c r="BO19" s="83">
        <f t="shared" ca="1" si="51"/>
        <v>0.72442702905239176</v>
      </c>
      <c r="BP19" s="83">
        <f t="shared" ca="1" si="52"/>
        <v>0.27367243319757029</v>
      </c>
      <c r="BQ19" s="83">
        <f t="shared" ca="1" si="53"/>
        <v>3.1044244317062963</v>
      </c>
      <c r="BR19" s="83">
        <f t="shared" ca="1" si="54"/>
        <v>11.747628663118755</v>
      </c>
      <c r="BS19" s="83">
        <f t="shared" ca="1" si="55"/>
        <v>0.81332027178929389</v>
      </c>
      <c r="BT19" s="83">
        <f t="shared" ca="1" si="56"/>
        <v>1.1429848680604404</v>
      </c>
      <c r="BU19" s="83">
        <f t="shared" ca="1" si="57"/>
        <v>0.98200108382657558</v>
      </c>
      <c r="BV19" s="83">
        <f t="shared" ca="1" si="58"/>
        <v>4.6311905456602123</v>
      </c>
      <c r="BW19" s="83">
        <f t="shared" ca="1" si="59"/>
        <v>10.131250823278057</v>
      </c>
      <c r="BX19" s="83">
        <f t="shared" ca="1" si="60"/>
        <v>0.7289759473074412</v>
      </c>
      <c r="BY19" s="83">
        <f t="shared" ca="1" si="61"/>
        <v>1.1429848680604404</v>
      </c>
      <c r="BZ19" s="83">
        <f t="shared" ca="1" si="62"/>
        <v>0.98200108382657558</v>
      </c>
      <c r="CA19" s="83">
        <f t="shared" ca="1" si="63"/>
        <v>6.4225961193661405</v>
      </c>
      <c r="CB19" s="83">
        <f t="shared" ca="1" si="64"/>
        <v>8.200012172232725</v>
      </c>
      <c r="CC19" s="83">
        <f t="shared" ca="1" si="65"/>
        <v>0.89164000166529989</v>
      </c>
      <c r="CD19" s="83">
        <f t="shared" ca="1" si="66"/>
        <v>4.1324469484352671</v>
      </c>
      <c r="CE19" s="83">
        <f t="shared" ca="1" si="67"/>
        <v>3.7148137896460898</v>
      </c>
      <c r="CF19" s="83">
        <f t="shared" ca="1" si="68"/>
        <v>6.7836935261832956</v>
      </c>
      <c r="CG19" s="83">
        <f t="shared" ca="1" si="69"/>
        <v>3.7148137896460898</v>
      </c>
      <c r="CH19" s="83">
        <f t="shared" ca="1" si="70"/>
        <v>4.8573748466977769</v>
      </c>
      <c r="CI19" s="83">
        <f t="shared" ca="1" si="71"/>
        <v>8.2476700154040241</v>
      </c>
      <c r="CJ19" s="83">
        <f t="shared" ca="1" si="72"/>
        <v>4.8573748466977769</v>
      </c>
      <c r="CK19" s="83">
        <f t="shared" ca="1" si="73"/>
        <v>2.5446101899231937</v>
      </c>
    </row>
    <row r="20" spans="1:89" x14ac:dyDescent="0.25">
      <c r="A20" t="str">
        <f>Plantilla!D21</f>
        <v>P. Tuderek</v>
      </c>
      <c r="B20" s="320">
        <f>Plantilla!E21</f>
        <v>18</v>
      </c>
      <c r="C20" s="115">
        <f ca="1">Plantilla!F21</f>
        <v>88</v>
      </c>
      <c r="D20" s="320" t="str">
        <f>Plantilla!G21</f>
        <v>CAB</v>
      </c>
      <c r="E20" s="265">
        <f>Plantilla!O21</f>
        <v>43626</v>
      </c>
      <c r="F20" s="115">
        <f>Plantilla!Q21</f>
        <v>5</v>
      </c>
      <c r="G20" s="142">
        <f t="shared" si="0"/>
        <v>0.84515425472851657</v>
      </c>
      <c r="H20" s="142">
        <f t="shared" si="1"/>
        <v>0.92504826128926143</v>
      </c>
      <c r="I20" s="195">
        <f ca="1">Plantilla!P21</f>
        <v>0.2175776824553268</v>
      </c>
      <c r="J20" s="196">
        <f>Plantilla!I21</f>
        <v>0.6</v>
      </c>
      <c r="K20" s="49">
        <f>Plantilla!X21</f>
        <v>0</v>
      </c>
      <c r="L20" s="49">
        <f>Plantilla!Y21</f>
        <v>6</v>
      </c>
      <c r="M20" s="49">
        <f>Plantilla!Z21</f>
        <v>6.4083333333333332</v>
      </c>
      <c r="N20" s="49">
        <f>Plantilla!AA21</f>
        <v>2</v>
      </c>
      <c r="O20" s="49">
        <f>Plantilla!AB21</f>
        <v>3</v>
      </c>
      <c r="P20" s="49">
        <f>Plantilla!AC21</f>
        <v>6</v>
      </c>
      <c r="Q20" s="49">
        <f>Plantilla!AD21</f>
        <v>8</v>
      </c>
      <c r="R20" s="196">
        <f t="shared" si="2"/>
        <v>1.875</v>
      </c>
      <c r="S20" s="196">
        <f t="shared" ca="1" si="3"/>
        <v>6.587132362690074</v>
      </c>
      <c r="T20" s="49">
        <f t="shared" si="4"/>
        <v>0.54</v>
      </c>
      <c r="U20" s="49">
        <f t="shared" si="5"/>
        <v>0.48000000000000009</v>
      </c>
      <c r="V20" s="196">
        <f t="shared" ca="1" si="6"/>
        <v>6.7679514213122722</v>
      </c>
      <c r="W20" s="196">
        <f t="shared" ca="1" si="7"/>
        <v>7.4077384805761657</v>
      </c>
      <c r="X20" s="83">
        <f t="shared" ca="1" si="8"/>
        <v>1.5877133722300616</v>
      </c>
      <c r="Y20" s="83">
        <f t="shared" ca="1" si="9"/>
        <v>2.4490171403768719</v>
      </c>
      <c r="Z20" s="83">
        <f t="shared" ca="1" si="10"/>
        <v>1.5877133722300616</v>
      </c>
      <c r="AA20" s="83">
        <f t="shared" ca="1" si="11"/>
        <v>3.0556381444108953</v>
      </c>
      <c r="AB20" s="83">
        <f t="shared" ca="1" si="12"/>
        <v>5.9217793496335176</v>
      </c>
      <c r="AC20" s="83">
        <f t="shared" ca="1" si="13"/>
        <v>1.5278190722054477</v>
      </c>
      <c r="AD20" s="83">
        <f t="shared" ca="1" si="14"/>
        <v>1.5065668185461105</v>
      </c>
      <c r="AE20" s="83">
        <f t="shared" ca="1" si="15"/>
        <v>2.2384325941614698</v>
      </c>
      <c r="AF20" s="83">
        <f t="shared" ca="1" si="16"/>
        <v>4.281446469785033</v>
      </c>
      <c r="AG20" s="83">
        <f t="shared" ca="1" si="17"/>
        <v>1.1192162970807349</v>
      </c>
      <c r="AH20" s="83">
        <f t="shared" ca="1" si="18"/>
        <v>2.4370933829422374</v>
      </c>
      <c r="AI20" s="83">
        <f t="shared" ca="1" si="19"/>
        <v>5.4480370016628363</v>
      </c>
      <c r="AJ20" s="83">
        <f t="shared" ca="1" si="20"/>
        <v>2.4516166507482762</v>
      </c>
      <c r="AK20" s="83">
        <f t="shared" ca="1" si="21"/>
        <v>1.0571288180554641</v>
      </c>
      <c r="AL20" s="83">
        <f t="shared" ca="1" si="22"/>
        <v>1.1300062575845087</v>
      </c>
      <c r="AM20" s="83">
        <f t="shared" ca="1" si="23"/>
        <v>4.4650216296236724</v>
      </c>
      <c r="AN20" s="83">
        <f t="shared" ca="1" si="24"/>
        <v>4.1926197795405304</v>
      </c>
      <c r="AO20" s="83">
        <f t="shared" ca="1" si="25"/>
        <v>1.3229371513887975</v>
      </c>
      <c r="AP20" s="83">
        <f t="shared" ca="1" si="26"/>
        <v>0.51747245269445319</v>
      </c>
      <c r="AQ20" s="83">
        <f t="shared" ca="1" si="27"/>
        <v>1.5988804244010499</v>
      </c>
      <c r="AR20" s="83">
        <f t="shared" ca="1" si="28"/>
        <v>3.5175369336823095</v>
      </c>
      <c r="AS20" s="83">
        <f t="shared" ca="1" si="29"/>
        <v>0.79944021220052497</v>
      </c>
      <c r="AT20" s="83">
        <f t="shared" ca="1" si="30"/>
        <v>5.9756263727207068</v>
      </c>
      <c r="AU20" s="83">
        <f t="shared" ca="1" si="31"/>
        <v>0.37983131545235743</v>
      </c>
      <c r="AV20" s="83">
        <f t="shared" ca="1" si="32"/>
        <v>1.3750813494426206</v>
      </c>
      <c r="AW20" s="83">
        <f t="shared" ca="1" si="33"/>
        <v>0.18991565772617872</v>
      </c>
      <c r="AX20" s="83">
        <f t="shared" ca="1" si="34"/>
        <v>1.1192162970807349</v>
      </c>
      <c r="AY20" s="83">
        <f t="shared" ca="1" si="35"/>
        <v>2.3687117398534072</v>
      </c>
      <c r="AZ20" s="83">
        <f t="shared" ca="1" si="36"/>
        <v>0.55960814854036744</v>
      </c>
      <c r="BA20" s="83">
        <f t="shared" ca="1" si="37"/>
        <v>6.3301126829668508</v>
      </c>
      <c r="BB20" s="83">
        <f t="shared" ca="1" si="38"/>
        <v>0.73921017545728018</v>
      </c>
      <c r="BC20" s="83">
        <f t="shared" ca="1" si="39"/>
        <v>2.2399004216480685</v>
      </c>
      <c r="BD20" s="83">
        <f t="shared" ca="1" si="40"/>
        <v>0.36960508772864009</v>
      </c>
      <c r="BE20" s="83">
        <f t="shared" ca="1" si="41"/>
        <v>1.7232377907433536</v>
      </c>
      <c r="BF20" s="83">
        <f t="shared" ca="1" si="42"/>
        <v>2.0607792136724639</v>
      </c>
      <c r="BG20" s="83">
        <f t="shared" ca="1" si="43"/>
        <v>5.5768292736937957</v>
      </c>
      <c r="BH20" s="83">
        <f t="shared" ca="1" si="44"/>
        <v>2.0234618418241976</v>
      </c>
      <c r="BI20" s="83">
        <f t="shared" ca="1" si="45"/>
        <v>0.70414882326167794</v>
      </c>
      <c r="BJ20" s="83">
        <f t="shared" ca="1" si="46"/>
        <v>2.8720629845722558</v>
      </c>
      <c r="BK20" s="83">
        <f t="shared" ca="1" si="47"/>
        <v>1.5633497483032488</v>
      </c>
      <c r="BL20" s="83">
        <f t="shared" ca="1" si="48"/>
        <v>2.4117729322103703</v>
      </c>
      <c r="BM20" s="83">
        <f t="shared" ca="1" si="49"/>
        <v>1.8806351515796953</v>
      </c>
      <c r="BN20" s="83">
        <f t="shared" ca="1" si="50"/>
        <v>0.15193252618094297</v>
      </c>
      <c r="BO20" s="83">
        <f t="shared" ca="1" si="51"/>
        <v>1.0659202829340331</v>
      </c>
      <c r="BP20" s="83">
        <f t="shared" ca="1" si="52"/>
        <v>0.40268099577507921</v>
      </c>
      <c r="BQ20" s="83">
        <f t="shared" ca="1" si="53"/>
        <v>1.9306843683048895</v>
      </c>
      <c r="BR20" s="83">
        <f t="shared" ca="1" si="54"/>
        <v>2.7574082436287046</v>
      </c>
      <c r="BS20" s="83">
        <f t="shared" ca="1" si="55"/>
        <v>0.394440212200525</v>
      </c>
      <c r="BT20" s="83">
        <f t="shared" ca="1" si="56"/>
        <v>1.6817853352959189</v>
      </c>
      <c r="BU20" s="83">
        <f t="shared" ca="1" si="57"/>
        <v>1.4449141613105783</v>
      </c>
      <c r="BV20" s="83">
        <f t="shared" ca="1" si="58"/>
        <v>2.8802012707499172</v>
      </c>
      <c r="BW20" s="83">
        <f t="shared" ca="1" si="59"/>
        <v>2.3733315193939379</v>
      </c>
      <c r="BX20" s="83">
        <f t="shared" ca="1" si="60"/>
        <v>0.35353530130565575</v>
      </c>
      <c r="BY20" s="83">
        <f t="shared" ca="1" si="61"/>
        <v>1.6817853352959189</v>
      </c>
      <c r="BZ20" s="83">
        <f t="shared" ca="1" si="62"/>
        <v>1.4449141613105783</v>
      </c>
      <c r="CA20" s="83">
        <f t="shared" ca="1" si="63"/>
        <v>3.994301102952083</v>
      </c>
      <c r="CB20" s="83">
        <f t="shared" ca="1" si="64"/>
        <v>1.9129925179219986</v>
      </c>
      <c r="CC20" s="83">
        <f t="shared" ca="1" si="65"/>
        <v>0.43242334374576069</v>
      </c>
      <c r="CD20" s="83">
        <f t="shared" ca="1" si="66"/>
        <v>2.5700257492845417</v>
      </c>
      <c r="CE20" s="83">
        <f t="shared" ca="1" si="67"/>
        <v>1.7592470411590631</v>
      </c>
      <c r="CF20" s="83">
        <f t="shared" ca="1" si="68"/>
        <v>5.0389235476873413</v>
      </c>
      <c r="CG20" s="83">
        <f t="shared" ca="1" si="69"/>
        <v>1.7592470411590631</v>
      </c>
      <c r="CH20" s="83">
        <f t="shared" ca="1" si="70"/>
        <v>2.582698337383297</v>
      </c>
      <c r="CI20" s="83">
        <f t="shared" ca="1" si="71"/>
        <v>6.999915929648286</v>
      </c>
      <c r="CJ20" s="83">
        <f t="shared" ca="1" si="72"/>
        <v>2.582698337383297</v>
      </c>
      <c r="CK20" s="83">
        <f t="shared" ca="1" si="73"/>
        <v>1.5825281707417127</v>
      </c>
    </row>
    <row r="21" spans="1:89" x14ac:dyDescent="0.25">
      <c r="A21" t="str">
        <f>Plantilla!D22</f>
        <v>G. Stoychev</v>
      </c>
      <c r="B21" s="320">
        <f>Plantilla!E22</f>
        <v>23</v>
      </c>
      <c r="C21" s="115">
        <f ca="1">Plantilla!F22</f>
        <v>103</v>
      </c>
      <c r="D21" s="320" t="str">
        <f>Plantilla!G22</f>
        <v>IMP</v>
      </c>
      <c r="E21" s="265">
        <f>Plantilla!O22</f>
        <v>43650</v>
      </c>
      <c r="F21" s="115">
        <f>Plantilla!Q22</f>
        <v>6</v>
      </c>
      <c r="G21" s="142">
        <f t="shared" si="0"/>
        <v>0.92582009977255142</v>
      </c>
      <c r="H21" s="142">
        <f t="shared" si="1"/>
        <v>0.99928545900129484</v>
      </c>
      <c r="I21" s="195">
        <f ca="1">Plantilla!P22</f>
        <v>8.394708266038052E-2</v>
      </c>
      <c r="J21" s="196">
        <f>Plantilla!I22</f>
        <v>3.7</v>
      </c>
      <c r="K21" s="49">
        <f>Plantilla!X22</f>
        <v>0</v>
      </c>
      <c r="L21" s="49">
        <f>Plantilla!Y22</f>
        <v>9</v>
      </c>
      <c r="M21" s="49">
        <f>Plantilla!Z22</f>
        <v>8</v>
      </c>
      <c r="N21" s="49">
        <f>Plantilla!AA22</f>
        <v>9</v>
      </c>
      <c r="O21" s="49">
        <f>Plantilla!AB22</f>
        <v>5</v>
      </c>
      <c r="P21" s="49">
        <f>Plantilla!AC22</f>
        <v>5</v>
      </c>
      <c r="Q21" s="49">
        <f>Plantilla!AD22</f>
        <v>3</v>
      </c>
      <c r="R21" s="196">
        <f t="shared" si="2"/>
        <v>2.75</v>
      </c>
      <c r="S21" s="196">
        <f t="shared" ca="1" si="3"/>
        <v>4.2098241329301871</v>
      </c>
      <c r="T21" s="49">
        <f t="shared" si="4"/>
        <v>0.33999999999999997</v>
      </c>
      <c r="U21" s="49">
        <f t="shared" si="5"/>
        <v>0.45</v>
      </c>
      <c r="V21" s="196">
        <f t="shared" ca="1" si="6"/>
        <v>3.6124943560960543</v>
      </c>
      <c r="W21" s="196">
        <f t="shared" ca="1" si="7"/>
        <v>3.8991517700446225</v>
      </c>
      <c r="X21" s="83">
        <f t="shared" ca="1" si="8"/>
        <v>3.2186726099764944</v>
      </c>
      <c r="Y21" s="83">
        <f t="shared" ca="1" si="9"/>
        <v>4.9114402514085382</v>
      </c>
      <c r="Z21" s="83">
        <f t="shared" ca="1" si="10"/>
        <v>3.2186726099764944</v>
      </c>
      <c r="AA21" s="83">
        <f t="shared" ca="1" si="11"/>
        <v>5.0782394808108489</v>
      </c>
      <c r="AB21" s="83">
        <f t="shared" ca="1" si="12"/>
        <v>9.8415493814163728</v>
      </c>
      <c r="AC21" s="83">
        <f t="shared" ca="1" si="13"/>
        <v>2.5391197404054244</v>
      </c>
      <c r="AD21" s="83">
        <f t="shared" ca="1" si="14"/>
        <v>2.1042887527770966</v>
      </c>
      <c r="AE21" s="83">
        <f t="shared" ca="1" si="15"/>
        <v>3.7201056661753888</v>
      </c>
      <c r="AF21" s="83">
        <f t="shared" ca="1" si="16"/>
        <v>7.1154402027640371</v>
      </c>
      <c r="AG21" s="83">
        <f t="shared" ca="1" si="17"/>
        <v>1.8600528330876944</v>
      </c>
      <c r="AH21" s="83">
        <f t="shared" ca="1" si="18"/>
        <v>3.4039965118453037</v>
      </c>
      <c r="AI21" s="83">
        <f t="shared" ca="1" si="19"/>
        <v>9.0542254309030632</v>
      </c>
      <c r="AJ21" s="83">
        <f t="shared" ca="1" si="20"/>
        <v>4.0744014439063783</v>
      </c>
      <c r="AK21" s="83">
        <f t="shared" ca="1" si="21"/>
        <v>1.4765387466965343</v>
      </c>
      <c r="AL21" s="83">
        <f t="shared" ca="1" si="22"/>
        <v>5.7868310362728268</v>
      </c>
      <c r="AM21" s="83">
        <f t="shared" ca="1" si="23"/>
        <v>7.4205282335879454</v>
      </c>
      <c r="AN21" s="83">
        <f t="shared" ca="1" si="24"/>
        <v>6.9678169620427912</v>
      </c>
      <c r="AO21" s="83">
        <f t="shared" ca="1" si="25"/>
        <v>0.64153874669653443</v>
      </c>
      <c r="AP21" s="83">
        <f t="shared" ca="1" si="26"/>
        <v>1.0343662218479155</v>
      </c>
      <c r="AQ21" s="83">
        <f t="shared" ca="1" si="27"/>
        <v>2.657218332982421</v>
      </c>
      <c r="AR21" s="83">
        <f t="shared" ca="1" si="28"/>
        <v>5.8458803325613253</v>
      </c>
      <c r="AS21" s="83">
        <f t="shared" ca="1" si="29"/>
        <v>1.3286091664912105</v>
      </c>
      <c r="AT21" s="83">
        <f t="shared" ca="1" si="30"/>
        <v>8.3464226160570547</v>
      </c>
      <c r="AU21" s="83">
        <f t="shared" ca="1" si="31"/>
        <v>0.75940141958412866</v>
      </c>
      <c r="AV21" s="83">
        <f t="shared" ca="1" si="32"/>
        <v>1.7115739687549971</v>
      </c>
      <c r="AW21" s="83">
        <f t="shared" ca="1" si="33"/>
        <v>0.37970070979206433</v>
      </c>
      <c r="AX21" s="83">
        <f t="shared" ca="1" si="34"/>
        <v>1.8600528330876944</v>
      </c>
      <c r="AY21" s="83">
        <f t="shared" ca="1" si="35"/>
        <v>3.9366197525665494</v>
      </c>
      <c r="AZ21" s="83">
        <f t="shared" ca="1" si="36"/>
        <v>0.93002641654384721</v>
      </c>
      <c r="BA21" s="83">
        <f t="shared" ca="1" si="37"/>
        <v>8.8415493814163728</v>
      </c>
      <c r="BB21" s="83">
        <f t="shared" ca="1" si="38"/>
        <v>1.4779119934983425</v>
      </c>
      <c r="BC21" s="83">
        <f t="shared" ca="1" si="39"/>
        <v>3.218693709160422</v>
      </c>
      <c r="BD21" s="83">
        <f t="shared" ca="1" si="40"/>
        <v>0.73895599674917123</v>
      </c>
      <c r="BE21" s="83">
        <f t="shared" ca="1" si="41"/>
        <v>2.8638908699921641</v>
      </c>
      <c r="BF21" s="83">
        <f t="shared" ca="1" si="42"/>
        <v>3.4248591847328975</v>
      </c>
      <c r="BG21" s="83">
        <f t="shared" ca="1" si="43"/>
        <v>7.7894050050278247</v>
      </c>
      <c r="BH21" s="83">
        <f t="shared" ca="1" si="44"/>
        <v>7.4891374000791551</v>
      </c>
      <c r="BI21" s="83">
        <f t="shared" ca="1" si="45"/>
        <v>1.4078134009213461</v>
      </c>
      <c r="BJ21" s="83">
        <f t="shared" ca="1" si="46"/>
        <v>4.7731514499869405</v>
      </c>
      <c r="BK21" s="83">
        <f t="shared" ca="1" si="47"/>
        <v>2.5981690366939225</v>
      </c>
      <c r="BL21" s="83">
        <f t="shared" ca="1" si="48"/>
        <v>3.3686303143196379</v>
      </c>
      <c r="BM21" s="83">
        <f t="shared" ca="1" si="49"/>
        <v>7.7975141593579105</v>
      </c>
      <c r="BN21" s="83">
        <f t="shared" ca="1" si="50"/>
        <v>0.30376056783365141</v>
      </c>
      <c r="BO21" s="83">
        <f t="shared" ca="1" si="51"/>
        <v>1.7714788886549471</v>
      </c>
      <c r="BP21" s="83">
        <f t="shared" ca="1" si="52"/>
        <v>0.66922535793631344</v>
      </c>
      <c r="BQ21" s="83">
        <f t="shared" ca="1" si="53"/>
        <v>2.6966725613319937</v>
      </c>
      <c r="BR21" s="83">
        <f t="shared" ca="1" si="54"/>
        <v>11.512232504501455</v>
      </c>
      <c r="BS21" s="83">
        <f t="shared" ca="1" si="55"/>
        <v>0.78860916649121049</v>
      </c>
      <c r="BT21" s="83">
        <f t="shared" ca="1" si="56"/>
        <v>2.7950000243222495</v>
      </c>
      <c r="BU21" s="83">
        <f t="shared" ca="1" si="57"/>
        <v>2.4013380490655951</v>
      </c>
      <c r="BV21" s="83">
        <f t="shared" ca="1" si="58"/>
        <v>4.0229049685444496</v>
      </c>
      <c r="BW21" s="83">
        <f t="shared" ca="1" si="59"/>
        <v>9.9284367146093402</v>
      </c>
      <c r="BX21" s="83">
        <f t="shared" ca="1" si="60"/>
        <v>0.70682747515138122</v>
      </c>
      <c r="BY21" s="83">
        <f t="shared" ca="1" si="61"/>
        <v>2.7950000243222495</v>
      </c>
      <c r="BZ21" s="83">
        <f t="shared" ca="1" si="62"/>
        <v>2.4013380490655951</v>
      </c>
      <c r="CA21" s="83">
        <f t="shared" ca="1" si="63"/>
        <v>5.5790176596737311</v>
      </c>
      <c r="CB21" s="83">
        <f t="shared" ca="1" si="64"/>
        <v>8.036186696367654</v>
      </c>
      <c r="CC21" s="83">
        <f t="shared" ca="1" si="65"/>
        <v>0.8645493084496233</v>
      </c>
      <c r="CD21" s="83">
        <f t="shared" ca="1" si="66"/>
        <v>3.5896690488550478</v>
      </c>
      <c r="CE21" s="83">
        <f t="shared" ca="1" si="67"/>
        <v>3.6194472277179308</v>
      </c>
      <c r="CF21" s="83">
        <f t="shared" ca="1" si="68"/>
        <v>6.5775846034748362</v>
      </c>
      <c r="CG21" s="83">
        <f t="shared" ca="1" si="69"/>
        <v>3.6194472277179308</v>
      </c>
      <c r="CH21" s="83">
        <f t="shared" ca="1" si="70"/>
        <v>4.7614590231307021</v>
      </c>
      <c r="CI21" s="83">
        <f t="shared" ca="1" si="71"/>
        <v>7.9970811031590152</v>
      </c>
      <c r="CJ21" s="83">
        <f t="shared" ca="1" si="72"/>
        <v>4.7614590231307021</v>
      </c>
      <c r="CK21" s="83">
        <f t="shared" ca="1" si="73"/>
        <v>2.2103873453540932</v>
      </c>
    </row>
    <row r="22" spans="1:89" x14ac:dyDescent="0.25">
      <c r="A22" t="str">
        <f>Plantilla!D23</f>
        <v>K. Helms</v>
      </c>
      <c r="B22" s="320">
        <f>Plantilla!E23</f>
        <v>35</v>
      </c>
      <c r="C22" s="115">
        <f ca="1">Plantilla!F23</f>
        <v>51</v>
      </c>
      <c r="D22" s="320" t="str">
        <f>Plantilla!G23</f>
        <v>TEC</v>
      </c>
      <c r="E22" s="265">
        <v>36526</v>
      </c>
      <c r="F22" s="115">
        <f>Plantilla!Q23</f>
        <v>7</v>
      </c>
      <c r="G22" s="142">
        <f t="shared" si="0"/>
        <v>1</v>
      </c>
      <c r="H22" s="142">
        <f t="shared" si="1"/>
        <v>1</v>
      </c>
      <c r="I22" s="195">
        <f>Plantilla!P23</f>
        <v>1.5</v>
      </c>
      <c r="J22" s="196">
        <f>Plantilla!I23</f>
        <v>13.5</v>
      </c>
      <c r="K22" s="49">
        <f>Plantilla!X23</f>
        <v>0</v>
      </c>
      <c r="L22" s="49">
        <f>Plantilla!Y23</f>
        <v>7.2503030303030309</v>
      </c>
      <c r="M22" s="49">
        <f>Plantilla!Z23</f>
        <v>10.600000000000005</v>
      </c>
      <c r="N22" s="49">
        <f>Plantilla!AA23</f>
        <v>12.95</v>
      </c>
      <c r="O22" s="49">
        <f>Plantilla!AB23</f>
        <v>9.9499999999999993</v>
      </c>
      <c r="P22" s="49">
        <f>Plantilla!AC23</f>
        <v>3.95</v>
      </c>
      <c r="Q22" s="49">
        <f>Plantilla!AD23</f>
        <v>18</v>
      </c>
      <c r="R22" s="196">
        <f t="shared" si="2"/>
        <v>3.7687878787878786</v>
      </c>
      <c r="S22" s="196">
        <f t="shared" si="3"/>
        <v>15.502716837831953</v>
      </c>
      <c r="T22" s="49">
        <f t="shared" si="4"/>
        <v>0.73750000000000004</v>
      </c>
      <c r="U22" s="49">
        <f t="shared" si="5"/>
        <v>0.8300121212121212</v>
      </c>
      <c r="V22" s="196">
        <f t="shared" ca="1" si="6"/>
        <v>20.507111691326674</v>
      </c>
      <c r="W22" s="196">
        <f t="shared" ca="1" si="7"/>
        <v>20.507111691326674</v>
      </c>
      <c r="X22" s="83">
        <f t="shared" si="8"/>
        <v>4.626292142891824</v>
      </c>
      <c r="Y22" s="83">
        <f t="shared" si="9"/>
        <v>6.9635599813815254</v>
      </c>
      <c r="Z22" s="83">
        <f t="shared" si="10"/>
        <v>4.626292142891824</v>
      </c>
      <c r="AA22" s="83">
        <f t="shared" si="11"/>
        <v>5.2928259963609277</v>
      </c>
      <c r="AB22" s="83">
        <f t="shared" si="12"/>
        <v>10.257414721629704</v>
      </c>
      <c r="AC22" s="83">
        <f t="shared" si="13"/>
        <v>2.6464129981804638</v>
      </c>
      <c r="AD22" s="83">
        <f t="shared" si="14"/>
        <v>3.2384925825357493</v>
      </c>
      <c r="AE22" s="83">
        <f t="shared" si="15"/>
        <v>3.8773027647760281</v>
      </c>
      <c r="AF22" s="83">
        <f t="shared" si="16"/>
        <v>7.4161108437382763</v>
      </c>
      <c r="AG22" s="83">
        <f t="shared" si="17"/>
        <v>1.938651382388014</v>
      </c>
      <c r="AH22" s="83">
        <f t="shared" si="18"/>
        <v>5.2387380011607716</v>
      </c>
      <c r="AI22" s="83">
        <f t="shared" si="19"/>
        <v>9.4368215438993275</v>
      </c>
      <c r="AJ22" s="83">
        <f t="shared" si="20"/>
        <v>4.2465696947546974</v>
      </c>
      <c r="AK22" s="83">
        <f t="shared" si="21"/>
        <v>2.2723876524515556</v>
      </c>
      <c r="AL22" s="83">
        <f t="shared" si="22"/>
        <v>9.3827816745000838</v>
      </c>
      <c r="AM22" s="83">
        <f t="shared" si="23"/>
        <v>7.7340907001087968</v>
      </c>
      <c r="AN22" s="83">
        <f t="shared" si="24"/>
        <v>7.2622496229138305</v>
      </c>
      <c r="AO22" s="83">
        <f t="shared" si="25"/>
        <v>3.5081876524515549</v>
      </c>
      <c r="AP22" s="83">
        <f t="shared" si="26"/>
        <v>1.9514590761929913</v>
      </c>
      <c r="AQ22" s="83">
        <f t="shared" si="27"/>
        <v>2.7695019748400203</v>
      </c>
      <c r="AR22" s="83">
        <f t="shared" si="28"/>
        <v>6.0929043446480442</v>
      </c>
      <c r="AS22" s="83">
        <f t="shared" si="29"/>
        <v>1.3847509874200101</v>
      </c>
      <c r="AT22" s="83">
        <f t="shared" si="30"/>
        <v>12.845113436612385</v>
      </c>
      <c r="AU22" s="83">
        <f t="shared" si="31"/>
        <v>1.6844245198724677</v>
      </c>
      <c r="AV22" s="83">
        <f t="shared" si="32"/>
        <v>2.7584337255587155</v>
      </c>
      <c r="AW22" s="83">
        <f t="shared" si="33"/>
        <v>0.84221225993623383</v>
      </c>
      <c r="AX22" s="83">
        <f t="shared" si="34"/>
        <v>1.938651382388014</v>
      </c>
      <c r="AY22" s="83">
        <f t="shared" si="35"/>
        <v>4.1029658886518821</v>
      </c>
      <c r="AZ22" s="83">
        <f t="shared" si="36"/>
        <v>0.96932569119400702</v>
      </c>
      <c r="BA22" s="83">
        <f t="shared" si="37"/>
        <v>13.607111691326679</v>
      </c>
      <c r="BB22" s="83">
        <f t="shared" si="38"/>
        <v>3.2781492579056484</v>
      </c>
      <c r="BC22" s="83">
        <f t="shared" si="39"/>
        <v>5.8793685419209973</v>
      </c>
      <c r="BD22" s="83">
        <f t="shared" si="40"/>
        <v>1.6390746289528242</v>
      </c>
      <c r="BE22" s="83">
        <f t="shared" si="41"/>
        <v>2.9849076839942437</v>
      </c>
      <c r="BF22" s="83">
        <f t="shared" si="42"/>
        <v>3.5695803231271368</v>
      </c>
      <c r="BG22" s="83">
        <f t="shared" si="43"/>
        <v>11.987865400058805</v>
      </c>
      <c r="BH22" s="83">
        <f t="shared" si="44"/>
        <v>13.240872293589412</v>
      </c>
      <c r="BI22" s="83">
        <f t="shared" si="45"/>
        <v>3.1226639176097284</v>
      </c>
      <c r="BJ22" s="83">
        <f t="shared" si="46"/>
        <v>4.9748461399904063</v>
      </c>
      <c r="BK22" s="83">
        <f t="shared" si="47"/>
        <v>2.7079574865102423</v>
      </c>
      <c r="BL22" s="83">
        <f t="shared" si="48"/>
        <v>5.1843095543954645</v>
      </c>
      <c r="BM22" s="83">
        <f t="shared" si="49"/>
        <v>13.343515618219515</v>
      </c>
      <c r="BN22" s="83">
        <f t="shared" si="50"/>
        <v>0.673769807948987</v>
      </c>
      <c r="BO22" s="83">
        <f t="shared" si="51"/>
        <v>1.8463346498933466</v>
      </c>
      <c r="BP22" s="83">
        <f t="shared" si="52"/>
        <v>0.6975042010708199</v>
      </c>
      <c r="BQ22" s="83">
        <f t="shared" si="53"/>
        <v>4.1501690658546373</v>
      </c>
      <c r="BR22" s="83">
        <f t="shared" si="54"/>
        <v>19.662845635046104</v>
      </c>
      <c r="BS22" s="83">
        <f t="shared" si="55"/>
        <v>1.7492100783291011</v>
      </c>
      <c r="BT22" s="83">
        <f t="shared" si="56"/>
        <v>2.9131057809428356</v>
      </c>
      <c r="BU22" s="83">
        <f t="shared" si="57"/>
        <v>2.5028091920776476</v>
      </c>
      <c r="BV22" s="83">
        <f t="shared" si="58"/>
        <v>6.191235819553639</v>
      </c>
      <c r="BW22" s="83">
        <f t="shared" si="59"/>
        <v>16.948479753989954</v>
      </c>
      <c r="BX22" s="83">
        <f t="shared" si="60"/>
        <v>1.5678105146505275</v>
      </c>
      <c r="BY22" s="83">
        <f t="shared" si="61"/>
        <v>2.9131057809428356</v>
      </c>
      <c r="BZ22" s="83">
        <f t="shared" si="62"/>
        <v>2.5028091920776476</v>
      </c>
      <c r="CA22" s="83">
        <f t="shared" si="63"/>
        <v>8.5860874772271352</v>
      </c>
      <c r="CB22" s="83">
        <f t="shared" si="64"/>
        <v>13.702614963737371</v>
      </c>
      <c r="CC22" s="83">
        <f t="shared" si="65"/>
        <v>1.9176525303163476</v>
      </c>
      <c r="CD22" s="83">
        <f t="shared" si="66"/>
        <v>5.5244873466786322</v>
      </c>
      <c r="CE22" s="83">
        <f t="shared" si="67"/>
        <v>7.4752241264873307</v>
      </c>
      <c r="CF22" s="83">
        <f t="shared" si="68"/>
        <v>11.091707764433835</v>
      </c>
      <c r="CG22" s="83">
        <f t="shared" si="69"/>
        <v>7.4752241264873307</v>
      </c>
      <c r="CH22" s="83">
        <f t="shared" si="70"/>
        <v>7.0452805836965178</v>
      </c>
      <c r="CI22" s="83">
        <f t="shared" si="71"/>
        <v>11.738285905426217</v>
      </c>
      <c r="CJ22" s="83">
        <f t="shared" si="72"/>
        <v>7.0452805836965178</v>
      </c>
      <c r="CK22" s="83">
        <f t="shared" si="73"/>
        <v>3.4017779228316698</v>
      </c>
    </row>
    <row r="23" spans="1:89" x14ac:dyDescent="0.25">
      <c r="A23" t="str">
        <f>Plantilla!D24</f>
        <v>S. Zobbe</v>
      </c>
      <c r="B23" s="320">
        <f>Plantilla!E24</f>
        <v>32</v>
      </c>
      <c r="C23" s="115">
        <f ca="1">Plantilla!F24</f>
        <v>66</v>
      </c>
      <c r="D23" s="320" t="str">
        <f>Plantilla!G24</f>
        <v>CAB</v>
      </c>
      <c r="E23" s="265">
        <v>36526</v>
      </c>
      <c r="F23" s="115">
        <f>Plantilla!Q24</f>
        <v>5</v>
      </c>
      <c r="G23" s="142">
        <f t="shared" si="0"/>
        <v>0.84515425472851657</v>
      </c>
      <c r="H23" s="142">
        <f t="shared" si="1"/>
        <v>0.92504826128926143</v>
      </c>
      <c r="I23" s="195">
        <f>Plantilla!P24</f>
        <v>1.5</v>
      </c>
      <c r="J23" s="196">
        <f>Plantilla!I24</f>
        <v>13</v>
      </c>
      <c r="K23" s="49">
        <f>Plantilla!X24</f>
        <v>0</v>
      </c>
      <c r="L23" s="49">
        <f>Plantilla!Y24</f>
        <v>8.3599999999999977</v>
      </c>
      <c r="M23" s="49">
        <f>Plantilla!Z24</f>
        <v>12.253412698412699</v>
      </c>
      <c r="N23" s="49">
        <f>Plantilla!AA24</f>
        <v>12.95</v>
      </c>
      <c r="O23" s="49">
        <f>Plantilla!AB24</f>
        <v>10.24</v>
      </c>
      <c r="P23" s="49">
        <f>Plantilla!AC24</f>
        <v>6.95</v>
      </c>
      <c r="Q23" s="49">
        <f>Plantilla!AD24</f>
        <v>16</v>
      </c>
      <c r="R23" s="196">
        <f t="shared" si="2"/>
        <v>3.9799999999999995</v>
      </c>
      <c r="S23" s="196">
        <f t="shared" si="3"/>
        <v>19.334419744797479</v>
      </c>
      <c r="T23" s="49">
        <f t="shared" si="4"/>
        <v>0.82750000000000001</v>
      </c>
      <c r="U23" s="49">
        <f t="shared" si="5"/>
        <v>0.81439999999999979</v>
      </c>
      <c r="V23" s="196">
        <f t="shared" ca="1" si="6"/>
        <v>15.622894282023008</v>
      </c>
      <c r="W23" s="196">
        <f t="shared" ca="1" si="7"/>
        <v>17.099755590219004</v>
      </c>
      <c r="X23" s="83">
        <f t="shared" si="8"/>
        <v>4.9134900620851578</v>
      </c>
      <c r="Y23" s="83">
        <f t="shared" si="9"/>
        <v>7.4069678237708345</v>
      </c>
      <c r="Z23" s="83">
        <f t="shared" si="10"/>
        <v>4.9134900620851578</v>
      </c>
      <c r="AA23" s="83">
        <f t="shared" si="11"/>
        <v>5.8541530263871024</v>
      </c>
      <c r="AB23" s="83">
        <f t="shared" si="12"/>
        <v>11.34525780307578</v>
      </c>
      <c r="AC23" s="83">
        <f t="shared" si="13"/>
        <v>2.9270765131935512</v>
      </c>
      <c r="AD23" s="83">
        <f t="shared" si="14"/>
        <v>3.6268035793542586</v>
      </c>
      <c r="AE23" s="83">
        <f t="shared" si="15"/>
        <v>4.288507449562645</v>
      </c>
      <c r="AF23" s="83">
        <f t="shared" si="16"/>
        <v>8.2026213916237882</v>
      </c>
      <c r="AG23" s="83">
        <f t="shared" si="17"/>
        <v>2.1442537247813225</v>
      </c>
      <c r="AH23" s="83">
        <f t="shared" si="18"/>
        <v>5.8668881430730657</v>
      </c>
      <c r="AI23" s="83">
        <f t="shared" si="19"/>
        <v>10.437637178829718</v>
      </c>
      <c r="AJ23" s="83">
        <f t="shared" si="20"/>
        <v>4.6969367304733725</v>
      </c>
      <c r="AK23" s="83">
        <f t="shared" si="21"/>
        <v>2.5448579737485768</v>
      </c>
      <c r="AL23" s="83">
        <f t="shared" si="22"/>
        <v>9.3699315882085585</v>
      </c>
      <c r="AM23" s="83">
        <f t="shared" si="23"/>
        <v>8.5543243835191376</v>
      </c>
      <c r="AN23" s="83">
        <f t="shared" si="24"/>
        <v>8.0324425245776521</v>
      </c>
      <c r="AO23" s="83">
        <f t="shared" si="25"/>
        <v>3.1705380531136558</v>
      </c>
      <c r="AP23" s="83">
        <f t="shared" si="26"/>
        <v>2.005994247285825</v>
      </c>
      <c r="AQ23" s="83">
        <f t="shared" si="27"/>
        <v>3.0632196068304607</v>
      </c>
      <c r="AR23" s="83">
        <f t="shared" si="28"/>
        <v>6.7390831350270135</v>
      </c>
      <c r="AS23" s="83">
        <f t="shared" si="29"/>
        <v>1.5316098034152303</v>
      </c>
      <c r="AT23" s="83">
        <f t="shared" si="30"/>
        <v>14.385304953405127</v>
      </c>
      <c r="AU23" s="83">
        <f t="shared" si="31"/>
        <v>1.7192835143998517</v>
      </c>
      <c r="AV23" s="83">
        <f t="shared" si="32"/>
        <v>3.3058305363012042</v>
      </c>
      <c r="AW23" s="83">
        <f t="shared" si="33"/>
        <v>0.85964175719992586</v>
      </c>
      <c r="AX23" s="83">
        <f t="shared" si="34"/>
        <v>2.1442537247813225</v>
      </c>
      <c r="AY23" s="83">
        <f t="shared" si="35"/>
        <v>4.5381031212303125</v>
      </c>
      <c r="AZ23" s="83">
        <f t="shared" si="36"/>
        <v>1.0721268623906612</v>
      </c>
      <c r="BA23" s="83">
        <f t="shared" si="37"/>
        <v>15.238670501488482</v>
      </c>
      <c r="BB23" s="83">
        <f t="shared" si="38"/>
        <v>3.3459902241781729</v>
      </c>
      <c r="BC23" s="83">
        <f t="shared" si="39"/>
        <v>6.5962170494947561</v>
      </c>
      <c r="BD23" s="83">
        <f t="shared" si="40"/>
        <v>1.6729951120890865</v>
      </c>
      <c r="BE23" s="83">
        <f t="shared" si="41"/>
        <v>3.301470020695052</v>
      </c>
      <c r="BF23" s="83">
        <f t="shared" si="42"/>
        <v>3.9481497154703713</v>
      </c>
      <c r="BG23" s="83">
        <f t="shared" si="43"/>
        <v>13.425268711811352</v>
      </c>
      <c r="BH23" s="83">
        <f t="shared" si="44"/>
        <v>13.31279418693437</v>
      </c>
      <c r="BI23" s="83">
        <f t="shared" si="45"/>
        <v>3.1872871305412636</v>
      </c>
      <c r="BJ23" s="83">
        <f t="shared" si="46"/>
        <v>5.5024500344917531</v>
      </c>
      <c r="BK23" s="83">
        <f t="shared" si="47"/>
        <v>2.995148060012006</v>
      </c>
      <c r="BL23" s="83">
        <f t="shared" si="48"/>
        <v>5.8059334610671121</v>
      </c>
      <c r="BM23" s="83">
        <f t="shared" si="49"/>
        <v>13.382705319888235</v>
      </c>
      <c r="BN23" s="83">
        <f t="shared" si="50"/>
        <v>0.68771340575994067</v>
      </c>
      <c r="BO23" s="83">
        <f t="shared" si="51"/>
        <v>2.0421464045536402</v>
      </c>
      <c r="BP23" s="83">
        <f t="shared" si="52"/>
        <v>0.77147753060915314</v>
      </c>
      <c r="BQ23" s="83">
        <f t="shared" si="53"/>
        <v>4.6477945029539871</v>
      </c>
      <c r="BR23" s="83">
        <f t="shared" si="54"/>
        <v>19.717681534755457</v>
      </c>
      <c r="BS23" s="83">
        <f t="shared" si="55"/>
        <v>1.7854098034152308</v>
      </c>
      <c r="BT23" s="83">
        <f t="shared" si="56"/>
        <v>3.2220532160735211</v>
      </c>
      <c r="BU23" s="83">
        <f t="shared" si="57"/>
        <v>2.7682429039504903</v>
      </c>
      <c r="BV23" s="83">
        <f t="shared" si="58"/>
        <v>6.9335950781772597</v>
      </c>
      <c r="BW23" s="83">
        <f t="shared" si="59"/>
        <v>16.995025645807967</v>
      </c>
      <c r="BX23" s="83">
        <f t="shared" si="60"/>
        <v>1.6002561941721696</v>
      </c>
      <c r="BY23" s="83">
        <f t="shared" si="61"/>
        <v>3.2220532160735211</v>
      </c>
      <c r="BZ23" s="83">
        <f t="shared" si="62"/>
        <v>2.7682429039504903</v>
      </c>
      <c r="CA23" s="83">
        <f t="shared" si="63"/>
        <v>9.6156010864392325</v>
      </c>
      <c r="CB23" s="83">
        <f t="shared" si="64"/>
        <v>13.739025733752825</v>
      </c>
      <c r="CC23" s="83">
        <f t="shared" si="65"/>
        <v>1.9573381548552158</v>
      </c>
      <c r="CD23" s="83">
        <f t="shared" si="66"/>
        <v>6.186900223604324</v>
      </c>
      <c r="CE23" s="83">
        <f t="shared" si="67"/>
        <v>6.8627693154024829</v>
      </c>
      <c r="CF23" s="83">
        <f t="shared" si="68"/>
        <v>12.973570286263332</v>
      </c>
      <c r="CG23" s="83">
        <f t="shared" si="69"/>
        <v>6.8627693154024829</v>
      </c>
      <c r="CH23" s="83">
        <f t="shared" si="70"/>
        <v>7.8528456113162122</v>
      </c>
      <c r="CI23" s="83">
        <f t="shared" si="71"/>
        <v>14.815377932410746</v>
      </c>
      <c r="CJ23" s="83">
        <f t="shared" si="72"/>
        <v>7.8528456113162122</v>
      </c>
      <c r="CK23" s="83">
        <f t="shared" si="73"/>
        <v>3.8096676253721204</v>
      </c>
    </row>
    <row r="24" spans="1:89" x14ac:dyDescent="0.25">
      <c r="A24" t="str">
        <f>Plantilla!D25</f>
        <v>L. Bauman</v>
      </c>
      <c r="B24" s="320">
        <f>Plantilla!E25</f>
        <v>35</v>
      </c>
      <c r="C24" s="115">
        <f ca="1">Plantilla!F25</f>
        <v>66</v>
      </c>
      <c r="D24" s="320">
        <f>Plantilla!G25</f>
        <v>0</v>
      </c>
      <c r="E24" s="265">
        <v>36526</v>
      </c>
      <c r="F24" s="115">
        <f>Plantilla!Q25</f>
        <v>5</v>
      </c>
      <c r="G24" s="142">
        <f t="shared" si="0"/>
        <v>0.84515425472851657</v>
      </c>
      <c r="H24" s="142">
        <f t="shared" si="1"/>
        <v>0.92504826128926143</v>
      </c>
      <c r="I24" s="195">
        <f>Plantilla!P25</f>
        <v>1.5</v>
      </c>
      <c r="J24" s="196">
        <f>Plantilla!I25</f>
        <v>12</v>
      </c>
      <c r="K24" s="49">
        <f>Plantilla!X25</f>
        <v>0</v>
      </c>
      <c r="L24" s="49">
        <f>Plantilla!Y25</f>
        <v>5.95</v>
      </c>
      <c r="M24" s="49">
        <f>Plantilla!Z25</f>
        <v>14.1</v>
      </c>
      <c r="N24" s="49">
        <f>Plantilla!AA25</f>
        <v>2.95</v>
      </c>
      <c r="O24" s="49">
        <f>Plantilla!AB25</f>
        <v>8.9499999999999993</v>
      </c>
      <c r="P24" s="49">
        <f>Plantilla!AC25</f>
        <v>5.95</v>
      </c>
      <c r="Q24" s="49">
        <f>Plantilla!AD25</f>
        <v>16.95</v>
      </c>
      <c r="R24" s="196">
        <f t="shared" si="2"/>
        <v>3.3562499999999997</v>
      </c>
      <c r="S24" s="196">
        <f t="shared" si="3"/>
        <v>18.094487405020338</v>
      </c>
      <c r="T24" s="49">
        <f t="shared" si="4"/>
        <v>0.80600000000000005</v>
      </c>
      <c r="U24" s="49">
        <f t="shared" si="5"/>
        <v>0.74649999999999994</v>
      </c>
      <c r="V24" s="196">
        <f t="shared" ca="1" si="6"/>
        <v>16.386618368004036</v>
      </c>
      <c r="W24" s="196">
        <f t="shared" ca="1" si="7"/>
        <v>17.935675937172022</v>
      </c>
      <c r="X24" s="83">
        <f t="shared" si="8"/>
        <v>4.2078669703994356</v>
      </c>
      <c r="Y24" s="83">
        <f t="shared" si="9"/>
        <v>6.322880651529978</v>
      </c>
      <c r="Z24" s="83">
        <f t="shared" si="10"/>
        <v>4.2078669703994356</v>
      </c>
      <c r="AA24" s="83">
        <f t="shared" si="11"/>
        <v>4.5866766972807662</v>
      </c>
      <c r="AB24" s="83">
        <f t="shared" si="12"/>
        <v>8.8889083280635006</v>
      </c>
      <c r="AC24" s="83">
        <f t="shared" si="13"/>
        <v>2.2933383486403831</v>
      </c>
      <c r="AD24" s="83">
        <f t="shared" si="14"/>
        <v>4.0552601820791123</v>
      </c>
      <c r="AE24" s="83">
        <f t="shared" si="15"/>
        <v>3.3600073480080033</v>
      </c>
      <c r="AF24" s="83">
        <f t="shared" si="16"/>
        <v>6.4266807211899106</v>
      </c>
      <c r="AG24" s="83">
        <f t="shared" si="17"/>
        <v>1.6800036740040016</v>
      </c>
      <c r="AH24" s="83">
        <f t="shared" si="18"/>
        <v>6.5599797063044472</v>
      </c>
      <c r="AI24" s="83">
        <f t="shared" si="19"/>
        <v>8.1777956618184202</v>
      </c>
      <c r="AJ24" s="83">
        <f t="shared" si="20"/>
        <v>3.6800080478182893</v>
      </c>
      <c r="AK24" s="83">
        <f t="shared" si="21"/>
        <v>2.8454976907866047</v>
      </c>
      <c r="AL24" s="83">
        <f t="shared" si="22"/>
        <v>3.4626780969013375</v>
      </c>
      <c r="AM24" s="83">
        <f t="shared" si="23"/>
        <v>6.7022368793598792</v>
      </c>
      <c r="AN24" s="83">
        <f t="shared" si="24"/>
        <v>6.2933470962689579</v>
      </c>
      <c r="AO24" s="83">
        <f t="shared" si="25"/>
        <v>3.3214476907866048</v>
      </c>
      <c r="AP24" s="83">
        <f t="shared" si="26"/>
        <v>1.8130055984822875</v>
      </c>
      <c r="AQ24" s="83">
        <f t="shared" si="27"/>
        <v>2.4000052485771453</v>
      </c>
      <c r="AR24" s="83">
        <f t="shared" si="28"/>
        <v>5.2800115468697193</v>
      </c>
      <c r="AS24" s="83">
        <f t="shared" si="29"/>
        <v>1.2000026242885726</v>
      </c>
      <c r="AT24" s="83">
        <f t="shared" si="30"/>
        <v>16.084729461691943</v>
      </c>
      <c r="AU24" s="83">
        <f t="shared" si="31"/>
        <v>1.5455580826482549</v>
      </c>
      <c r="AV24" s="83">
        <f t="shared" si="32"/>
        <v>2.9644501401226053</v>
      </c>
      <c r="AW24" s="83">
        <f t="shared" si="33"/>
        <v>0.77277904132412745</v>
      </c>
      <c r="AX24" s="83">
        <f t="shared" si="34"/>
        <v>1.6800036740040016</v>
      </c>
      <c r="AY24" s="83">
        <f t="shared" si="35"/>
        <v>3.5555633312254002</v>
      </c>
      <c r="AZ24" s="83">
        <f t="shared" si="36"/>
        <v>0.84000183700200082</v>
      </c>
      <c r="BA24" s="83">
        <f t="shared" si="37"/>
        <v>17.038908328063499</v>
      </c>
      <c r="BB24" s="83">
        <f t="shared" si="38"/>
        <v>3.0078938070000651</v>
      </c>
      <c r="BC24" s="83">
        <f t="shared" si="39"/>
        <v>5.9207884887629882</v>
      </c>
      <c r="BD24" s="83">
        <f t="shared" si="40"/>
        <v>1.5039469035000326</v>
      </c>
      <c r="BE24" s="83">
        <f t="shared" si="41"/>
        <v>2.5866723234664786</v>
      </c>
      <c r="BF24" s="83">
        <f t="shared" si="42"/>
        <v>3.0933400981660979</v>
      </c>
      <c r="BG24" s="83">
        <f t="shared" si="43"/>
        <v>15.011278237023943</v>
      </c>
      <c r="BH24" s="83">
        <f t="shared" si="44"/>
        <v>7.1252395036484515</v>
      </c>
      <c r="BI24" s="83">
        <f t="shared" si="45"/>
        <v>2.865226907063303</v>
      </c>
      <c r="BJ24" s="83">
        <f t="shared" si="46"/>
        <v>4.3111205391107976</v>
      </c>
      <c r="BK24" s="83">
        <f t="shared" si="47"/>
        <v>2.3466717986087642</v>
      </c>
      <c r="BL24" s="83">
        <f t="shared" si="48"/>
        <v>6.491824072992193</v>
      </c>
      <c r="BM24" s="83">
        <f t="shared" si="49"/>
        <v>6.3529058787274995</v>
      </c>
      <c r="BN24" s="83">
        <f t="shared" si="50"/>
        <v>0.61822323305930194</v>
      </c>
      <c r="BO24" s="83">
        <f t="shared" si="51"/>
        <v>1.60000349905143</v>
      </c>
      <c r="BP24" s="83">
        <f t="shared" si="52"/>
        <v>0.60444576630831803</v>
      </c>
      <c r="BQ24" s="83">
        <f t="shared" si="53"/>
        <v>5.1968670400593675</v>
      </c>
      <c r="BR24" s="83">
        <f t="shared" si="54"/>
        <v>9.289136109889661</v>
      </c>
      <c r="BS24" s="83">
        <f t="shared" si="55"/>
        <v>1.6050026242885724</v>
      </c>
      <c r="BT24" s="83">
        <f t="shared" si="56"/>
        <v>2.5244499651700338</v>
      </c>
      <c r="BU24" s="83">
        <f t="shared" si="57"/>
        <v>2.1688936320474941</v>
      </c>
      <c r="BV24" s="83">
        <f t="shared" si="58"/>
        <v>7.7527032892688927</v>
      </c>
      <c r="BW24" s="83">
        <f t="shared" si="59"/>
        <v>7.988910427494357</v>
      </c>
      <c r="BX24" s="83">
        <f t="shared" si="60"/>
        <v>1.4385579076956834</v>
      </c>
      <c r="BY24" s="83">
        <f t="shared" si="61"/>
        <v>2.5244499651700338</v>
      </c>
      <c r="BZ24" s="83">
        <f t="shared" si="62"/>
        <v>2.1688936320474941</v>
      </c>
      <c r="CA24" s="83">
        <f t="shared" si="63"/>
        <v>10.751551155008068</v>
      </c>
      <c r="CB24" s="83">
        <f t="shared" si="64"/>
        <v>6.4285729536168326</v>
      </c>
      <c r="CC24" s="83">
        <f t="shared" si="65"/>
        <v>1.7595584325533977</v>
      </c>
      <c r="CD24" s="83">
        <f t="shared" si="66"/>
        <v>6.9177967811937808</v>
      </c>
      <c r="CE24" s="83">
        <f t="shared" si="67"/>
        <v>4.9491212389210837</v>
      </c>
      <c r="CF24" s="83">
        <f t="shared" si="68"/>
        <v>11.637910777399501</v>
      </c>
      <c r="CG24" s="83">
        <f t="shared" si="69"/>
        <v>4.9491212389210837</v>
      </c>
      <c r="CH24" s="83">
        <f t="shared" si="70"/>
        <v>5.1707898883835606</v>
      </c>
      <c r="CI24" s="83">
        <f t="shared" si="71"/>
        <v>13.275915501118931</v>
      </c>
      <c r="CJ24" s="83">
        <f t="shared" si="72"/>
        <v>5.1707898883835606</v>
      </c>
      <c r="CK24" s="83">
        <f t="shared" si="73"/>
        <v>4.2597270820158748</v>
      </c>
    </row>
    <row r="25" spans="1:89" x14ac:dyDescent="0.25">
      <c r="A25" t="str">
        <f>Plantilla!D26</f>
        <v>J. Limon</v>
      </c>
      <c r="B25" s="320">
        <f>Plantilla!E26</f>
        <v>34</v>
      </c>
      <c r="C25" s="115">
        <f ca="1">Plantilla!F26</f>
        <v>103</v>
      </c>
      <c r="D25" s="320" t="str">
        <f>Plantilla!G26</f>
        <v>RAP</v>
      </c>
      <c r="E25" s="265">
        <v>36526</v>
      </c>
      <c r="F25" s="115">
        <f>Plantilla!Q26</f>
        <v>5</v>
      </c>
      <c r="G25" s="142">
        <f t="shared" si="0"/>
        <v>0.84515425472851657</v>
      </c>
      <c r="H25" s="142">
        <f t="shared" si="1"/>
        <v>0.92504826128926143</v>
      </c>
      <c r="I25" s="195">
        <f>Plantilla!P26</f>
        <v>1.5</v>
      </c>
      <c r="J25" s="196">
        <f>Plantilla!I26</f>
        <v>14.3</v>
      </c>
      <c r="K25" s="49">
        <f>Plantilla!X26</f>
        <v>0</v>
      </c>
      <c r="L25" s="49">
        <f>Plantilla!Y26</f>
        <v>6.8376190476190493</v>
      </c>
      <c r="M25" s="49">
        <f>Plantilla!Z26</f>
        <v>8.9499999999999993</v>
      </c>
      <c r="N25" s="49">
        <f>Plantilla!AA26</f>
        <v>8.7399999999999967</v>
      </c>
      <c r="O25" s="49">
        <f>Plantilla!AB26</f>
        <v>9.9499999999999993</v>
      </c>
      <c r="P25" s="49">
        <f>Plantilla!AC26</f>
        <v>6.95</v>
      </c>
      <c r="Q25" s="49">
        <f>Plantilla!AD26</f>
        <v>18.999999999999993</v>
      </c>
      <c r="R25" s="196">
        <f t="shared" si="2"/>
        <v>3.7172023809523811</v>
      </c>
      <c r="S25" s="196">
        <f t="shared" si="3"/>
        <v>21.106390190397043</v>
      </c>
      <c r="T25" s="49">
        <f t="shared" si="4"/>
        <v>0.91749999999999976</v>
      </c>
      <c r="U25" s="49">
        <f t="shared" si="5"/>
        <v>0.84350476190476176</v>
      </c>
      <c r="V25" s="196">
        <f t="shared" ca="1" si="6"/>
        <v>18.205001318176702</v>
      </c>
      <c r="W25" s="196">
        <f t="shared" ca="1" si="7"/>
        <v>19.925954016001061</v>
      </c>
      <c r="X25" s="83">
        <f t="shared" si="8"/>
        <v>4.5414940047521899</v>
      </c>
      <c r="Y25" s="83">
        <f t="shared" si="9"/>
        <v>6.8312065277279563</v>
      </c>
      <c r="Z25" s="83">
        <f t="shared" si="10"/>
        <v>4.5414940047521899</v>
      </c>
      <c r="AA25" s="83">
        <f t="shared" si="11"/>
        <v>5.0970826223473926</v>
      </c>
      <c r="AB25" s="83">
        <f t="shared" si="12"/>
        <v>9.8780670975724654</v>
      </c>
      <c r="AC25" s="83">
        <f t="shared" si="13"/>
        <v>2.5485413111736963</v>
      </c>
      <c r="AD25" s="83">
        <f t="shared" si="14"/>
        <v>2.8537266358889126</v>
      </c>
      <c r="AE25" s="83">
        <f t="shared" si="15"/>
        <v>3.7339093628823918</v>
      </c>
      <c r="AF25" s="83">
        <f t="shared" si="16"/>
        <v>7.1418425115448922</v>
      </c>
      <c r="AG25" s="83">
        <f t="shared" si="17"/>
        <v>1.8669546814411959</v>
      </c>
      <c r="AH25" s="83">
        <f t="shared" si="18"/>
        <v>4.6163224992320648</v>
      </c>
      <c r="AI25" s="83">
        <f t="shared" si="19"/>
        <v>9.0878217297666684</v>
      </c>
      <c r="AJ25" s="83">
        <f t="shared" si="20"/>
        <v>4.0895197783950001</v>
      </c>
      <c r="AK25" s="83">
        <f t="shared" si="21"/>
        <v>2.0024048243422206</v>
      </c>
      <c r="AL25" s="83">
        <f t="shared" si="22"/>
        <v>6.9269034533726055</v>
      </c>
      <c r="AM25" s="83">
        <f t="shared" si="23"/>
        <v>7.4480625915696388</v>
      </c>
      <c r="AN25" s="83">
        <f t="shared" si="24"/>
        <v>6.9936715050813048</v>
      </c>
      <c r="AO25" s="83">
        <f t="shared" si="25"/>
        <v>3.6807548243422192</v>
      </c>
      <c r="AP25" s="83">
        <f t="shared" si="26"/>
        <v>1.9462033241008694</v>
      </c>
      <c r="AQ25" s="83">
        <f t="shared" si="27"/>
        <v>2.667078116344566</v>
      </c>
      <c r="AR25" s="83">
        <f t="shared" si="28"/>
        <v>5.8675718559580439</v>
      </c>
      <c r="AS25" s="83">
        <f t="shared" si="29"/>
        <v>1.333539058172283</v>
      </c>
      <c r="AT25" s="83">
        <f t="shared" si="30"/>
        <v>11.318982959156022</v>
      </c>
      <c r="AU25" s="83">
        <f t="shared" si="31"/>
        <v>1.6887582464939439</v>
      </c>
      <c r="AV25" s="83">
        <f t="shared" si="32"/>
        <v>3.28720127863635</v>
      </c>
      <c r="AW25" s="83">
        <f t="shared" si="33"/>
        <v>0.84437912324697195</v>
      </c>
      <c r="AX25" s="83">
        <f t="shared" si="34"/>
        <v>1.8669546814411959</v>
      </c>
      <c r="AY25" s="83">
        <f t="shared" si="35"/>
        <v>3.9512268390289864</v>
      </c>
      <c r="AZ25" s="83">
        <f t="shared" si="36"/>
        <v>0.93347734072059796</v>
      </c>
      <c r="BA25" s="83">
        <f t="shared" si="37"/>
        <v>11.990448049953415</v>
      </c>
      <c r="BB25" s="83">
        <f t="shared" si="38"/>
        <v>3.2865833566382139</v>
      </c>
      <c r="BC25" s="83">
        <f t="shared" si="39"/>
        <v>6.5277368755243321</v>
      </c>
      <c r="BD25" s="83">
        <f t="shared" si="40"/>
        <v>1.6432916783191069</v>
      </c>
      <c r="BE25" s="83">
        <f t="shared" si="41"/>
        <v>2.8745175253935873</v>
      </c>
      <c r="BF25" s="83">
        <f t="shared" si="42"/>
        <v>3.4375673499552177</v>
      </c>
      <c r="BG25" s="83">
        <f t="shared" si="43"/>
        <v>10.563584732008959</v>
      </c>
      <c r="BH25" s="83">
        <f t="shared" si="44"/>
        <v>10.853968316408583</v>
      </c>
      <c r="BI25" s="83">
        <f t="shared" si="45"/>
        <v>3.1306979800387729</v>
      </c>
      <c r="BJ25" s="83">
        <f t="shared" si="46"/>
        <v>4.7908625423226452</v>
      </c>
      <c r="BK25" s="83">
        <f t="shared" si="47"/>
        <v>2.607809713759131</v>
      </c>
      <c r="BL25" s="83">
        <f t="shared" si="48"/>
        <v>4.5683607070322507</v>
      </c>
      <c r="BM25" s="83">
        <f t="shared" si="49"/>
        <v>10.539321595659283</v>
      </c>
      <c r="BN25" s="83">
        <f t="shared" si="50"/>
        <v>0.67550329859757752</v>
      </c>
      <c r="BO25" s="83">
        <f t="shared" si="51"/>
        <v>1.7780520775630437</v>
      </c>
      <c r="BP25" s="83">
        <f t="shared" si="52"/>
        <v>0.67170856263492773</v>
      </c>
      <c r="BQ25" s="83">
        <f t="shared" si="53"/>
        <v>3.6570866552357915</v>
      </c>
      <c r="BR25" s="83">
        <f t="shared" si="54"/>
        <v>15.495716192240089</v>
      </c>
      <c r="BS25" s="83">
        <f t="shared" si="55"/>
        <v>1.753710486743711</v>
      </c>
      <c r="BT25" s="83">
        <f t="shared" si="56"/>
        <v>2.8053710557105798</v>
      </c>
      <c r="BU25" s="83">
        <f t="shared" si="57"/>
        <v>2.4102483718076817</v>
      </c>
      <c r="BV25" s="83">
        <f t="shared" si="58"/>
        <v>5.4556538627288038</v>
      </c>
      <c r="BW25" s="83">
        <f t="shared" si="59"/>
        <v>13.347976439348383</v>
      </c>
      <c r="BX25" s="83">
        <f t="shared" si="60"/>
        <v>1.5718442140443631</v>
      </c>
      <c r="BY25" s="83">
        <f t="shared" si="61"/>
        <v>2.8053710557105798</v>
      </c>
      <c r="BZ25" s="83">
        <f t="shared" si="62"/>
        <v>2.4102483718076817</v>
      </c>
      <c r="CA25" s="83">
        <f t="shared" si="63"/>
        <v>7.5659727195206044</v>
      </c>
      <c r="CB25" s="83">
        <f t="shared" si="64"/>
        <v>10.777031004708304</v>
      </c>
      <c r="CC25" s="83">
        <f t="shared" si="65"/>
        <v>1.9225863113931052</v>
      </c>
      <c r="CD25" s="83">
        <f t="shared" si="66"/>
        <v>4.8681219082810863</v>
      </c>
      <c r="CE25" s="83">
        <f t="shared" si="67"/>
        <v>6.2127834340257282</v>
      </c>
      <c r="CF25" s="83">
        <f t="shared" si="68"/>
        <v>12.878244504247544</v>
      </c>
      <c r="CG25" s="83">
        <f t="shared" si="69"/>
        <v>6.2127834340257282</v>
      </c>
      <c r="CH25" s="83">
        <f t="shared" si="70"/>
        <v>6.9156391351209763</v>
      </c>
      <c r="CI25" s="83">
        <f t="shared" si="71"/>
        <v>14.783923380386224</v>
      </c>
      <c r="CJ25" s="83">
        <f t="shared" si="72"/>
        <v>6.9156391351209763</v>
      </c>
      <c r="CK25" s="83">
        <f t="shared" si="73"/>
        <v>2.9976120124883536</v>
      </c>
    </row>
    <row r="26" spans="1:89" x14ac:dyDescent="0.25">
      <c r="A26" t="str">
        <f>Plantilla!D27</f>
        <v>P .Trivadi</v>
      </c>
      <c r="B26" s="320">
        <f>Plantilla!E27</f>
        <v>32</v>
      </c>
      <c r="C26" s="115">
        <f ca="1">Plantilla!F27</f>
        <v>22</v>
      </c>
      <c r="D26" s="320">
        <f>Plantilla!G27</f>
        <v>0</v>
      </c>
      <c r="E26" s="265">
        <v>36526</v>
      </c>
      <c r="F26" s="115">
        <f>Plantilla!Q27</f>
        <v>5</v>
      </c>
      <c r="G26" s="142">
        <f t="shared" si="0"/>
        <v>0.84515425472851657</v>
      </c>
      <c r="H26" s="142">
        <f t="shared" si="1"/>
        <v>0.92504826128926143</v>
      </c>
      <c r="I26" s="195">
        <f>Plantilla!P27</f>
        <v>1.5</v>
      </c>
      <c r="J26" s="196">
        <f>Plantilla!I27</f>
        <v>6.2</v>
      </c>
      <c r="K26" s="49">
        <f>Plantilla!X27</f>
        <v>0</v>
      </c>
      <c r="L26" s="49">
        <f>Plantilla!Y27</f>
        <v>4.0199999999999996</v>
      </c>
      <c r="M26" s="49">
        <f>Plantilla!Z27</f>
        <v>6</v>
      </c>
      <c r="N26" s="49">
        <f>Plantilla!AA27</f>
        <v>5.5099999999999989</v>
      </c>
      <c r="O26" s="49">
        <f>Plantilla!AB27</f>
        <v>10.95</v>
      </c>
      <c r="P26" s="49">
        <f>Plantilla!AC27</f>
        <v>7.95</v>
      </c>
      <c r="Q26" s="49">
        <f>Plantilla!AD27</f>
        <v>14</v>
      </c>
      <c r="R26" s="196">
        <f t="shared" si="2"/>
        <v>3.6149999999999998</v>
      </c>
      <c r="S26" s="196">
        <f t="shared" si="3"/>
        <v>18.946914178388191</v>
      </c>
      <c r="T26" s="49">
        <f t="shared" si="4"/>
        <v>0.81750000000000012</v>
      </c>
      <c r="U26" s="49">
        <f t="shared" si="5"/>
        <v>0.58079999999999998</v>
      </c>
      <c r="V26" s="196">
        <f t="shared" ca="1" si="6"/>
        <v>13.57023809798237</v>
      </c>
      <c r="W26" s="196">
        <f t="shared" ca="1" si="7"/>
        <v>14.85305799217948</v>
      </c>
      <c r="X26" s="83">
        <f t="shared" si="8"/>
        <v>3.3413639265759674</v>
      </c>
      <c r="Y26" s="83">
        <f t="shared" si="9"/>
        <v>5.0089702281896606</v>
      </c>
      <c r="Z26" s="83">
        <f t="shared" si="10"/>
        <v>3.3413639265759674</v>
      </c>
      <c r="AA26" s="83">
        <f t="shared" si="11"/>
        <v>3.3934854823747984</v>
      </c>
      <c r="AB26" s="83">
        <f t="shared" si="12"/>
        <v>6.5765222526643381</v>
      </c>
      <c r="AC26" s="83">
        <f t="shared" si="13"/>
        <v>1.6967427411873992</v>
      </c>
      <c r="AD26" s="83">
        <f t="shared" si="14"/>
        <v>2.0364522961341125</v>
      </c>
      <c r="AE26" s="83">
        <f t="shared" si="15"/>
        <v>2.4859254115071199</v>
      </c>
      <c r="AF26" s="83">
        <f t="shared" si="16"/>
        <v>4.754825588676316</v>
      </c>
      <c r="AG26" s="83">
        <f t="shared" si="17"/>
        <v>1.2429627057535599</v>
      </c>
      <c r="AH26" s="83">
        <f t="shared" si="18"/>
        <v>3.2942610672757704</v>
      </c>
      <c r="AI26" s="83">
        <f t="shared" si="19"/>
        <v>6.0504004724511917</v>
      </c>
      <c r="AJ26" s="83">
        <f t="shared" si="20"/>
        <v>2.7226802126030361</v>
      </c>
      <c r="AK26" s="83">
        <f t="shared" si="21"/>
        <v>1.4289392161949446</v>
      </c>
      <c r="AL26" s="83">
        <f t="shared" si="22"/>
        <v>4.7431150845666306</v>
      </c>
      <c r="AM26" s="83">
        <f t="shared" si="23"/>
        <v>4.9586977785089106</v>
      </c>
      <c r="AN26" s="83">
        <f t="shared" si="24"/>
        <v>4.6561777548863512</v>
      </c>
      <c r="AO26" s="83">
        <f t="shared" si="25"/>
        <v>2.7649392161949442</v>
      </c>
      <c r="AP26" s="83">
        <f t="shared" si="26"/>
        <v>1.7773984087673294</v>
      </c>
      <c r="AQ26" s="83">
        <f t="shared" si="27"/>
        <v>1.7756610082193713</v>
      </c>
      <c r="AR26" s="83">
        <f t="shared" si="28"/>
        <v>3.9064542180826165</v>
      </c>
      <c r="AS26" s="83">
        <f t="shared" si="29"/>
        <v>0.88783050410968567</v>
      </c>
      <c r="AT26" s="83">
        <f t="shared" si="30"/>
        <v>8.0773570065151343</v>
      </c>
      <c r="AU26" s="83">
        <f t="shared" si="31"/>
        <v>1.7558478928463639</v>
      </c>
      <c r="AV26" s="83">
        <f t="shared" si="32"/>
        <v>3.4384110200306508</v>
      </c>
      <c r="AW26" s="83">
        <f t="shared" si="33"/>
        <v>0.87792394642318194</v>
      </c>
      <c r="AX26" s="83">
        <f t="shared" si="34"/>
        <v>1.2429627057535599</v>
      </c>
      <c r="AY26" s="83">
        <f t="shared" si="35"/>
        <v>2.6306089010657354</v>
      </c>
      <c r="AZ26" s="83">
        <f t="shared" si="36"/>
        <v>0.62148135287677997</v>
      </c>
      <c r="BA26" s="83">
        <f t="shared" si="37"/>
        <v>8.5565222526643385</v>
      </c>
      <c r="BB26" s="83">
        <f t="shared" si="38"/>
        <v>3.4171501299240776</v>
      </c>
      <c r="BC26" s="83">
        <f t="shared" si="39"/>
        <v>6.8120937612180503</v>
      </c>
      <c r="BD26" s="83">
        <f t="shared" si="40"/>
        <v>1.7085750649620388</v>
      </c>
      <c r="BE26" s="83">
        <f t="shared" si="41"/>
        <v>1.9137679755253223</v>
      </c>
      <c r="BF26" s="83">
        <f t="shared" si="42"/>
        <v>2.2886297439271894</v>
      </c>
      <c r="BG26" s="83">
        <f t="shared" si="43"/>
        <v>7.5382961045972827</v>
      </c>
      <c r="BH26" s="83">
        <f t="shared" si="44"/>
        <v>8.8847382826185957</v>
      </c>
      <c r="BI26" s="83">
        <f t="shared" si="45"/>
        <v>3.2550718628921054</v>
      </c>
      <c r="BJ26" s="83">
        <f t="shared" si="46"/>
        <v>3.1896132925422038</v>
      </c>
      <c r="BK26" s="83">
        <f t="shared" si="47"/>
        <v>1.7362018747033854</v>
      </c>
      <c r="BL26" s="83">
        <f t="shared" si="48"/>
        <v>3.260034978265113</v>
      </c>
      <c r="BM26" s="83">
        <f t="shared" si="49"/>
        <v>8.143580448828633</v>
      </c>
      <c r="BN26" s="83">
        <f t="shared" si="50"/>
        <v>0.70233915713854556</v>
      </c>
      <c r="BO26" s="83">
        <f t="shared" si="51"/>
        <v>1.1837740054795809</v>
      </c>
      <c r="BP26" s="83">
        <f t="shared" si="52"/>
        <v>0.44720351318117502</v>
      </c>
      <c r="BQ26" s="83">
        <f t="shared" si="53"/>
        <v>2.6097392870626233</v>
      </c>
      <c r="BR26" s="83">
        <f t="shared" si="54"/>
        <v>11.929387616926338</v>
      </c>
      <c r="BS26" s="83">
        <f t="shared" si="55"/>
        <v>1.8233805041096858</v>
      </c>
      <c r="BT26" s="83">
        <f t="shared" si="56"/>
        <v>1.8677323197566718</v>
      </c>
      <c r="BU26" s="83">
        <f t="shared" si="57"/>
        <v>1.6046714296500986</v>
      </c>
      <c r="BV26" s="83">
        <f t="shared" si="58"/>
        <v>3.8932176249622743</v>
      </c>
      <c r="BW26" s="83">
        <f t="shared" si="59"/>
        <v>10.265066655952086</v>
      </c>
      <c r="BX26" s="83">
        <f t="shared" si="60"/>
        <v>1.6342891925723848</v>
      </c>
      <c r="BY26" s="83">
        <f t="shared" si="61"/>
        <v>1.8677323197566718</v>
      </c>
      <c r="BZ26" s="83">
        <f t="shared" si="62"/>
        <v>1.6046714296500986</v>
      </c>
      <c r="CA26" s="83">
        <f t="shared" si="63"/>
        <v>5.3991655414311976</v>
      </c>
      <c r="CB26" s="83">
        <f t="shared" si="64"/>
        <v>8.269457416134582</v>
      </c>
      <c r="CC26" s="83">
        <f t="shared" si="65"/>
        <v>1.9989652933943218</v>
      </c>
      <c r="CD26" s="83">
        <f t="shared" si="66"/>
        <v>3.4739480345817215</v>
      </c>
      <c r="CE26" s="83">
        <f t="shared" si="67"/>
        <v>5.87253809363812</v>
      </c>
      <c r="CF26" s="83">
        <f t="shared" si="68"/>
        <v>13.459344056500044</v>
      </c>
      <c r="CG26" s="83">
        <f t="shared" si="69"/>
        <v>5.87253809363812</v>
      </c>
      <c r="CH26" s="83">
        <f t="shared" si="70"/>
        <v>6.302323363409883</v>
      </c>
      <c r="CI26" s="83">
        <f t="shared" si="71"/>
        <v>15.490428963897479</v>
      </c>
      <c r="CJ26" s="83">
        <f t="shared" si="72"/>
        <v>6.302323363409883</v>
      </c>
      <c r="CK26" s="83">
        <f t="shared" si="73"/>
        <v>2.1391305631660846</v>
      </c>
    </row>
    <row r="27" spans="1:89" x14ac:dyDescent="0.25">
      <c r="D27" s="186"/>
    </row>
    <row r="28" spans="1:89" ht="18.75" x14ac:dyDescent="0.3">
      <c r="A28" s="171" t="s">
        <v>280</v>
      </c>
      <c r="B28" s="171" t="s">
        <v>69</v>
      </c>
      <c r="C28" s="171"/>
      <c r="D28" s="172"/>
      <c r="L28" s="45"/>
      <c r="M28" s="45"/>
    </row>
    <row r="29" spans="1:89" x14ac:dyDescent="0.25">
      <c r="A29" s="77" t="s">
        <v>285</v>
      </c>
      <c r="B29" s="173">
        <v>1</v>
      </c>
      <c r="C29" s="197">
        <v>0.624</v>
      </c>
      <c r="D29" s="198">
        <v>0.245</v>
      </c>
    </row>
    <row r="30" spans="1:89" x14ac:dyDescent="0.25">
      <c r="A30" s="77" t="s">
        <v>286</v>
      </c>
      <c r="B30" s="173">
        <v>1</v>
      </c>
      <c r="C30" s="197">
        <v>1.002</v>
      </c>
      <c r="D30" s="198">
        <v>0.34</v>
      </c>
    </row>
    <row r="31" spans="1:89" x14ac:dyDescent="0.25">
      <c r="A31" s="77" t="s">
        <v>287</v>
      </c>
      <c r="B31" s="173">
        <v>1</v>
      </c>
      <c r="C31" s="197">
        <v>0.46800000000000003</v>
      </c>
      <c r="D31" s="198">
        <v>0.125</v>
      </c>
    </row>
    <row r="32" spans="1:89" x14ac:dyDescent="0.25">
      <c r="A32" s="77" t="s">
        <v>288</v>
      </c>
      <c r="B32" s="173">
        <v>1</v>
      </c>
      <c r="C32" s="197">
        <v>0.877</v>
      </c>
      <c r="D32" s="198">
        <v>0.25</v>
      </c>
    </row>
    <row r="33" spans="1:85" x14ac:dyDescent="0.25">
      <c r="A33" s="77" t="s">
        <v>289</v>
      </c>
      <c r="B33" s="173">
        <v>1</v>
      </c>
      <c r="C33" s="197">
        <v>0.59299999999999997</v>
      </c>
      <c r="D33" s="198">
        <v>0.19</v>
      </c>
    </row>
    <row r="35" spans="1:85" ht="15.75" x14ac:dyDescent="0.25">
      <c r="A35" s="687" t="s">
        <v>446</v>
      </c>
      <c r="B35" s="687"/>
      <c r="C35" s="687"/>
      <c r="D35" s="687"/>
      <c r="E35" s="687"/>
    </row>
    <row r="36" spans="1:85" x14ac:dyDescent="0.25">
      <c r="A36" s="187" t="s">
        <v>71</v>
      </c>
      <c r="B36" s="187" t="s">
        <v>313</v>
      </c>
      <c r="C36" s="187" t="s">
        <v>61</v>
      </c>
      <c r="D36" s="188" t="s">
        <v>314</v>
      </c>
      <c r="E36" s="187" t="s">
        <v>315</v>
      </c>
      <c r="F36" s="190" t="s">
        <v>319</v>
      </c>
      <c r="G36" s="191" t="s">
        <v>320</v>
      </c>
      <c r="H36" s="191" t="s">
        <v>1</v>
      </c>
      <c r="I36" s="191" t="s">
        <v>2</v>
      </c>
      <c r="J36" s="191" t="s">
        <v>321</v>
      </c>
      <c r="K36" s="191" t="s">
        <v>63</v>
      </c>
      <c r="L36" s="191" t="s">
        <v>262</v>
      </c>
      <c r="M36" s="191" t="s">
        <v>322</v>
      </c>
      <c r="N36" s="191" t="s">
        <v>0</v>
      </c>
      <c r="O36" s="192" t="s">
        <v>257</v>
      </c>
      <c r="P36" s="192" t="s">
        <v>367</v>
      </c>
      <c r="Q36" s="192" t="s">
        <v>323</v>
      </c>
      <c r="R36" s="192" t="s">
        <v>324</v>
      </c>
      <c r="S36" s="192" t="s">
        <v>265</v>
      </c>
      <c r="T36" s="193" t="s">
        <v>325</v>
      </c>
      <c r="U36" s="193" t="s">
        <v>326</v>
      </c>
      <c r="V36" s="193" t="s">
        <v>325</v>
      </c>
      <c r="W36" s="194" t="s">
        <v>325</v>
      </c>
      <c r="X36" s="194" t="s">
        <v>326</v>
      </c>
      <c r="Y36" s="194" t="s">
        <v>325</v>
      </c>
      <c r="Z36" s="194" t="s">
        <v>62</v>
      </c>
      <c r="AA36" s="194" t="s">
        <v>325</v>
      </c>
      <c r="AB36" s="194" t="s">
        <v>326</v>
      </c>
      <c r="AC36" s="194" t="s">
        <v>325</v>
      </c>
      <c r="AD36" s="194" t="s">
        <v>62</v>
      </c>
      <c r="AE36" s="193" t="s">
        <v>325</v>
      </c>
      <c r="AF36" s="193" t="s">
        <v>326</v>
      </c>
      <c r="AG36" s="193" t="s">
        <v>62</v>
      </c>
      <c r="AH36" s="193" t="s">
        <v>327</v>
      </c>
      <c r="AI36" s="193" t="s">
        <v>325</v>
      </c>
      <c r="AJ36" s="193" t="s">
        <v>326</v>
      </c>
      <c r="AK36" s="193" t="s">
        <v>62</v>
      </c>
      <c r="AL36" s="193" t="s">
        <v>327</v>
      </c>
      <c r="AM36" s="193" t="s">
        <v>325</v>
      </c>
      <c r="AN36" s="193" t="s">
        <v>326</v>
      </c>
      <c r="AO36" s="193" t="s">
        <v>325</v>
      </c>
      <c r="AP36" s="193" t="s">
        <v>62</v>
      </c>
      <c r="AQ36" s="193" t="s">
        <v>327</v>
      </c>
      <c r="AR36" s="193" t="s">
        <v>328</v>
      </c>
      <c r="AS36" s="193" t="s">
        <v>327</v>
      </c>
      <c r="AT36" s="193" t="s">
        <v>325</v>
      </c>
      <c r="AU36" s="193" t="s">
        <v>326</v>
      </c>
      <c r="AV36" s="193" t="s">
        <v>325</v>
      </c>
      <c r="AW36" s="193" t="s">
        <v>62</v>
      </c>
      <c r="AX36" s="193" t="s">
        <v>327</v>
      </c>
      <c r="AY36" s="193" t="s">
        <v>328</v>
      </c>
      <c r="AZ36" s="193" t="s">
        <v>327</v>
      </c>
      <c r="BA36" s="194" t="s">
        <v>325</v>
      </c>
      <c r="BB36" s="194" t="s">
        <v>326</v>
      </c>
      <c r="BC36" s="194" t="s">
        <v>62</v>
      </c>
      <c r="BD36" s="194" t="s">
        <v>327</v>
      </c>
      <c r="BE36" s="194" t="s">
        <v>328</v>
      </c>
      <c r="BF36" s="194" t="s">
        <v>325</v>
      </c>
      <c r="BG36" s="194" t="s">
        <v>326</v>
      </c>
      <c r="BH36" s="194" t="s">
        <v>62</v>
      </c>
      <c r="BI36" s="194" t="s">
        <v>327</v>
      </c>
      <c r="BJ36" s="194" t="s">
        <v>328</v>
      </c>
      <c r="BK36" s="193" t="s">
        <v>325</v>
      </c>
      <c r="BL36" s="193" t="s">
        <v>326</v>
      </c>
      <c r="BM36" s="193" t="s">
        <v>62</v>
      </c>
      <c r="BN36" s="193" t="s">
        <v>327</v>
      </c>
      <c r="BO36" s="193" t="s">
        <v>328</v>
      </c>
      <c r="BP36" s="193" t="s">
        <v>325</v>
      </c>
      <c r="BQ36" s="193" t="s">
        <v>326</v>
      </c>
      <c r="BR36" s="193" t="s">
        <v>62</v>
      </c>
      <c r="BS36" s="193" t="s">
        <v>327</v>
      </c>
      <c r="BT36" s="193" t="s">
        <v>328</v>
      </c>
      <c r="BU36" s="193" t="s">
        <v>325</v>
      </c>
      <c r="BV36" s="193" t="s">
        <v>326</v>
      </c>
      <c r="BW36" s="193" t="s">
        <v>62</v>
      </c>
      <c r="BX36" s="193" t="s">
        <v>327</v>
      </c>
      <c r="BY36" s="193" t="s">
        <v>328</v>
      </c>
      <c r="BZ36" s="194" t="s">
        <v>62</v>
      </c>
      <c r="CA36" s="194" t="s">
        <v>327</v>
      </c>
      <c r="CB36" s="194" t="s">
        <v>328</v>
      </c>
      <c r="CC36" s="194" t="s">
        <v>327</v>
      </c>
      <c r="CD36" s="193" t="s">
        <v>327</v>
      </c>
      <c r="CE36" s="193" t="s">
        <v>328</v>
      </c>
      <c r="CF36" s="193" t="s">
        <v>327</v>
      </c>
      <c r="CG36" s="193" t="s">
        <v>62</v>
      </c>
    </row>
    <row r="37" spans="1:85" x14ac:dyDescent="0.25">
      <c r="A37" t="str">
        <f>A3</f>
        <v>D. Gehmacher</v>
      </c>
      <c r="B37">
        <f t="shared" ref="B37:E37" si="74">B3</f>
        <v>35</v>
      </c>
      <c r="C37">
        <f t="shared" ca="1" si="74"/>
        <v>19</v>
      </c>
      <c r="D37">
        <f t="shared" si="74"/>
        <v>0</v>
      </c>
      <c r="E37" s="265">
        <f t="shared" si="74"/>
        <v>42468</v>
      </c>
      <c r="F37" s="195">
        <f ca="1">I3</f>
        <v>1</v>
      </c>
      <c r="G37" s="196">
        <f>J3</f>
        <v>23.7</v>
      </c>
      <c r="H37" s="49">
        <f>K3</f>
        <v>16.666666666666668</v>
      </c>
      <c r="I37" s="49">
        <f t="shared" ref="I37:N37" si="75">L3</f>
        <v>11.95</v>
      </c>
      <c r="J37" s="49">
        <f t="shared" si="75"/>
        <v>2.0699999999999985</v>
      </c>
      <c r="K37" s="49">
        <f t="shared" si="75"/>
        <v>2.149999999999999</v>
      </c>
      <c r="L37" s="49">
        <f t="shared" si="75"/>
        <v>0.95</v>
      </c>
      <c r="M37" s="49">
        <f t="shared" si="75"/>
        <v>0</v>
      </c>
      <c r="N37" s="49">
        <f t="shared" si="75"/>
        <v>18.2</v>
      </c>
      <c r="O37" s="196">
        <f>((2*(L37+1))+(I37+1))/8</f>
        <v>2.1062499999999997</v>
      </c>
      <c r="P37" s="196">
        <f ca="1">1.66*(M37+(LOG(G37)*4/3)+F37)+0.55*(N37+(LOG(G37)*4/3)+F37)-7.6</f>
        <v>8.6709251262431071</v>
      </c>
      <c r="Q37" s="196">
        <f>(0.5*M37+ 0.3*N37)/10</f>
        <v>0.54600000000000004</v>
      </c>
      <c r="R37" s="196">
        <f>(0.4*I37+0.3*N37)/10</f>
        <v>1.024</v>
      </c>
      <c r="S37" s="196">
        <f ca="1">IF(TODAY()-E37&gt;335,(N37+1+(LOG(G37)*4/3)),(N37+((TODAY()-E37)^0.5)/(336^0.5)+(LOG(G37)*4/3)))</f>
        <v>21.032997794680139</v>
      </c>
      <c r="T37" s="83">
        <f ca="1">((H37+F37+(LOG(G37)*4/3))*0.597)+((I37+F37+(LOG(G37)*4/3))*0.276)</f>
        <v>15.721407074755762</v>
      </c>
      <c r="U37" s="83">
        <f ca="1">((H37+F37+(LOG(G37)*4/3))*0.866)+((I37+F37+(LOG(G37)*4/3))*0.425)</f>
        <v>23.169483486265392</v>
      </c>
      <c r="V37" s="83">
        <f ca="1">T37</f>
        <v>15.721407074755762</v>
      </c>
      <c r="W37" s="83">
        <f ca="1">((I37+F37+(LOG(G37)*4/3))*0.516)</f>
        <v>7.6280268620549521</v>
      </c>
      <c r="X37" s="83">
        <f ca="1">(I37+F37+(LOG(G37)*4/3))*1</f>
        <v>14.782997794680139</v>
      </c>
      <c r="Y37" s="83">
        <f ca="1">W37/2</f>
        <v>3.814013431027476</v>
      </c>
      <c r="Z37" s="83">
        <f ca="1">(J37+F37+(LOG(G37)*4/3))*0.238</f>
        <v>1.1669134751338726</v>
      </c>
      <c r="AA37" s="83">
        <f ca="1">((I37+F37+(LOG(G37)*4/3))*0.378)</f>
        <v>5.5879731663890926</v>
      </c>
      <c r="AB37" s="83">
        <f ca="1">(I37+F37+(LOG(G37)*4/3))*0.723</f>
        <v>10.68810740555374</v>
      </c>
      <c r="AC37" s="83">
        <f ca="1">AA37/2</f>
        <v>2.7939865831945463</v>
      </c>
      <c r="AD37" s="83">
        <f ca="1">(J37+F37+(LOG(G37)*4/3))*0.385</f>
        <v>1.8876541509518527</v>
      </c>
      <c r="AE37" s="327">
        <f ca="1">((I37+F37+(LOG(G37)*4/3))*0.92)</f>
        <v>13.600357971105728</v>
      </c>
      <c r="AF37" s="83">
        <f ca="1">(I37+F37+(LOG(G37)*4/3))*0.414</f>
        <v>6.1201610869975767</v>
      </c>
      <c r="AG37" s="83">
        <f ca="1">((J37+F37+(LOG(G37)*4/3))*0.167)</f>
        <v>0.8188006317115829</v>
      </c>
      <c r="AH37" s="327">
        <f ca="1">(K37+F37+(LOG(G37)*4/3))*0.588</f>
        <v>2.9300027032719207</v>
      </c>
      <c r="AI37" s="83">
        <f ca="1">((I37+F37+(LOG(G37)*4/3))*0.754)</f>
        <v>11.146380337188825</v>
      </c>
      <c r="AJ37" s="83">
        <f ca="1">((I37+F37+(LOG(G37)*4/3))*0.708)</f>
        <v>10.466362438633537</v>
      </c>
      <c r="AK37" s="83">
        <f ca="1">((N37+F37+(LOG(G37)*4/3))*0.167)</f>
        <v>3.5125106317115833</v>
      </c>
      <c r="AL37" s="83">
        <f ca="1">((O37+F37+(LOG(G37)*4/3))*0.288)</f>
        <v>1.4225033648678798</v>
      </c>
      <c r="AM37" s="83">
        <f ca="1">((I37+F37+(LOG(G37)*4/3))*0.27)</f>
        <v>3.9914094045636377</v>
      </c>
      <c r="AN37" s="83">
        <f ca="1">((I37+F37+(LOG(G37)*4/3))*0.594)</f>
        <v>8.7811006900400024</v>
      </c>
      <c r="AO37" s="83">
        <f ca="1">AM37/2</f>
        <v>1.9957047022818188</v>
      </c>
      <c r="AP37" s="83">
        <f ca="1">((J37+F37+(LOG(G37)*4/3))*0.944)</f>
        <v>4.6284299181780488</v>
      </c>
      <c r="AQ37" s="83">
        <f ca="1">((L37+F37+(LOG(G37)*4/3))*0.13)</f>
        <v>0.49178971330841803</v>
      </c>
      <c r="AR37" s="83">
        <f ca="1">((M37+F37+(LOG(G37)*4/3))*0.173)+((L37+F37+(LOG(G37)*4/3))*0.12)</f>
        <v>0.94406835384128052</v>
      </c>
      <c r="AS37" s="83">
        <f ca="1">AQ37/2</f>
        <v>0.24589485665420902</v>
      </c>
      <c r="AT37" s="83">
        <f ca="1">((I37+F37+(LOG(G37)*4/3))*0.189)</f>
        <v>2.7939865831945463</v>
      </c>
      <c r="AU37" s="83">
        <f ca="1">((I37+F37+(LOG(G37)*4/3))*0.4)</f>
        <v>5.9131991178720558</v>
      </c>
      <c r="AV37" s="83">
        <f ca="1">AT37/2</f>
        <v>1.3969932915972731</v>
      </c>
      <c r="AW37" s="83">
        <f ca="1">((J37+F37+(LOG(G37)*4/3))*1)</f>
        <v>4.9029977946801369</v>
      </c>
      <c r="AX37" s="83">
        <f ca="1">((L37+F37+(LOG(G37)*4/3))*0.253)</f>
        <v>0.95709844205407502</v>
      </c>
      <c r="AY37" s="83">
        <f ca="1">((M37+F37+(LOG(G37)*4/3))*0.21)+((L37+F37+(LOG(G37)*4/3))*0.341)</f>
        <v>1.8849317848687566</v>
      </c>
      <c r="AZ37" s="83">
        <f ca="1">AX37/2</f>
        <v>0.47854922102703751</v>
      </c>
      <c r="BA37" s="83">
        <f ca="1">((I37+F37+(LOG(G37)*4/3))*0.291)</f>
        <v>4.3018523582519199</v>
      </c>
      <c r="BB37" s="83">
        <f ca="1">((I37+F37+(LOG(G37)*4/3))*0.348)</f>
        <v>5.144483232548688</v>
      </c>
      <c r="BC37" s="83">
        <f ca="1">((J37+F37+(LOG(G37)*4/3))*0.881)</f>
        <v>4.3195410571132005</v>
      </c>
      <c r="BD37" s="83">
        <f ca="1">((K37+F37+(LOG(G37)*4/3))*0.574)+((L37+F37+(LOG(G37)*4/3))*0.315)</f>
        <v>4.0518850394706423</v>
      </c>
      <c r="BE37" s="83">
        <f ca="1">((L37+F37+(LOG(G37)*4/3))*0.241)</f>
        <v>0.91170246851791337</v>
      </c>
      <c r="BF37" s="83">
        <f ca="1">((I37+F37+(LOG(G37)*4/3))*0.485)</f>
        <v>7.1697539304198674</v>
      </c>
      <c r="BG37" s="83">
        <f ca="1">((I37+F37+(LOG(G37)*4/3))*0.264)</f>
        <v>3.9027114177955569</v>
      </c>
      <c r="BH37" s="83">
        <f ca="1">((J37+F37+(LOG(G37)*4/3))*0.381)</f>
        <v>1.8680421597731323</v>
      </c>
      <c r="BI37" s="83">
        <f ca="1">((K37+F37+(LOG(G37)*4/3))*0.673)+((L37+F37+(LOG(G37)*4/3))*0.201)</f>
        <v>4.1139400725504407</v>
      </c>
      <c r="BJ37" s="83">
        <f ca="1">((L37+F37+(LOG(G37)*4/3))*0.052)</f>
        <v>0.1967158853233672</v>
      </c>
      <c r="BK37" s="83">
        <f ca="1">((I37+F37+(LOG(G37)*4/3))*0.18)</f>
        <v>2.6609396030424248</v>
      </c>
      <c r="BL37" s="83">
        <f ca="1">(I37+F37+(LOG(G37)*4/3))*0.068</f>
        <v>1.0052438500382495</v>
      </c>
      <c r="BM37" s="83">
        <f ca="1">((J37+F37+(LOG(G37)*4/3))*0.305)</f>
        <v>1.4954143273774416</v>
      </c>
      <c r="BN37" s="83">
        <f ca="1">((K37+F37+(LOG(G37)*4/3))*1)+((L37+F37+(LOG(G37)*4/3))*0.286)</f>
        <v>6.0649351639586575</v>
      </c>
      <c r="BO37" s="83">
        <f ca="1">((L37+F37+(LOG(G37)*4/3))*0.135)</f>
        <v>0.51070470228181875</v>
      </c>
      <c r="BP37" s="83">
        <f ca="1">((I37+F37+(LOG(G37)*4/3))*0.284)</f>
        <v>4.1983713736891586</v>
      </c>
      <c r="BQ37" s="83">
        <f ca="1">(I37+F37+(LOG(G37)*4/3))*0.244</f>
        <v>3.6070514619019538</v>
      </c>
      <c r="BR37" s="83">
        <f ca="1">((J37+F37+(LOG(G37)*4/3))*0.455)</f>
        <v>2.2308639965794623</v>
      </c>
      <c r="BS37" s="83">
        <f ca="1">((K37+F37+(LOG(G37)*4/3))*0.864)+((L37+F37+(LOG(G37)*4/3))*0.244)</f>
        <v>5.2283615565055932</v>
      </c>
      <c r="BT37" s="83">
        <f ca="1">((L37+F37+(LOG(G37)*4/3))*0.121)</f>
        <v>0.45774273315629677</v>
      </c>
      <c r="BU37" s="83">
        <f ca="1">((I37+F37+(LOG(G37)*4/3))*0.284)</f>
        <v>4.1983713736891586</v>
      </c>
      <c r="BV37" s="83">
        <f ca="1">((I37+F37+(LOG(G37)*4/3))*0.244)</f>
        <v>3.6070514619019538</v>
      </c>
      <c r="BW37" s="83">
        <f ca="1">((J37+F37+(LOG(G37)*4/3))*0.631)</f>
        <v>3.0937916084431665</v>
      </c>
      <c r="BX37" s="83">
        <f ca="1">((K37+F37+(LOG(G37)*4/3))*0.702)+((L37+F37+(LOG(G37)*4/3))*0.193)</f>
        <v>4.2281830262387228</v>
      </c>
      <c r="BY37" s="83">
        <f ca="1">((L37+F37+(LOG(G37)*4/3))*0.148)</f>
        <v>0.55988367361266045</v>
      </c>
      <c r="BZ37" s="83">
        <f ca="1">((J37+F37+(LOG(G37)*4/3))*0.406)</f>
        <v>1.9906171046401357</v>
      </c>
      <c r="CA37" s="83">
        <f ca="1">IF(D37="TEC",((K37+F37+(LOG(G37)*4/3))*0.15)+((L37+F37+(LOG(G37)*4/3))*0.324)+((M37+F37+(LOG(G37)*4/3))*0.127),(((K37+F37+(LOG(G37)*4/3))*0.144)+((L37+F37+(LOG(G37)*4/3))*0.25)+((M37+F37+(LOG(G37)*4/3))*0.127)))</f>
        <v>2.0230918510283522</v>
      </c>
      <c r="CB37" s="83">
        <f ca="1">((L37+F37+(LOG(G37)*4/3))*0.543)+((M37+F37+(LOG(G37)*4/3))*0.583)</f>
        <v>3.7058055168098356</v>
      </c>
      <c r="CC37" s="83">
        <f ca="1">CA37</f>
        <v>2.0230918510283522</v>
      </c>
      <c r="CD37" s="83">
        <f ca="1">((M37+1+(LOG(G37)*4/3))*0.26)+((K37+F37+(LOG(G37)*4/3))*0.221)+((L37+F37+(LOG(G37)*4/3))*0.142)</f>
        <v>2.375007626085726</v>
      </c>
      <c r="CE37" s="83">
        <f ca="1">((M37+F37+(LOG(G37)*4/3))*1)+((L37+F37+(LOG(G37)*4/3))*0.369)</f>
        <v>4.2289239809171093</v>
      </c>
      <c r="CF37" s="83">
        <f ca="1">CD37</f>
        <v>2.375007626085726</v>
      </c>
      <c r="CG37" s="83">
        <f ca="1">((J37+F37+(LOG(G37)*4/3))*0.25)</f>
        <v>1.2257494486700342</v>
      </c>
    </row>
    <row r="38" spans="1:85" x14ac:dyDescent="0.25">
      <c r="A38" t="str">
        <f t="shared" ref="A38:E38" si="76">A4</f>
        <v>T. Hammond</v>
      </c>
      <c r="B38">
        <f t="shared" si="76"/>
        <v>39</v>
      </c>
      <c r="C38">
        <f t="shared" ca="1" si="76"/>
        <v>28</v>
      </c>
      <c r="D38" t="str">
        <f t="shared" si="76"/>
        <v>CAB</v>
      </c>
      <c r="E38" s="265">
        <f t="shared" si="76"/>
        <v>36526</v>
      </c>
      <c r="F38" s="195">
        <f t="shared" ref="F38:F60" si="77">I4</f>
        <v>1.5</v>
      </c>
      <c r="G38" s="196">
        <f t="shared" ref="G38:H38" si="78">J4</f>
        <v>8.4</v>
      </c>
      <c r="H38" s="49">
        <f t="shared" si="78"/>
        <v>7.95</v>
      </c>
      <c r="I38" s="49">
        <f t="shared" ref="I38:I60" si="79">L4</f>
        <v>6.95</v>
      </c>
      <c r="J38" s="49">
        <f t="shared" ref="J38:J60" si="80">M4</f>
        <v>0.95</v>
      </c>
      <c r="K38" s="49">
        <f t="shared" ref="K38:K60" si="81">N4</f>
        <v>0.95</v>
      </c>
      <c r="L38" s="49">
        <f t="shared" ref="L38:L60" si="82">O4</f>
        <v>1.95</v>
      </c>
      <c r="M38" s="49">
        <f t="shared" ref="M38:M60" si="83">P4</f>
        <v>0</v>
      </c>
      <c r="N38" s="49">
        <f t="shared" ref="N38:N60" si="84">Q4</f>
        <v>14.95</v>
      </c>
      <c r="O38" s="196">
        <f t="shared" ref="O38:O60" si="85">((2*(L38+1))+(I38+1))/8</f>
        <v>1.7312500000000002</v>
      </c>
      <c r="P38" s="196">
        <f t="shared" ref="P38:P60" si="86">1.66*(M38+(LOG(G38)*4/3)+F38)+0.55*(N38+(LOG(G38)*4/3)+F38)-7.6</f>
        <v>6.6610429629290131</v>
      </c>
      <c r="Q38" s="196">
        <f t="shared" ref="Q38:Q60" si="87">(0.5*M38+ 0.3*N38)/10</f>
        <v>0.44849999999999995</v>
      </c>
      <c r="R38" s="196">
        <f t="shared" ref="R38:R60" si="88">(0.4*I38+0.3*N38)/10</f>
        <v>0.72649999999999992</v>
      </c>
      <c r="S38" s="196">
        <f t="shared" ref="S38:S60" ca="1" si="89">IF(TODAY()-E38&gt;335,(N38+1+(LOG(G38)*4/3)),(N38+((TODAY()-E38)^0.5)/(336^0.5)+(LOG(G38)*4/3)))</f>
        <v>17.182372381415842</v>
      </c>
      <c r="T38" s="83">
        <f t="shared" ref="T38:T60" si="90">((H38+F38+(LOG(G38)*4/3))*0.597)+((I38+F38+(LOG(G38)*4/3))*0.276)</f>
        <v>9.0497110889760286</v>
      </c>
      <c r="U38" s="83">
        <f t="shared" ref="U38:U60" si="91">((H38+F38+(LOG(G38)*4/3))*0.866)+((I38+F38+(LOG(G38)*4/3))*0.425)</f>
        <v>13.365942744407853</v>
      </c>
      <c r="V38" s="83">
        <f t="shared" ref="V38:V60" si="92">T38</f>
        <v>9.0497110889760286</v>
      </c>
      <c r="W38" s="83">
        <f t="shared" ref="W38:W60" si="93">((I38+F38+(LOG(G38)*4/3))*0.516)</f>
        <v>4.9961041488105744</v>
      </c>
      <c r="X38" s="83">
        <f t="shared" ref="X38:X60" si="94">(I38+F38+(LOG(G38)*4/3))*1</f>
        <v>9.682372381415842</v>
      </c>
      <c r="Y38" s="83">
        <f t="shared" ref="Y38:Y60" si="95">W38/2</f>
        <v>2.4980520744052872</v>
      </c>
      <c r="Z38" s="83">
        <f t="shared" ref="Z38:Z60" si="96">(J38+F38+(LOG(G38)*4/3))*0.238</f>
        <v>0.87640462677697051</v>
      </c>
      <c r="AA38" s="83">
        <f t="shared" ref="AA38:AA60" si="97">((I38+F38+(LOG(G38)*4/3))*0.378)</f>
        <v>3.6599367601751882</v>
      </c>
      <c r="AB38" s="83">
        <f t="shared" ref="AB38:AB60" si="98">(I38+F38+(LOG(G38)*4/3))*0.723</f>
        <v>7.0003552317636535</v>
      </c>
      <c r="AC38" s="83">
        <f t="shared" ref="AC38:AC60" si="99">AA38/2</f>
        <v>1.8299683800875941</v>
      </c>
      <c r="AD38" s="83">
        <f t="shared" ref="AD38:AD60" si="100">(J38+F38+(LOG(G38)*4/3))*0.385</f>
        <v>1.4177133668450994</v>
      </c>
      <c r="AE38" s="327">
        <f t="shared" ref="AE38:AE60" si="101">((I38+F38+(LOG(G38)*4/3))*0.92)</f>
        <v>8.9077825909025758</v>
      </c>
      <c r="AF38" s="83">
        <f t="shared" ref="AF38:AF60" si="102">(I38+F38+(LOG(G38)*4/3))*0.414</f>
        <v>4.0085021659061582</v>
      </c>
      <c r="AG38" s="83">
        <f t="shared" ref="AG38:AG60" si="103">((J38+F38+(LOG(G38)*4/3))*0.167)</f>
        <v>0.61495618769644578</v>
      </c>
      <c r="AH38" s="327">
        <f t="shared" ref="AH38:AH60" si="104">(K38+F38+(LOG(G38)*4/3))*0.588</f>
        <v>2.1652349602725152</v>
      </c>
      <c r="AI38" s="83">
        <f t="shared" ref="AI38:AI60" si="105">((I38+F38+(LOG(G38)*4/3))*0.754)</f>
        <v>7.3005087755875451</v>
      </c>
      <c r="AJ38" s="83">
        <f t="shared" ref="AJ38:AJ60" si="106">((I38+F38+(LOG(G38)*4/3))*0.708)</f>
        <v>6.8551196460424162</v>
      </c>
      <c r="AK38" s="83">
        <f t="shared" ref="AK38:AK60" si="107">((N38+F38+(LOG(G38)*4/3))*0.167)</f>
        <v>2.9529561876964459</v>
      </c>
      <c r="AL38" s="83">
        <f t="shared" ref="AL38:AL60" si="108">((O38+F38+(LOG(G38)*4/3))*0.288)</f>
        <v>1.2855232458477623</v>
      </c>
      <c r="AM38" s="83">
        <f t="shared" ref="AM38:AM60" si="109">((I38+F38+(LOG(G38)*4/3))*0.27)</f>
        <v>2.6142405429822775</v>
      </c>
      <c r="AN38" s="83">
        <f t="shared" ref="AN38:AN60" si="110">((I38+F38+(LOG(G38)*4/3))*0.594)</f>
        <v>5.7513291945610101</v>
      </c>
      <c r="AO38" s="83">
        <f t="shared" ref="AO38:AO60" si="111">AM38/2</f>
        <v>1.3071202714911387</v>
      </c>
      <c r="AP38" s="83">
        <f t="shared" ref="AP38:AP60" si="112">((J38+F38+(LOG(G38)*4/3))*0.944)</f>
        <v>3.4761595280565549</v>
      </c>
      <c r="AQ38" s="83">
        <f t="shared" ref="AQ38:AQ60" si="113">((L38+F38+(LOG(G38)*4/3))*0.13)</f>
        <v>0.60870840958405947</v>
      </c>
      <c r="AR38" s="83">
        <f t="shared" ref="AR38:AR60" si="114">((M38+F38+(LOG(G38)*4/3))*0.173)+((L38+F38+(LOG(G38)*4/3))*0.12)</f>
        <v>1.0345851077548418</v>
      </c>
      <c r="AS38" s="83">
        <f t="shared" ref="AS38:AS60" si="115">AQ38/2</f>
        <v>0.30435420479202974</v>
      </c>
      <c r="AT38" s="83">
        <f t="shared" ref="AT38:AT60" si="116">((I38+F38+(LOG(G38)*4/3))*0.189)</f>
        <v>1.8299683800875941</v>
      </c>
      <c r="AU38" s="83">
        <f t="shared" ref="AU38:AU60" si="117">((I38+F38+(LOG(G38)*4/3))*0.4)</f>
        <v>3.872948952566337</v>
      </c>
      <c r="AV38" s="83">
        <f t="shared" ref="AV38:AV60" si="118">AT38/2</f>
        <v>0.91498419004379705</v>
      </c>
      <c r="AW38" s="83">
        <f t="shared" ref="AW38:AW60" si="119">((J38+F38+(LOG(G38)*4/3))*1)</f>
        <v>3.6823723814158424</v>
      </c>
      <c r="AX38" s="83">
        <f t="shared" ref="AX38:AX60" si="120">((L38+F38+(LOG(G38)*4/3))*0.253)</f>
        <v>1.1846402124982081</v>
      </c>
      <c r="AY38" s="83">
        <f t="shared" ref="AY38:AY60" si="121">((M38+F38+(LOG(G38)*4/3))*0.21)+((L38+F38+(LOG(G38)*4/3))*0.341)</f>
        <v>2.1704871821601293</v>
      </c>
      <c r="AZ38" s="83">
        <f t="shared" ref="AZ38:AZ60" si="122">AX38/2</f>
        <v>0.59232010624910403</v>
      </c>
      <c r="BA38" s="83">
        <f t="shared" ref="BA38:BA60" si="123">((I38+F38+(LOG(G38)*4/3))*0.291)</f>
        <v>2.8175703629920097</v>
      </c>
      <c r="BB38" s="83">
        <f t="shared" ref="BB38:BB60" si="124">((I38+F38+(LOG(G38)*4/3))*0.348)</f>
        <v>3.3694655887327127</v>
      </c>
      <c r="BC38" s="83">
        <f t="shared" ref="BC38:BC60" si="125">((J38+F38+(LOG(G38)*4/3))*0.881)</f>
        <v>3.2441700680273571</v>
      </c>
      <c r="BD38" s="83">
        <f t="shared" ref="BD38:BD60" si="126">((K38+F38+(LOG(G38)*4/3))*0.574)+((L38+F38+(LOG(G38)*4/3))*0.315)</f>
        <v>3.5886290470786841</v>
      </c>
      <c r="BE38" s="83">
        <f t="shared" ref="BE38:BE60" si="127">((L38+F38+(LOG(G38)*4/3))*0.241)</f>
        <v>1.1284517439212178</v>
      </c>
      <c r="BF38" s="83">
        <f t="shared" ref="BF38:BF60" si="128">((I38+F38+(LOG(G38)*4/3))*0.485)</f>
        <v>4.6959506049866828</v>
      </c>
      <c r="BG38" s="83">
        <f t="shared" ref="BG38:BG60" si="129">((I38+F38+(LOG(G38)*4/3))*0.264)</f>
        <v>2.5561463086937826</v>
      </c>
      <c r="BH38" s="83">
        <f t="shared" ref="BH38:BH60" si="130">((J38+F38+(LOG(G38)*4/3))*0.381)</f>
        <v>1.4029838773194361</v>
      </c>
      <c r="BI38" s="83">
        <f t="shared" ref="BI38:BI60" si="131">((K38+F38+(LOG(G38)*4/3))*0.673)+((L38+F38+(LOG(G38)*4/3))*0.201)</f>
        <v>3.4193934613574464</v>
      </c>
      <c r="BJ38" s="83">
        <f t="shared" ref="BJ38:BJ60" si="132">((L38+F38+(LOG(G38)*4/3))*0.052)</f>
        <v>0.24348336383362376</v>
      </c>
      <c r="BK38" s="83">
        <f t="shared" ref="BK38:BK60" si="133">((I38+F38+(LOG(G38)*4/3))*0.18)</f>
        <v>1.7428270286548515</v>
      </c>
      <c r="BL38" s="83">
        <f t="shared" ref="BL38:BL60" si="134">(I38+F38+(LOG(G38)*4/3))*0.068</f>
        <v>0.65840132193627732</v>
      </c>
      <c r="BM38" s="83">
        <f t="shared" ref="BM38:BM60" si="135">((J38+F38+(LOG(G38)*4/3))*0.305)</f>
        <v>1.1231235763318319</v>
      </c>
      <c r="BN38" s="83">
        <f t="shared" ref="BN38:BN60" si="136">((K38+F38+(LOG(G38)*4/3))*1)+((L38+F38+(LOG(G38)*4/3))*0.286)</f>
        <v>5.0215308825007732</v>
      </c>
      <c r="BO38" s="83">
        <f t="shared" ref="BO38:BO60" si="137">((L38+F38+(LOG(G38)*4/3))*0.135)</f>
        <v>0.6321202714911387</v>
      </c>
      <c r="BP38" s="83">
        <f t="shared" ref="BP38:BP60" si="138">((I38+F38+(LOG(G38)*4/3))*0.284)</f>
        <v>2.7497937563220991</v>
      </c>
      <c r="BQ38" s="83">
        <f t="shared" ref="BQ38:BQ60" si="139">(I38+F38+(LOG(G38)*4/3))*0.244</f>
        <v>2.3624988610654656</v>
      </c>
      <c r="BR38" s="83">
        <f t="shared" ref="BR38:BR60" si="140">((J38+F38+(LOG(G38)*4/3))*0.455)</f>
        <v>1.6754794335442085</v>
      </c>
      <c r="BS38" s="83">
        <f t="shared" ref="BS38:BS60" si="141">((K38+F38+(LOG(G38)*4/3))*0.864)+((L38+F38+(LOG(G38)*4/3))*0.244)</f>
        <v>4.3240685986087533</v>
      </c>
      <c r="BT38" s="83">
        <f t="shared" ref="BT38:BT60" si="142">((L38+F38+(LOG(G38)*4/3))*0.121)</f>
        <v>0.56656705815131692</v>
      </c>
      <c r="BU38" s="83">
        <f t="shared" ref="BU38:BU60" si="143">((I38+F38+(LOG(G38)*4/3))*0.284)</f>
        <v>2.7497937563220991</v>
      </c>
      <c r="BV38" s="83">
        <f t="shared" ref="BV38:BV60" si="144">((I38+F38+(LOG(G38)*4/3))*0.244)</f>
        <v>2.3624988610654656</v>
      </c>
      <c r="BW38" s="83">
        <f t="shared" ref="BW38:BW60" si="145">((J38+F38+(LOG(G38)*4/3))*0.631)</f>
        <v>2.3235769726733966</v>
      </c>
      <c r="BX38" s="83">
        <f t="shared" ref="BX38:BX60" si="146">((K38+F38+(LOG(G38)*4/3))*0.702)+((L38+F38+(LOG(G38)*4/3))*0.193)</f>
        <v>3.4887232813671787</v>
      </c>
      <c r="BY38" s="83">
        <f t="shared" ref="BY38:BY60" si="147">((L38+F38+(LOG(G38)*4/3))*0.148)</f>
        <v>0.69299111244954459</v>
      </c>
      <c r="BZ38" s="83">
        <f t="shared" ref="BZ38:BZ60" si="148">((J38+F38+(LOG(G38)*4/3))*0.406)</f>
        <v>1.4950431868548322</v>
      </c>
      <c r="CA38" s="83">
        <f t="shared" ref="CA38:CA60" si="149">IF(D38="TEC",((K38+F38+(LOG(G38)*4/3))*0.15)+((L38+F38+(LOG(G38)*4/3))*0.324)+((M38+F38+(LOG(G38)*4/3))*0.127),(((K38+F38+(LOG(G38)*4/3))*0.144)+((L38+F38+(LOG(G38)*4/3))*0.25)+((M38+F38+(LOG(G38)*4/3))*0.127)))</f>
        <v>2.0478660107176538</v>
      </c>
      <c r="CB38" s="83">
        <f t="shared" ref="CB38:CB60" si="150">((L38+F38+(LOG(G38)*4/3))*0.543)+((M38+F38+(LOG(G38)*4/3))*0.583)</f>
        <v>4.135501301474239</v>
      </c>
      <c r="CC38" s="83">
        <f t="shared" ref="CC38:CC60" si="151">CA38</f>
        <v>2.0478660107176538</v>
      </c>
      <c r="CD38" s="83">
        <f t="shared" ref="CD38:CD60" si="152">((M38+1+(LOG(G38)*4/3))*0.26)+((K38+F38+(LOG(G38)*4/3))*0.221)+((L38+F38+(LOG(G38)*4/3))*0.142)</f>
        <v>2.0591179936220696</v>
      </c>
      <c r="CE38" s="83">
        <f t="shared" ref="CE38:CE60" si="153">((M38+F38+(LOG(G38)*4/3))*1)+((L38+F38+(LOG(G38)*4/3))*0.369)</f>
        <v>4.4601677901582875</v>
      </c>
      <c r="CF38" s="83">
        <f t="shared" ref="CF38:CF60" si="154">CD38</f>
        <v>2.0591179936220696</v>
      </c>
      <c r="CG38" s="83">
        <f t="shared" ref="CG38:CG60" si="155">((J38+F38+(LOG(G38)*4/3))*0.25)</f>
        <v>0.92059309535396061</v>
      </c>
    </row>
    <row r="39" spans="1:85" x14ac:dyDescent="0.25">
      <c r="A39" t="str">
        <f t="shared" ref="A39:E39" si="156">A5</f>
        <v>E. Toney</v>
      </c>
      <c r="B39">
        <f t="shared" si="156"/>
        <v>36</v>
      </c>
      <c r="C39">
        <f t="shared" ca="1" si="156"/>
        <v>30</v>
      </c>
      <c r="D39">
        <f t="shared" si="156"/>
        <v>0</v>
      </c>
      <c r="E39" s="265">
        <f t="shared" si="156"/>
        <v>36526</v>
      </c>
      <c r="F39" s="195">
        <f t="shared" si="77"/>
        <v>1.5</v>
      </c>
      <c r="G39" s="196">
        <f t="shared" ref="G39:H39" si="157">J5</f>
        <v>18</v>
      </c>
      <c r="H39" s="49">
        <f t="shared" si="157"/>
        <v>0</v>
      </c>
      <c r="I39" s="49">
        <f t="shared" si="79"/>
        <v>11.95</v>
      </c>
      <c r="J39" s="49">
        <f t="shared" si="80"/>
        <v>12.95</v>
      </c>
      <c r="K39" s="49">
        <f t="shared" si="81"/>
        <v>8.9499999999999993</v>
      </c>
      <c r="L39" s="49">
        <f t="shared" si="82"/>
        <v>8.9499999999999993</v>
      </c>
      <c r="M39" s="49">
        <f t="shared" si="83"/>
        <v>0.95</v>
      </c>
      <c r="N39" s="49">
        <f t="shared" si="84"/>
        <v>17.177777777777774</v>
      </c>
      <c r="O39" s="196">
        <f t="shared" si="85"/>
        <v>4.1062499999999993</v>
      </c>
      <c r="P39" s="196">
        <f t="shared" si="86"/>
        <v>10.438647426148853</v>
      </c>
      <c r="Q39" s="196">
        <f t="shared" si="87"/>
        <v>0.56283333333333307</v>
      </c>
      <c r="R39" s="196">
        <f t="shared" si="88"/>
        <v>0.99333333333333318</v>
      </c>
      <c r="S39" s="196">
        <f t="shared" ca="1" si="89"/>
        <v>19.851474451248848</v>
      </c>
      <c r="T39" s="83">
        <f t="shared" si="90"/>
        <v>6.0688371959402483</v>
      </c>
      <c r="U39" s="83">
        <f t="shared" si="91"/>
        <v>9.1759924054511579</v>
      </c>
      <c r="V39" s="83">
        <f t="shared" si="92"/>
        <v>6.0688371959402483</v>
      </c>
      <c r="W39" s="83">
        <f t="shared" si="93"/>
        <v>7.8038274835110739</v>
      </c>
      <c r="X39" s="83">
        <f t="shared" si="94"/>
        <v>15.123696673471073</v>
      </c>
      <c r="Y39" s="83">
        <f t="shared" si="95"/>
        <v>3.901913741755537</v>
      </c>
      <c r="Z39" s="83">
        <f t="shared" si="96"/>
        <v>3.8374398082861152</v>
      </c>
      <c r="AA39" s="83">
        <f t="shared" si="97"/>
        <v>5.7167573425720661</v>
      </c>
      <c r="AB39" s="83">
        <f t="shared" si="98"/>
        <v>10.934432694919586</v>
      </c>
      <c r="AC39" s="83">
        <f t="shared" si="99"/>
        <v>2.8583786712860331</v>
      </c>
      <c r="AD39" s="83">
        <f t="shared" si="100"/>
        <v>6.2076232192863632</v>
      </c>
      <c r="AE39" s="327">
        <f t="shared" si="101"/>
        <v>13.913800939593388</v>
      </c>
      <c r="AF39" s="83">
        <f t="shared" si="102"/>
        <v>6.2612104228170242</v>
      </c>
      <c r="AG39" s="83">
        <f t="shared" si="103"/>
        <v>2.6926573444696693</v>
      </c>
      <c r="AH39" s="327">
        <f t="shared" si="104"/>
        <v>7.1287336440009907</v>
      </c>
      <c r="AI39" s="83">
        <f t="shared" si="105"/>
        <v>11.403267291797189</v>
      </c>
      <c r="AJ39" s="83">
        <f t="shared" si="106"/>
        <v>10.70757724481752</v>
      </c>
      <c r="AK39" s="83">
        <f t="shared" si="107"/>
        <v>3.398696233358558</v>
      </c>
      <c r="AL39" s="83">
        <f t="shared" si="108"/>
        <v>2.0966246419596692</v>
      </c>
      <c r="AM39" s="83">
        <f t="shared" si="109"/>
        <v>4.0833981018371901</v>
      </c>
      <c r="AN39" s="83">
        <f t="shared" si="110"/>
        <v>8.9834758240418164</v>
      </c>
      <c r="AO39" s="83">
        <f t="shared" si="111"/>
        <v>2.041699050918595</v>
      </c>
      <c r="AP39" s="83">
        <f t="shared" si="112"/>
        <v>15.220769659756693</v>
      </c>
      <c r="AQ39" s="83">
        <f t="shared" si="113"/>
        <v>1.5760805675512395</v>
      </c>
      <c r="AR39" s="83">
        <f t="shared" si="114"/>
        <v>2.1682431253270247</v>
      </c>
      <c r="AS39" s="83">
        <f t="shared" si="115"/>
        <v>0.78804028377561974</v>
      </c>
      <c r="AT39" s="83">
        <f t="shared" si="116"/>
        <v>2.8583786712860331</v>
      </c>
      <c r="AU39" s="83">
        <f t="shared" si="117"/>
        <v>6.0494786693884297</v>
      </c>
      <c r="AV39" s="83">
        <f t="shared" si="118"/>
        <v>1.4291893356430165</v>
      </c>
      <c r="AW39" s="83">
        <f t="shared" si="119"/>
        <v>16.123696673471073</v>
      </c>
      <c r="AX39" s="83">
        <f t="shared" si="120"/>
        <v>3.0672952583881816</v>
      </c>
      <c r="AY39" s="83">
        <f t="shared" si="121"/>
        <v>5.0001568670825627</v>
      </c>
      <c r="AZ39" s="83">
        <f t="shared" si="122"/>
        <v>1.5336476291940908</v>
      </c>
      <c r="BA39" s="83">
        <f t="shared" si="123"/>
        <v>4.4009957319800819</v>
      </c>
      <c r="BB39" s="83">
        <f t="shared" si="124"/>
        <v>5.2630464423679335</v>
      </c>
      <c r="BC39" s="83">
        <f t="shared" si="125"/>
        <v>14.204976769328015</v>
      </c>
      <c r="BD39" s="83">
        <f t="shared" si="126"/>
        <v>10.777966342715784</v>
      </c>
      <c r="BE39" s="83">
        <f t="shared" si="127"/>
        <v>2.9218108983065285</v>
      </c>
      <c r="BF39" s="83">
        <f t="shared" si="128"/>
        <v>7.3349928866334704</v>
      </c>
      <c r="BG39" s="83">
        <f t="shared" si="129"/>
        <v>3.9926559217963637</v>
      </c>
      <c r="BH39" s="83">
        <f t="shared" si="130"/>
        <v>6.1431284325924791</v>
      </c>
      <c r="BI39" s="83">
        <f t="shared" si="131"/>
        <v>10.596110892613719</v>
      </c>
      <c r="BJ39" s="83">
        <f t="shared" si="132"/>
        <v>0.63043222702049584</v>
      </c>
      <c r="BK39" s="83">
        <f t="shared" si="133"/>
        <v>2.7222654012247931</v>
      </c>
      <c r="BL39" s="83">
        <f t="shared" si="134"/>
        <v>1.028411373796033</v>
      </c>
      <c r="BM39" s="83">
        <f t="shared" si="135"/>
        <v>4.917727485408677</v>
      </c>
      <c r="BN39" s="83">
        <f t="shared" si="136"/>
        <v>15.591073922083801</v>
      </c>
      <c r="BO39" s="83">
        <f t="shared" si="137"/>
        <v>1.636699050918595</v>
      </c>
      <c r="BP39" s="83">
        <f t="shared" si="138"/>
        <v>4.2951298552657846</v>
      </c>
      <c r="BQ39" s="83">
        <f t="shared" si="139"/>
        <v>3.690181988326942</v>
      </c>
      <c r="BR39" s="83">
        <f t="shared" si="140"/>
        <v>7.3362819864293387</v>
      </c>
      <c r="BS39" s="83">
        <f t="shared" si="141"/>
        <v>13.43305591420595</v>
      </c>
      <c r="BT39" s="83">
        <f t="shared" si="142"/>
        <v>1.4669672974899999</v>
      </c>
      <c r="BU39" s="83">
        <f t="shared" si="143"/>
        <v>4.2951298552657846</v>
      </c>
      <c r="BV39" s="83">
        <f t="shared" si="144"/>
        <v>3.690181988326942</v>
      </c>
      <c r="BW39" s="83">
        <f t="shared" si="145"/>
        <v>10.174052600960247</v>
      </c>
      <c r="BX39" s="83">
        <f t="shared" si="146"/>
        <v>10.85070852275661</v>
      </c>
      <c r="BY39" s="83">
        <f t="shared" si="147"/>
        <v>1.7943071076737187</v>
      </c>
      <c r="BZ39" s="83">
        <f t="shared" si="148"/>
        <v>6.5462208494292566</v>
      </c>
      <c r="CA39" s="83">
        <f t="shared" si="149"/>
        <v>5.3004459668784296</v>
      </c>
      <c r="CB39" s="83">
        <f t="shared" si="150"/>
        <v>8.9872824543284295</v>
      </c>
      <c r="CC39" s="83">
        <f t="shared" si="151"/>
        <v>5.3004459668784296</v>
      </c>
      <c r="CD39" s="83">
        <f t="shared" si="152"/>
        <v>5.3430630275724793</v>
      </c>
      <c r="CE39" s="83">
        <f t="shared" si="153"/>
        <v>8.5973407459819011</v>
      </c>
      <c r="CF39" s="83">
        <f t="shared" si="154"/>
        <v>5.3430630275724793</v>
      </c>
      <c r="CG39" s="83">
        <f t="shared" si="155"/>
        <v>4.0309241683677683</v>
      </c>
    </row>
    <row r="40" spans="1:85" x14ac:dyDescent="0.25">
      <c r="A40" t="str">
        <f t="shared" ref="A40:E40" si="158">A6</f>
        <v>B. Bartolache</v>
      </c>
      <c r="B40">
        <f t="shared" si="158"/>
        <v>36</v>
      </c>
      <c r="C40">
        <f t="shared" ca="1" si="158"/>
        <v>15</v>
      </c>
      <c r="D40">
        <f t="shared" si="158"/>
        <v>0</v>
      </c>
      <c r="E40" s="265">
        <f t="shared" si="158"/>
        <v>36526</v>
      </c>
      <c r="F40" s="195">
        <f t="shared" si="77"/>
        <v>1.5</v>
      </c>
      <c r="G40" s="196">
        <f t="shared" ref="G40:H40" si="159">J6</f>
        <v>11.8</v>
      </c>
      <c r="H40" s="49">
        <f t="shared" si="159"/>
        <v>0</v>
      </c>
      <c r="I40" s="49">
        <f t="shared" si="79"/>
        <v>11.95</v>
      </c>
      <c r="J40" s="49">
        <f t="shared" si="80"/>
        <v>5.95</v>
      </c>
      <c r="K40" s="49">
        <f t="shared" si="81"/>
        <v>6.95</v>
      </c>
      <c r="L40" s="49">
        <f t="shared" si="82"/>
        <v>7.95</v>
      </c>
      <c r="M40" s="49">
        <f t="shared" si="83"/>
        <v>1.95</v>
      </c>
      <c r="N40" s="49">
        <f t="shared" si="84"/>
        <v>16</v>
      </c>
      <c r="O40" s="196">
        <f t="shared" si="85"/>
        <v>3.8562499999999997</v>
      </c>
      <c r="P40" s="196">
        <f t="shared" si="86"/>
        <v>10.910478981528717</v>
      </c>
      <c r="Q40" s="196">
        <f t="shared" si="87"/>
        <v>0.5774999999999999</v>
      </c>
      <c r="R40" s="196">
        <f t="shared" si="88"/>
        <v>0.95799999999999996</v>
      </c>
      <c r="S40" s="196">
        <f t="shared" ca="1" si="89"/>
        <v>18.4291760097415</v>
      </c>
      <c r="T40" s="83">
        <f t="shared" si="90"/>
        <v>5.8553706565043298</v>
      </c>
      <c r="U40" s="83">
        <f t="shared" si="91"/>
        <v>8.8603162285762771</v>
      </c>
      <c r="V40" s="83">
        <f t="shared" si="92"/>
        <v>5.8553706565043298</v>
      </c>
      <c r="W40" s="83">
        <f t="shared" si="93"/>
        <v>7.6776548210266142</v>
      </c>
      <c r="X40" s="83">
        <f t="shared" si="94"/>
        <v>14.879176009741499</v>
      </c>
      <c r="Y40" s="83">
        <f t="shared" si="95"/>
        <v>3.8388274105133071</v>
      </c>
      <c r="Z40" s="83">
        <f t="shared" si="96"/>
        <v>2.1132438903184774</v>
      </c>
      <c r="AA40" s="83">
        <f t="shared" si="97"/>
        <v>5.6243285316822869</v>
      </c>
      <c r="AB40" s="83">
        <f t="shared" si="98"/>
        <v>10.757644255043104</v>
      </c>
      <c r="AC40" s="83">
        <f t="shared" si="99"/>
        <v>2.8121642658411434</v>
      </c>
      <c r="AD40" s="83">
        <f t="shared" si="100"/>
        <v>3.418482763750478</v>
      </c>
      <c r="AE40" s="327">
        <f t="shared" si="101"/>
        <v>13.68884192896218</v>
      </c>
      <c r="AF40" s="83">
        <f t="shared" si="102"/>
        <v>6.1599788680329803</v>
      </c>
      <c r="AG40" s="83">
        <f t="shared" si="103"/>
        <v>1.4828223936268308</v>
      </c>
      <c r="AH40" s="327">
        <f t="shared" si="104"/>
        <v>5.8089554937280017</v>
      </c>
      <c r="AI40" s="83">
        <f t="shared" si="105"/>
        <v>11.218898711345091</v>
      </c>
      <c r="AJ40" s="83">
        <f t="shared" si="106"/>
        <v>10.534456614896982</v>
      </c>
      <c r="AK40" s="83">
        <f t="shared" si="107"/>
        <v>3.1611723936268308</v>
      </c>
      <c r="AL40" s="83">
        <f t="shared" si="108"/>
        <v>1.9542026908055519</v>
      </c>
      <c r="AM40" s="83">
        <f t="shared" si="109"/>
        <v>4.0173775226302046</v>
      </c>
      <c r="AN40" s="83">
        <f t="shared" si="110"/>
        <v>8.8382305497864504</v>
      </c>
      <c r="AO40" s="83">
        <f t="shared" si="111"/>
        <v>2.0086887613151023</v>
      </c>
      <c r="AP40" s="83">
        <f t="shared" si="112"/>
        <v>8.3819421531959772</v>
      </c>
      <c r="AQ40" s="83">
        <f t="shared" si="113"/>
        <v>1.4142928812663949</v>
      </c>
      <c r="AR40" s="83">
        <f t="shared" si="114"/>
        <v>2.1495985708542595</v>
      </c>
      <c r="AS40" s="83">
        <f t="shared" si="115"/>
        <v>0.70714644063319743</v>
      </c>
      <c r="AT40" s="83">
        <f t="shared" si="116"/>
        <v>2.8121642658411434</v>
      </c>
      <c r="AU40" s="83">
        <f t="shared" si="117"/>
        <v>5.9516704038965997</v>
      </c>
      <c r="AV40" s="83">
        <f t="shared" si="118"/>
        <v>1.4060821329205717</v>
      </c>
      <c r="AW40" s="83">
        <f t="shared" si="119"/>
        <v>8.8791760097415011</v>
      </c>
      <c r="AX40" s="83">
        <f t="shared" si="120"/>
        <v>2.7524315304645994</v>
      </c>
      <c r="AY40" s="83">
        <f t="shared" si="121"/>
        <v>4.7344259813675666</v>
      </c>
      <c r="AZ40" s="83">
        <f t="shared" si="122"/>
        <v>1.3762157652322997</v>
      </c>
      <c r="BA40" s="83">
        <f t="shared" si="123"/>
        <v>4.329840218834776</v>
      </c>
      <c r="BB40" s="83">
        <f t="shared" si="124"/>
        <v>5.1779532513900417</v>
      </c>
      <c r="BC40" s="83">
        <f t="shared" si="125"/>
        <v>7.8225540645822624</v>
      </c>
      <c r="BD40" s="83">
        <f t="shared" si="126"/>
        <v>9.0975874726601926</v>
      </c>
      <c r="BE40" s="83">
        <f t="shared" si="127"/>
        <v>2.6218814183477011</v>
      </c>
      <c r="BF40" s="83">
        <f t="shared" si="128"/>
        <v>7.2164003647246266</v>
      </c>
      <c r="BG40" s="83">
        <f t="shared" si="129"/>
        <v>3.9281024665717559</v>
      </c>
      <c r="BH40" s="83">
        <f t="shared" si="130"/>
        <v>3.3829660597115119</v>
      </c>
      <c r="BI40" s="83">
        <f t="shared" si="131"/>
        <v>8.8353998325140708</v>
      </c>
      <c r="BJ40" s="83">
        <f t="shared" si="132"/>
        <v>0.56571715250655796</v>
      </c>
      <c r="BK40" s="83">
        <f t="shared" si="133"/>
        <v>2.6782516817534696</v>
      </c>
      <c r="BL40" s="83">
        <f t="shared" si="134"/>
        <v>1.0117839686624219</v>
      </c>
      <c r="BM40" s="83">
        <f t="shared" si="135"/>
        <v>2.7081486829711579</v>
      </c>
      <c r="BN40" s="83">
        <f t="shared" si="136"/>
        <v>12.990620348527568</v>
      </c>
      <c r="BO40" s="83">
        <f t="shared" si="137"/>
        <v>1.4686887613151025</v>
      </c>
      <c r="BP40" s="83">
        <f t="shared" si="138"/>
        <v>4.2256859867665852</v>
      </c>
      <c r="BQ40" s="83">
        <f t="shared" si="139"/>
        <v>3.6305189463769256</v>
      </c>
      <c r="BR40" s="83">
        <f t="shared" si="140"/>
        <v>4.0400250844323828</v>
      </c>
      <c r="BS40" s="83">
        <f t="shared" si="141"/>
        <v>11.190127018793582</v>
      </c>
      <c r="BT40" s="83">
        <f t="shared" si="142"/>
        <v>1.3163802971787213</v>
      </c>
      <c r="BU40" s="83">
        <f t="shared" si="143"/>
        <v>4.2256859867665852</v>
      </c>
      <c r="BV40" s="83">
        <f t="shared" si="144"/>
        <v>3.6305189463769256</v>
      </c>
      <c r="BW40" s="83">
        <f t="shared" si="145"/>
        <v>5.6027600621468876</v>
      </c>
      <c r="BX40" s="83">
        <f t="shared" si="146"/>
        <v>9.0348625287186408</v>
      </c>
      <c r="BY40" s="83">
        <f t="shared" si="147"/>
        <v>1.6101180494417417</v>
      </c>
      <c r="BZ40" s="83">
        <f t="shared" si="148"/>
        <v>3.6049454599550499</v>
      </c>
      <c r="CA40" s="83">
        <f t="shared" si="149"/>
        <v>4.7620507010753217</v>
      </c>
      <c r="CB40" s="83">
        <f t="shared" si="150"/>
        <v>8.7519521869689285</v>
      </c>
      <c r="CC40" s="83">
        <f t="shared" si="151"/>
        <v>4.7620507010753217</v>
      </c>
      <c r="CD40" s="83">
        <f t="shared" si="152"/>
        <v>4.8667266540689544</v>
      </c>
      <c r="CE40" s="83">
        <f t="shared" si="153"/>
        <v>8.8935919573361133</v>
      </c>
      <c r="CF40" s="83">
        <f t="shared" si="154"/>
        <v>4.8667266540689544</v>
      </c>
      <c r="CG40" s="83">
        <f t="shared" si="155"/>
        <v>2.2197940024353753</v>
      </c>
    </row>
    <row r="41" spans="1:85" x14ac:dyDescent="0.25">
      <c r="A41" t="str">
        <f t="shared" ref="A41:E41" si="160">A7</f>
        <v>F. Lasprilla</v>
      </c>
      <c r="B41">
        <f t="shared" si="160"/>
        <v>32</v>
      </c>
      <c r="C41">
        <f t="shared" ca="1" si="160"/>
        <v>38</v>
      </c>
      <c r="D41">
        <f t="shared" si="160"/>
        <v>0</v>
      </c>
      <c r="E41" s="265">
        <f t="shared" si="160"/>
        <v>36526</v>
      </c>
      <c r="F41" s="195">
        <f t="shared" si="77"/>
        <v>1.5</v>
      </c>
      <c r="G41" s="196">
        <f t="shared" ref="G41:H41" si="161">J7</f>
        <v>6.3</v>
      </c>
      <c r="H41" s="49">
        <f t="shared" si="161"/>
        <v>0</v>
      </c>
      <c r="I41" s="49">
        <f t="shared" si="79"/>
        <v>9.6046666666666667</v>
      </c>
      <c r="J41" s="49">
        <f t="shared" si="80"/>
        <v>8</v>
      </c>
      <c r="K41" s="49">
        <f t="shared" si="81"/>
        <v>6.1599999999999984</v>
      </c>
      <c r="L41" s="49">
        <f t="shared" si="82"/>
        <v>8.8633333333333315</v>
      </c>
      <c r="M41" s="49">
        <f t="shared" si="83"/>
        <v>2.95</v>
      </c>
      <c r="N41" s="49">
        <f t="shared" si="84"/>
        <v>13.33611111111111</v>
      </c>
      <c r="O41" s="196">
        <f t="shared" si="85"/>
        <v>3.7914166666666662</v>
      </c>
      <c r="P41" s="196">
        <f t="shared" si="86"/>
        <v>10.302251263501001</v>
      </c>
      <c r="Q41" s="196">
        <f t="shared" si="87"/>
        <v>0.5475833333333332</v>
      </c>
      <c r="R41" s="196">
        <f t="shared" si="88"/>
        <v>0.78426999999999991</v>
      </c>
      <c r="S41" s="196">
        <f t="shared" ca="1" si="89"/>
        <v>15.401898510382553</v>
      </c>
      <c r="T41" s="83">
        <f t="shared" si="90"/>
        <v>4.8908203995639692</v>
      </c>
      <c r="U41" s="83">
        <f t="shared" si="91"/>
        <v>7.3944148657927649</v>
      </c>
      <c r="V41" s="83">
        <f t="shared" si="92"/>
        <v>4.8908203995639692</v>
      </c>
      <c r="W41" s="83">
        <f t="shared" si="93"/>
        <v>6.279954298024065</v>
      </c>
      <c r="X41" s="83">
        <f t="shared" si="94"/>
        <v>12.17045406593811</v>
      </c>
      <c r="Y41" s="83">
        <f t="shared" si="95"/>
        <v>3.1399771490120325</v>
      </c>
      <c r="Z41" s="83">
        <f t="shared" si="96"/>
        <v>2.5146574010266032</v>
      </c>
      <c r="AA41" s="83">
        <f t="shared" si="97"/>
        <v>4.600431636924605</v>
      </c>
      <c r="AB41" s="83">
        <f t="shared" si="98"/>
        <v>8.7992382896732533</v>
      </c>
      <c r="AC41" s="83">
        <f t="shared" si="99"/>
        <v>2.3002158184623025</v>
      </c>
      <c r="AD41" s="83">
        <f t="shared" si="100"/>
        <v>4.0678281487195056</v>
      </c>
      <c r="AE41" s="327">
        <f t="shared" si="101"/>
        <v>11.196817740663061</v>
      </c>
      <c r="AF41" s="83">
        <f t="shared" si="102"/>
        <v>5.0385679832983774</v>
      </c>
      <c r="AG41" s="83">
        <f t="shared" si="103"/>
        <v>1.764486495678331</v>
      </c>
      <c r="AH41" s="327">
        <f t="shared" si="104"/>
        <v>5.1307629907716068</v>
      </c>
      <c r="AI41" s="83">
        <f t="shared" si="105"/>
        <v>9.176522365717334</v>
      </c>
      <c r="AJ41" s="83">
        <f t="shared" si="106"/>
        <v>8.6166814786841819</v>
      </c>
      <c r="AK41" s="83">
        <f t="shared" si="107"/>
        <v>2.6556170512338864</v>
      </c>
      <c r="AL41" s="83">
        <f t="shared" si="108"/>
        <v>1.8308747709901751</v>
      </c>
      <c r="AM41" s="83">
        <f t="shared" si="109"/>
        <v>3.28602259780329</v>
      </c>
      <c r="AN41" s="83">
        <f t="shared" si="110"/>
        <v>7.2292497151672368</v>
      </c>
      <c r="AO41" s="83">
        <f t="shared" si="111"/>
        <v>1.643011298901645</v>
      </c>
      <c r="AP41" s="83">
        <f t="shared" si="112"/>
        <v>9.9741033049122407</v>
      </c>
      <c r="AQ41" s="83">
        <f t="shared" si="113"/>
        <v>1.4857856952386208</v>
      </c>
      <c r="AR41" s="83">
        <f t="shared" si="114"/>
        <v>2.3257257079865323</v>
      </c>
      <c r="AS41" s="83">
        <f t="shared" si="115"/>
        <v>0.7428928476193104</v>
      </c>
      <c r="AT41" s="83">
        <f t="shared" si="116"/>
        <v>2.3002158184623025</v>
      </c>
      <c r="AU41" s="83">
        <f t="shared" si="117"/>
        <v>4.868181626375244</v>
      </c>
      <c r="AV41" s="83">
        <f t="shared" si="118"/>
        <v>1.1501079092311512</v>
      </c>
      <c r="AW41" s="83">
        <f t="shared" si="119"/>
        <v>10.565787399271443</v>
      </c>
      <c r="AX41" s="83">
        <f t="shared" si="120"/>
        <v>2.891567545349008</v>
      </c>
      <c r="AY41" s="83">
        <f t="shared" si="121"/>
        <v>5.0556455236652313</v>
      </c>
      <c r="AZ41" s="83">
        <f t="shared" si="122"/>
        <v>1.445783772674504</v>
      </c>
      <c r="BA41" s="83">
        <f t="shared" si="123"/>
        <v>3.5416021331879897</v>
      </c>
      <c r="BB41" s="83">
        <f t="shared" si="124"/>
        <v>4.2353180149464622</v>
      </c>
      <c r="BC41" s="83">
        <f t="shared" si="125"/>
        <v>9.308458698758141</v>
      </c>
      <c r="BD41" s="83">
        <f t="shared" si="126"/>
        <v>8.6087749979523114</v>
      </c>
      <c r="BE41" s="83">
        <f t="shared" si="127"/>
        <v>2.7544180965577505</v>
      </c>
      <c r="BF41" s="83">
        <f t="shared" si="128"/>
        <v>5.9026702219799834</v>
      </c>
      <c r="BG41" s="83">
        <f t="shared" si="129"/>
        <v>3.2129998734076612</v>
      </c>
      <c r="BH41" s="83">
        <f t="shared" si="130"/>
        <v>4.0255649991224196</v>
      </c>
      <c r="BI41" s="83">
        <f t="shared" si="131"/>
        <v>8.1697081869632395</v>
      </c>
      <c r="BJ41" s="83">
        <f t="shared" si="132"/>
        <v>0.59431427809544823</v>
      </c>
      <c r="BK41" s="83">
        <f t="shared" si="133"/>
        <v>2.1906817318688598</v>
      </c>
      <c r="BL41" s="83">
        <f t="shared" si="134"/>
        <v>0.82759087648379148</v>
      </c>
      <c r="BM41" s="83">
        <f t="shared" si="135"/>
        <v>3.2225651567777902</v>
      </c>
      <c r="BN41" s="83">
        <f t="shared" si="136"/>
        <v>11.994515928796407</v>
      </c>
      <c r="BO41" s="83">
        <f t="shared" si="137"/>
        <v>1.5429312989016446</v>
      </c>
      <c r="BP41" s="83">
        <f t="shared" si="138"/>
        <v>3.456408954726423</v>
      </c>
      <c r="BQ41" s="83">
        <f t="shared" si="139"/>
        <v>2.9695907920888986</v>
      </c>
      <c r="BR41" s="83">
        <f t="shared" si="140"/>
        <v>4.8074332666685065</v>
      </c>
      <c r="BS41" s="83">
        <f t="shared" si="141"/>
        <v>10.32778577172609</v>
      </c>
      <c r="BT41" s="83">
        <f t="shared" si="142"/>
        <v>1.3829236086451777</v>
      </c>
      <c r="BU41" s="83">
        <f t="shared" si="143"/>
        <v>3.456408954726423</v>
      </c>
      <c r="BV41" s="83">
        <f t="shared" si="144"/>
        <v>2.9695907920888986</v>
      </c>
      <c r="BW41" s="83">
        <f t="shared" si="145"/>
        <v>6.6670118489402803</v>
      </c>
      <c r="BX41" s="83">
        <f t="shared" si="146"/>
        <v>8.3313230556812741</v>
      </c>
      <c r="BY41" s="83">
        <f t="shared" si="147"/>
        <v>1.6915098684255065</v>
      </c>
      <c r="BZ41" s="83">
        <f t="shared" si="148"/>
        <v>4.2897096841042064</v>
      </c>
      <c r="CA41" s="83">
        <f t="shared" si="149"/>
        <v>4.8142985683537542</v>
      </c>
      <c r="CB41" s="83">
        <f t="shared" si="150"/>
        <v>9.4217166115796438</v>
      </c>
      <c r="CC41" s="83">
        <f t="shared" si="151"/>
        <v>4.8142985683537542</v>
      </c>
      <c r="CD41" s="83">
        <f t="shared" si="152"/>
        <v>4.855438883079441</v>
      </c>
      <c r="CE41" s="83">
        <f t="shared" si="153"/>
        <v>9.733132949602604</v>
      </c>
      <c r="CF41" s="83">
        <f t="shared" si="154"/>
        <v>4.855438883079441</v>
      </c>
      <c r="CG41" s="83">
        <f t="shared" si="155"/>
        <v>2.6414468498178607</v>
      </c>
    </row>
    <row r="42" spans="1:85" x14ac:dyDescent="0.25">
      <c r="A42" t="str">
        <f t="shared" ref="A42:E42" si="162">A8</f>
        <v>E. Romweber</v>
      </c>
      <c r="B42">
        <f t="shared" si="162"/>
        <v>35</v>
      </c>
      <c r="C42">
        <f t="shared" ca="1" si="162"/>
        <v>104</v>
      </c>
      <c r="D42" t="str">
        <f t="shared" si="162"/>
        <v>IMP</v>
      </c>
      <c r="E42" s="265">
        <f t="shared" si="162"/>
        <v>36526</v>
      </c>
      <c r="F42" s="195">
        <f t="shared" si="77"/>
        <v>1.5</v>
      </c>
      <c r="G42" s="196">
        <f t="shared" ref="G42:H42" si="163">J8</f>
        <v>17.100000000000001</v>
      </c>
      <c r="H42" s="49">
        <f t="shared" si="163"/>
        <v>0</v>
      </c>
      <c r="I42" s="49">
        <f t="shared" si="79"/>
        <v>11.95</v>
      </c>
      <c r="J42" s="49">
        <f t="shared" si="80"/>
        <v>11.95</v>
      </c>
      <c r="K42" s="49">
        <f t="shared" si="81"/>
        <v>12.95</v>
      </c>
      <c r="L42" s="49">
        <f t="shared" si="82"/>
        <v>9.9499999999999993</v>
      </c>
      <c r="M42" s="49">
        <f t="shared" si="83"/>
        <v>5.95</v>
      </c>
      <c r="N42" s="49">
        <f t="shared" si="84"/>
        <v>17.529999999999998</v>
      </c>
      <c r="O42" s="196">
        <f t="shared" si="85"/>
        <v>4.3562499999999993</v>
      </c>
      <c r="P42" s="196">
        <f t="shared" si="86"/>
        <v>18.866728538622212</v>
      </c>
      <c r="Q42" s="196">
        <f t="shared" si="87"/>
        <v>0.82340000000000002</v>
      </c>
      <c r="R42" s="196">
        <f t="shared" si="88"/>
        <v>1.0039</v>
      </c>
      <c r="S42" s="196">
        <f t="shared" ca="1" si="89"/>
        <v>20.173994813856204</v>
      </c>
      <c r="T42" s="83">
        <f t="shared" si="90"/>
        <v>6.0429074724964664</v>
      </c>
      <c r="U42" s="83">
        <f t="shared" si="91"/>
        <v>9.1376473046883611</v>
      </c>
      <c r="V42" s="83">
        <f t="shared" si="92"/>
        <v>6.0429074724964664</v>
      </c>
      <c r="W42" s="83">
        <f t="shared" si="93"/>
        <v>7.7885013239498013</v>
      </c>
      <c r="X42" s="83">
        <f t="shared" si="94"/>
        <v>15.093994813856204</v>
      </c>
      <c r="Y42" s="83">
        <f t="shared" si="95"/>
        <v>3.8942506619749007</v>
      </c>
      <c r="Z42" s="83">
        <f t="shared" si="96"/>
        <v>3.5923707656977766</v>
      </c>
      <c r="AA42" s="83">
        <f t="shared" si="97"/>
        <v>5.7055300396376456</v>
      </c>
      <c r="AB42" s="83">
        <f t="shared" si="98"/>
        <v>10.912958250418034</v>
      </c>
      <c r="AC42" s="83">
        <f t="shared" si="99"/>
        <v>2.8527650198188228</v>
      </c>
      <c r="AD42" s="83">
        <f t="shared" si="100"/>
        <v>5.8111880033346388</v>
      </c>
      <c r="AE42" s="327">
        <f t="shared" si="101"/>
        <v>13.886475228747708</v>
      </c>
      <c r="AF42" s="83">
        <f t="shared" si="102"/>
        <v>6.2489138529364681</v>
      </c>
      <c r="AG42" s="83">
        <f t="shared" si="103"/>
        <v>2.5206971339139863</v>
      </c>
      <c r="AH42" s="327">
        <f t="shared" si="104"/>
        <v>9.4632689505474481</v>
      </c>
      <c r="AI42" s="83">
        <f t="shared" si="105"/>
        <v>11.380872089647578</v>
      </c>
      <c r="AJ42" s="83">
        <f t="shared" si="106"/>
        <v>10.686548328210192</v>
      </c>
      <c r="AK42" s="83">
        <f t="shared" si="107"/>
        <v>3.4525571339139862</v>
      </c>
      <c r="AL42" s="83">
        <f t="shared" si="108"/>
        <v>2.1600705063905865</v>
      </c>
      <c r="AM42" s="83">
        <f t="shared" si="109"/>
        <v>4.0753785997411756</v>
      </c>
      <c r="AN42" s="83">
        <f t="shared" si="110"/>
        <v>8.9658329194305857</v>
      </c>
      <c r="AO42" s="83">
        <f t="shared" si="111"/>
        <v>2.0376892998705878</v>
      </c>
      <c r="AP42" s="83">
        <f t="shared" si="112"/>
        <v>14.248731104280257</v>
      </c>
      <c r="AQ42" s="83">
        <f t="shared" si="113"/>
        <v>1.7022193258013065</v>
      </c>
      <c r="AR42" s="83">
        <f t="shared" si="114"/>
        <v>3.144540480459868</v>
      </c>
      <c r="AS42" s="83">
        <f t="shared" si="115"/>
        <v>0.85110966290065326</v>
      </c>
      <c r="AT42" s="83">
        <f t="shared" si="116"/>
        <v>2.8527650198188228</v>
      </c>
      <c r="AU42" s="83">
        <f t="shared" si="117"/>
        <v>6.0375979255424816</v>
      </c>
      <c r="AV42" s="83">
        <f t="shared" si="118"/>
        <v>1.4263825099094114</v>
      </c>
      <c r="AW42" s="83">
        <f t="shared" si="119"/>
        <v>15.093994813856204</v>
      </c>
      <c r="AX42" s="83">
        <f t="shared" si="120"/>
        <v>3.3127806879056196</v>
      </c>
      <c r="AY42" s="83">
        <f t="shared" si="121"/>
        <v>6.3747911424347699</v>
      </c>
      <c r="AZ42" s="83">
        <f t="shared" si="122"/>
        <v>1.6563903439528098</v>
      </c>
      <c r="BA42" s="83">
        <f t="shared" si="123"/>
        <v>4.3923524908321552</v>
      </c>
      <c r="BB42" s="83">
        <f t="shared" si="124"/>
        <v>5.252710195221959</v>
      </c>
      <c r="BC42" s="83">
        <f t="shared" si="125"/>
        <v>13.297809431007316</v>
      </c>
      <c r="BD42" s="83">
        <f t="shared" si="126"/>
        <v>13.362561389518167</v>
      </c>
      <c r="BE42" s="83">
        <f t="shared" si="127"/>
        <v>3.1556527501393452</v>
      </c>
      <c r="BF42" s="83">
        <f t="shared" si="128"/>
        <v>7.3205874847202592</v>
      </c>
      <c r="BG42" s="83">
        <f t="shared" si="129"/>
        <v>3.9848146308580379</v>
      </c>
      <c r="BH42" s="83">
        <f t="shared" si="130"/>
        <v>5.750812024079214</v>
      </c>
      <c r="BI42" s="83">
        <f t="shared" si="131"/>
        <v>13.463151467310325</v>
      </c>
      <c r="BJ42" s="83">
        <f t="shared" si="132"/>
        <v>0.68088773032052263</v>
      </c>
      <c r="BK42" s="83">
        <f t="shared" si="133"/>
        <v>2.7169190664941167</v>
      </c>
      <c r="BL42" s="83">
        <f t="shared" si="134"/>
        <v>1.0263916473422219</v>
      </c>
      <c r="BM42" s="83">
        <f t="shared" si="135"/>
        <v>4.6036684182261425</v>
      </c>
      <c r="BN42" s="83">
        <f t="shared" si="136"/>
        <v>19.838877330619081</v>
      </c>
      <c r="BO42" s="83">
        <f t="shared" si="137"/>
        <v>1.7676892998705878</v>
      </c>
      <c r="BP42" s="83">
        <f t="shared" si="138"/>
        <v>4.286694527135162</v>
      </c>
      <c r="BQ42" s="83">
        <f t="shared" si="139"/>
        <v>3.6829347345809138</v>
      </c>
      <c r="BR42" s="83">
        <f t="shared" si="140"/>
        <v>6.8677676403045735</v>
      </c>
      <c r="BS42" s="83">
        <f t="shared" si="141"/>
        <v>17.100146253752676</v>
      </c>
      <c r="BT42" s="83">
        <f t="shared" si="142"/>
        <v>1.5843733724766007</v>
      </c>
      <c r="BU42" s="83">
        <f t="shared" si="143"/>
        <v>4.286694527135162</v>
      </c>
      <c r="BV42" s="83">
        <f t="shared" si="144"/>
        <v>3.6829347345809138</v>
      </c>
      <c r="BW42" s="83">
        <f t="shared" si="145"/>
        <v>9.5243107275432646</v>
      </c>
      <c r="BX42" s="83">
        <f t="shared" si="146"/>
        <v>13.825125358401305</v>
      </c>
      <c r="BY42" s="83">
        <f t="shared" si="147"/>
        <v>1.9379112324507182</v>
      </c>
      <c r="BZ42" s="83">
        <f t="shared" si="148"/>
        <v>6.1281618944256193</v>
      </c>
      <c r="CA42" s="83">
        <f t="shared" si="149"/>
        <v>6.7459712980190831</v>
      </c>
      <c r="CB42" s="83">
        <f t="shared" si="150"/>
        <v>12.411838160402088</v>
      </c>
      <c r="CC42" s="83">
        <f t="shared" si="151"/>
        <v>6.7459712980190831</v>
      </c>
      <c r="CD42" s="83">
        <f t="shared" si="152"/>
        <v>7.6505587690324157</v>
      </c>
      <c r="CE42" s="83">
        <f t="shared" si="153"/>
        <v>13.925678900169146</v>
      </c>
      <c r="CF42" s="83">
        <f t="shared" si="154"/>
        <v>7.6505587690324157</v>
      </c>
      <c r="CG42" s="83">
        <f t="shared" si="155"/>
        <v>3.773498703464051</v>
      </c>
    </row>
    <row r="43" spans="1:85" x14ac:dyDescent="0.25">
      <c r="A43" t="str">
        <f t="shared" ref="A43:E43" si="164">A9</f>
        <v>S. Buschelman</v>
      </c>
      <c r="B43">
        <f t="shared" si="164"/>
        <v>34</v>
      </c>
      <c r="C43">
        <f t="shared" ca="1" si="164"/>
        <v>63</v>
      </c>
      <c r="D43" t="str">
        <f t="shared" si="164"/>
        <v>TEC</v>
      </c>
      <c r="E43" s="265">
        <f t="shared" si="164"/>
        <v>36526</v>
      </c>
      <c r="F43" s="195">
        <f t="shared" si="77"/>
        <v>1.5</v>
      </c>
      <c r="G43" s="196">
        <f t="shared" ref="G43:H43" si="165">J9</f>
        <v>14.8</v>
      </c>
      <c r="H43" s="49">
        <f t="shared" si="165"/>
        <v>0</v>
      </c>
      <c r="I43" s="49">
        <f t="shared" si="79"/>
        <v>9.3036666666666648</v>
      </c>
      <c r="J43" s="49">
        <f t="shared" si="80"/>
        <v>14</v>
      </c>
      <c r="K43" s="49">
        <f t="shared" si="81"/>
        <v>12.945</v>
      </c>
      <c r="L43" s="49">
        <f t="shared" si="82"/>
        <v>9.9499999999999993</v>
      </c>
      <c r="M43" s="49">
        <f t="shared" si="83"/>
        <v>3.95</v>
      </c>
      <c r="N43" s="49">
        <f t="shared" si="84"/>
        <v>16</v>
      </c>
      <c r="O43" s="196">
        <f t="shared" si="85"/>
        <v>4.0254583333333329</v>
      </c>
      <c r="P43" s="196">
        <f t="shared" si="86"/>
        <v>14.520371188030476</v>
      </c>
      <c r="Q43" s="196">
        <f t="shared" si="87"/>
        <v>0.67749999999999999</v>
      </c>
      <c r="R43" s="196">
        <f t="shared" si="88"/>
        <v>0.8521466666666665</v>
      </c>
      <c r="S43" s="196">
        <f t="shared" ca="1" si="89"/>
        <v>18.560348953859943</v>
      </c>
      <c r="T43" s="83">
        <f t="shared" si="90"/>
        <v>5.2394966367197302</v>
      </c>
      <c r="U43" s="83">
        <f t="shared" si="91"/>
        <v>7.9049688327665191</v>
      </c>
      <c r="V43" s="83">
        <f t="shared" si="92"/>
        <v>5.2394966367197302</v>
      </c>
      <c r="W43" s="83">
        <f t="shared" si="93"/>
        <v>6.3798320601917302</v>
      </c>
      <c r="X43" s="83">
        <f t="shared" si="94"/>
        <v>12.364015620526608</v>
      </c>
      <c r="Y43" s="83">
        <f t="shared" si="95"/>
        <v>3.1899160300958651</v>
      </c>
      <c r="Z43" s="83">
        <f t="shared" si="96"/>
        <v>4.0603630510186663</v>
      </c>
      <c r="AA43" s="83">
        <f t="shared" si="97"/>
        <v>4.6735979045590579</v>
      </c>
      <c r="AB43" s="83">
        <f t="shared" si="98"/>
        <v>8.9391832936407365</v>
      </c>
      <c r="AC43" s="83">
        <f t="shared" si="99"/>
        <v>2.3367989522795289</v>
      </c>
      <c r="AD43" s="83">
        <f t="shared" si="100"/>
        <v>6.5682343472360785</v>
      </c>
      <c r="AE43" s="327">
        <f t="shared" si="101"/>
        <v>11.37489437088448</v>
      </c>
      <c r="AF43" s="83">
        <f t="shared" si="102"/>
        <v>5.1187024668980152</v>
      </c>
      <c r="AG43" s="83">
        <f t="shared" si="103"/>
        <v>2.8490782752946107</v>
      </c>
      <c r="AH43" s="327">
        <f t="shared" si="104"/>
        <v>9.4111451848696461</v>
      </c>
      <c r="AI43" s="83">
        <f t="shared" si="105"/>
        <v>9.3224677778770619</v>
      </c>
      <c r="AJ43" s="83">
        <f t="shared" si="106"/>
        <v>8.7537230593328381</v>
      </c>
      <c r="AK43" s="83">
        <f t="shared" si="107"/>
        <v>3.1830782752946107</v>
      </c>
      <c r="AL43" s="83">
        <f t="shared" si="108"/>
        <v>2.0407124987116636</v>
      </c>
      <c r="AM43" s="83">
        <f t="shared" si="109"/>
        <v>3.3382842175421845</v>
      </c>
      <c r="AN43" s="83">
        <f t="shared" si="110"/>
        <v>7.3442252785928046</v>
      </c>
      <c r="AO43" s="83">
        <f t="shared" si="111"/>
        <v>1.6691421087710923</v>
      </c>
      <c r="AP43" s="83">
        <f t="shared" si="112"/>
        <v>16.104969412443786</v>
      </c>
      <c r="AQ43" s="83">
        <f t="shared" si="113"/>
        <v>1.6913453640017926</v>
      </c>
      <c r="AR43" s="83">
        <f t="shared" si="114"/>
        <v>2.7740322434809634</v>
      </c>
      <c r="AS43" s="83">
        <f t="shared" si="115"/>
        <v>0.84567268200089629</v>
      </c>
      <c r="AT43" s="83">
        <f t="shared" si="116"/>
        <v>2.3367989522795289</v>
      </c>
      <c r="AU43" s="83">
        <f t="shared" si="117"/>
        <v>4.9456062482106438</v>
      </c>
      <c r="AV43" s="83">
        <f t="shared" si="118"/>
        <v>1.1683994761397645</v>
      </c>
      <c r="AW43" s="83">
        <f t="shared" si="119"/>
        <v>17.060348953859943</v>
      </c>
      <c r="AX43" s="83">
        <f t="shared" si="120"/>
        <v>3.2916182853265656</v>
      </c>
      <c r="AY43" s="83">
        <f t="shared" si="121"/>
        <v>5.9087022735768286</v>
      </c>
      <c r="AZ43" s="83">
        <f t="shared" si="122"/>
        <v>1.6458091426632828</v>
      </c>
      <c r="BA43" s="83">
        <f t="shared" si="123"/>
        <v>3.5979285455732426</v>
      </c>
      <c r="BB43" s="83">
        <f t="shared" si="124"/>
        <v>4.3026774359432594</v>
      </c>
      <c r="BC43" s="83">
        <f t="shared" si="125"/>
        <v>15.030167428350611</v>
      </c>
      <c r="BD43" s="83">
        <f t="shared" si="126"/>
        <v>13.285330219981489</v>
      </c>
      <c r="BE43" s="83">
        <f t="shared" si="127"/>
        <v>3.1354940978802461</v>
      </c>
      <c r="BF43" s="83">
        <f t="shared" si="128"/>
        <v>5.9965475759554048</v>
      </c>
      <c r="BG43" s="83">
        <f t="shared" si="129"/>
        <v>3.2641001238190248</v>
      </c>
      <c r="BH43" s="83">
        <f t="shared" si="130"/>
        <v>6.4999929514206389</v>
      </c>
      <c r="BI43" s="83">
        <f t="shared" si="131"/>
        <v>13.386679985673592</v>
      </c>
      <c r="BJ43" s="83">
        <f t="shared" si="132"/>
        <v>0.67653814560071701</v>
      </c>
      <c r="BK43" s="83">
        <f t="shared" si="133"/>
        <v>2.2255228116947894</v>
      </c>
      <c r="BL43" s="83">
        <f t="shared" si="134"/>
        <v>0.84075306219580936</v>
      </c>
      <c r="BM43" s="83">
        <f t="shared" si="135"/>
        <v>5.2034064309272825</v>
      </c>
      <c r="BN43" s="83">
        <f t="shared" si="136"/>
        <v>19.726308754663886</v>
      </c>
      <c r="BO43" s="83">
        <f t="shared" si="137"/>
        <v>1.7563971087710923</v>
      </c>
      <c r="BP43" s="83">
        <f t="shared" si="138"/>
        <v>3.5113804362295564</v>
      </c>
      <c r="BQ43" s="83">
        <f t="shared" si="139"/>
        <v>3.0168198114084923</v>
      </c>
      <c r="BR43" s="83">
        <f t="shared" si="140"/>
        <v>7.7624587740062747</v>
      </c>
      <c r="BS43" s="83">
        <f t="shared" si="141"/>
        <v>17.003146640876817</v>
      </c>
      <c r="BT43" s="83">
        <f t="shared" si="142"/>
        <v>1.5742522234170531</v>
      </c>
      <c r="BU43" s="83">
        <f t="shared" si="143"/>
        <v>3.5113804362295564</v>
      </c>
      <c r="BV43" s="83">
        <f t="shared" si="144"/>
        <v>3.0168198114084923</v>
      </c>
      <c r="BW43" s="83">
        <f t="shared" si="145"/>
        <v>10.765080189885625</v>
      </c>
      <c r="BX43" s="83">
        <f t="shared" si="146"/>
        <v>13.746752313704649</v>
      </c>
      <c r="BY43" s="83">
        <f t="shared" si="147"/>
        <v>1.9255316451712714</v>
      </c>
      <c r="BZ43" s="83">
        <f t="shared" si="148"/>
        <v>6.9265016752671373</v>
      </c>
      <c r="CA43" s="83">
        <f t="shared" si="149"/>
        <v>7.5064697212698261</v>
      </c>
      <c r="CB43" s="83">
        <f t="shared" si="150"/>
        <v>11.151652922046296</v>
      </c>
      <c r="CC43" s="83">
        <f t="shared" si="151"/>
        <v>7.5064697212698261</v>
      </c>
      <c r="CD43" s="83">
        <f t="shared" si="152"/>
        <v>7.0773423982547445</v>
      </c>
      <c r="CE43" s="83">
        <f t="shared" si="153"/>
        <v>11.811167717834262</v>
      </c>
      <c r="CF43" s="83">
        <f t="shared" si="154"/>
        <v>7.0773423982547445</v>
      </c>
      <c r="CG43" s="83">
        <f t="shared" si="155"/>
        <v>4.2650872384649858</v>
      </c>
    </row>
    <row r="44" spans="1:85" x14ac:dyDescent="0.25">
      <c r="A44" t="str">
        <f t="shared" ref="A44:E44" si="166">A10</f>
        <v>E. Gross</v>
      </c>
      <c r="B44">
        <f t="shared" si="166"/>
        <v>35</v>
      </c>
      <c r="C44">
        <f t="shared" ca="1" si="166"/>
        <v>91</v>
      </c>
      <c r="D44">
        <f t="shared" si="166"/>
        <v>0</v>
      </c>
      <c r="E44" s="265">
        <f t="shared" si="166"/>
        <v>36526</v>
      </c>
      <c r="F44" s="195">
        <f t="shared" si="77"/>
        <v>1.5</v>
      </c>
      <c r="G44" s="196">
        <f t="shared" ref="G44:H44" si="167">J10</f>
        <v>13.1</v>
      </c>
      <c r="H44" s="49">
        <f t="shared" si="167"/>
        <v>0</v>
      </c>
      <c r="I44" s="49">
        <f t="shared" si="79"/>
        <v>10.549999999999995</v>
      </c>
      <c r="J44" s="49">
        <f t="shared" si="80"/>
        <v>12.95</v>
      </c>
      <c r="K44" s="49">
        <f t="shared" si="81"/>
        <v>3.95</v>
      </c>
      <c r="L44" s="49">
        <f t="shared" si="82"/>
        <v>8.9499999999999993</v>
      </c>
      <c r="M44" s="49">
        <f t="shared" si="83"/>
        <v>0.95</v>
      </c>
      <c r="N44" s="49">
        <f t="shared" si="84"/>
        <v>17.3</v>
      </c>
      <c r="O44" s="196">
        <f t="shared" si="85"/>
        <v>3.9312499999999995</v>
      </c>
      <c r="P44" s="196">
        <f t="shared" si="86"/>
        <v>10.099226084532321</v>
      </c>
      <c r="Q44" s="196">
        <f t="shared" si="87"/>
        <v>0.5665</v>
      </c>
      <c r="R44" s="196">
        <f t="shared" si="88"/>
        <v>0.94099999999999984</v>
      </c>
      <c r="S44" s="196">
        <f t="shared" ca="1" si="89"/>
        <v>19.789695060874354</v>
      </c>
      <c r="T44" s="83">
        <f t="shared" si="90"/>
        <v>5.5218037881433082</v>
      </c>
      <c r="U44" s="83">
        <f t="shared" si="91"/>
        <v>8.3434463235887861</v>
      </c>
      <c r="V44" s="83">
        <f t="shared" si="92"/>
        <v>5.5218037881433082</v>
      </c>
      <c r="W44" s="83">
        <f t="shared" si="93"/>
        <v>6.9864826514111638</v>
      </c>
      <c r="X44" s="83">
        <f t="shared" si="94"/>
        <v>13.539695060874347</v>
      </c>
      <c r="Y44" s="83">
        <f t="shared" si="95"/>
        <v>3.4932413257055819</v>
      </c>
      <c r="Z44" s="83">
        <f t="shared" si="96"/>
        <v>3.7936474244880953</v>
      </c>
      <c r="AA44" s="83">
        <f t="shared" si="97"/>
        <v>5.118004733010503</v>
      </c>
      <c r="AB44" s="83">
        <f t="shared" si="98"/>
        <v>9.7891995290121532</v>
      </c>
      <c r="AC44" s="83">
        <f t="shared" si="99"/>
        <v>2.5590023665052515</v>
      </c>
      <c r="AD44" s="83">
        <f t="shared" si="100"/>
        <v>6.1367825984366258</v>
      </c>
      <c r="AE44" s="327">
        <f t="shared" si="101"/>
        <v>12.456519456004401</v>
      </c>
      <c r="AF44" s="83">
        <f t="shared" si="102"/>
        <v>5.6054337552019797</v>
      </c>
      <c r="AG44" s="83">
        <f t="shared" si="103"/>
        <v>2.6619290751660167</v>
      </c>
      <c r="AH44" s="327">
        <f t="shared" si="104"/>
        <v>4.0805406957941193</v>
      </c>
      <c r="AI44" s="83">
        <f t="shared" si="105"/>
        <v>10.208930075899257</v>
      </c>
      <c r="AJ44" s="83">
        <f t="shared" si="106"/>
        <v>9.5861041030990375</v>
      </c>
      <c r="AK44" s="83">
        <f t="shared" si="107"/>
        <v>3.3883790751660174</v>
      </c>
      <c r="AL44" s="83">
        <f t="shared" si="108"/>
        <v>1.9932321775318131</v>
      </c>
      <c r="AM44" s="83">
        <f t="shared" si="109"/>
        <v>3.655717666436074</v>
      </c>
      <c r="AN44" s="83">
        <f t="shared" si="110"/>
        <v>8.0425788661593618</v>
      </c>
      <c r="AO44" s="83">
        <f t="shared" si="111"/>
        <v>1.827858833218037</v>
      </c>
      <c r="AP44" s="83">
        <f t="shared" si="112"/>
        <v>15.047072137465387</v>
      </c>
      <c r="AQ44" s="83">
        <f t="shared" si="113"/>
        <v>1.5521603579136658</v>
      </c>
      <c r="AR44" s="83">
        <f t="shared" si="114"/>
        <v>2.1143306528361849</v>
      </c>
      <c r="AS44" s="83">
        <f t="shared" si="115"/>
        <v>0.7760801789568329</v>
      </c>
      <c r="AT44" s="83">
        <f t="shared" si="116"/>
        <v>2.5590023665052515</v>
      </c>
      <c r="AU44" s="83">
        <f t="shared" si="117"/>
        <v>5.4158780243497393</v>
      </c>
      <c r="AV44" s="83">
        <f t="shared" si="118"/>
        <v>1.2795011832526257</v>
      </c>
      <c r="AW44" s="83">
        <f t="shared" si="119"/>
        <v>15.939695060874351</v>
      </c>
      <c r="AX44" s="83">
        <f t="shared" si="120"/>
        <v>3.020742850401211</v>
      </c>
      <c r="AY44" s="83">
        <f t="shared" si="121"/>
        <v>4.8987719785417685</v>
      </c>
      <c r="AZ44" s="83">
        <f t="shared" si="122"/>
        <v>1.5103714252006055</v>
      </c>
      <c r="BA44" s="83">
        <f t="shared" si="123"/>
        <v>3.9400512627144346</v>
      </c>
      <c r="BB44" s="83">
        <f t="shared" si="124"/>
        <v>4.7118138811842725</v>
      </c>
      <c r="BC44" s="83">
        <f t="shared" si="125"/>
        <v>14.042871348630303</v>
      </c>
      <c r="BD44" s="83">
        <f t="shared" si="126"/>
        <v>7.7443889091172986</v>
      </c>
      <c r="BE44" s="83">
        <f t="shared" si="127"/>
        <v>2.8774665096707186</v>
      </c>
      <c r="BF44" s="83">
        <f t="shared" si="128"/>
        <v>6.566752104524058</v>
      </c>
      <c r="BG44" s="83">
        <f t="shared" si="129"/>
        <v>3.5744794960708277</v>
      </c>
      <c r="BH44" s="83">
        <f t="shared" si="130"/>
        <v>6.0730238181931275</v>
      </c>
      <c r="BI44" s="83">
        <f t="shared" si="131"/>
        <v>7.0702934832041837</v>
      </c>
      <c r="BJ44" s="83">
        <f t="shared" si="132"/>
        <v>0.62086414316546623</v>
      </c>
      <c r="BK44" s="83">
        <f t="shared" si="133"/>
        <v>2.4371451109573825</v>
      </c>
      <c r="BL44" s="83">
        <f t="shared" si="134"/>
        <v>0.92069926413945569</v>
      </c>
      <c r="BM44" s="83">
        <f t="shared" si="135"/>
        <v>4.861606993566677</v>
      </c>
      <c r="BN44" s="83">
        <f t="shared" si="136"/>
        <v>10.354447848284416</v>
      </c>
      <c r="BO44" s="83">
        <f t="shared" si="137"/>
        <v>1.6118588332180375</v>
      </c>
      <c r="BP44" s="83">
        <f t="shared" si="138"/>
        <v>3.8452733972883144</v>
      </c>
      <c r="BQ44" s="83">
        <f t="shared" si="139"/>
        <v>3.3036855948533406</v>
      </c>
      <c r="BR44" s="83">
        <f t="shared" si="140"/>
        <v>7.2525612526978298</v>
      </c>
      <c r="BS44" s="83">
        <f t="shared" si="141"/>
        <v>8.9091821274487817</v>
      </c>
      <c r="BT44" s="83">
        <f t="shared" si="142"/>
        <v>1.4447031023657964</v>
      </c>
      <c r="BU44" s="83">
        <f t="shared" si="143"/>
        <v>3.8452733972883144</v>
      </c>
      <c r="BV44" s="83">
        <f t="shared" si="144"/>
        <v>3.3036855948533406</v>
      </c>
      <c r="BW44" s="83">
        <f t="shared" si="145"/>
        <v>10.057947583411716</v>
      </c>
      <c r="BX44" s="83">
        <f t="shared" si="146"/>
        <v>7.1760270794825445</v>
      </c>
      <c r="BY44" s="83">
        <f t="shared" si="147"/>
        <v>1.7670748690094038</v>
      </c>
      <c r="BZ44" s="83">
        <f t="shared" si="148"/>
        <v>6.4715161947149866</v>
      </c>
      <c r="CA44" s="83">
        <f t="shared" si="149"/>
        <v>4.4845811267155371</v>
      </c>
      <c r="CB44" s="83">
        <f t="shared" si="150"/>
        <v>8.7800966385445207</v>
      </c>
      <c r="CC44" s="83">
        <f t="shared" si="151"/>
        <v>4.4845811267155371</v>
      </c>
      <c r="CD44" s="83">
        <f t="shared" si="152"/>
        <v>4.1234300229247216</v>
      </c>
      <c r="CE44" s="83">
        <f t="shared" si="153"/>
        <v>8.3454425383369877</v>
      </c>
      <c r="CF44" s="83">
        <f t="shared" si="154"/>
        <v>4.1234300229247216</v>
      </c>
      <c r="CG44" s="83">
        <f t="shared" si="155"/>
        <v>3.9849237652185878</v>
      </c>
    </row>
    <row r="45" spans="1:85" x14ac:dyDescent="0.25">
      <c r="A45" t="str">
        <f t="shared" ref="A45:E45" si="168">A11</f>
        <v>W. Gelifini</v>
      </c>
      <c r="B45">
        <f t="shared" si="168"/>
        <v>34</v>
      </c>
      <c r="C45">
        <f t="shared" ca="1" si="168"/>
        <v>16</v>
      </c>
      <c r="D45">
        <f t="shared" si="168"/>
        <v>0</v>
      </c>
      <c r="E45" s="265">
        <f t="shared" si="168"/>
        <v>36526</v>
      </c>
      <c r="F45" s="195">
        <f t="shared" si="77"/>
        <v>1.5</v>
      </c>
      <c r="G45" s="196">
        <f t="shared" ref="G45:H45" si="169">J11</f>
        <v>4.5</v>
      </c>
      <c r="H45" s="49">
        <f t="shared" si="169"/>
        <v>0</v>
      </c>
      <c r="I45" s="49">
        <f t="shared" si="79"/>
        <v>5.6515555555555519</v>
      </c>
      <c r="J45" s="49">
        <f t="shared" si="80"/>
        <v>9</v>
      </c>
      <c r="K45" s="49">
        <f t="shared" si="81"/>
        <v>6.95</v>
      </c>
      <c r="L45" s="49">
        <f t="shared" si="82"/>
        <v>8.9499999999999993</v>
      </c>
      <c r="M45" s="49">
        <f t="shared" si="83"/>
        <v>2.95</v>
      </c>
      <c r="N45" s="49">
        <f t="shared" si="84"/>
        <v>12.847222222222223</v>
      </c>
      <c r="O45" s="196">
        <f t="shared" si="85"/>
        <v>3.318944444444444</v>
      </c>
      <c r="P45" s="196">
        <f t="shared" si="86"/>
        <v>9.6027717628135694</v>
      </c>
      <c r="Q45" s="196">
        <f t="shared" si="87"/>
        <v>0.53291666666666671</v>
      </c>
      <c r="R45" s="196">
        <f t="shared" si="88"/>
        <v>0.61147888888888879</v>
      </c>
      <c r="S45" s="196">
        <f t="shared" ca="1" si="89"/>
        <v>14.718172240589348</v>
      </c>
      <c r="T45" s="83">
        <f t="shared" si="90"/>
        <v>3.6296686993678327</v>
      </c>
      <c r="U45" s="83">
        <f t="shared" si="91"/>
        <v>5.4628075848230679</v>
      </c>
      <c r="V45" s="83">
        <f t="shared" si="92"/>
        <v>3.6296686993678327</v>
      </c>
      <c r="W45" s="83">
        <f t="shared" si="93"/>
        <v>4.1396128761441018</v>
      </c>
      <c r="X45" s="83">
        <f t="shared" si="94"/>
        <v>8.0225055739226772</v>
      </c>
      <c r="Y45" s="83">
        <f t="shared" si="95"/>
        <v>2.0698064380720509</v>
      </c>
      <c r="Z45" s="83">
        <f t="shared" si="96"/>
        <v>2.7062861043713755</v>
      </c>
      <c r="AA45" s="83">
        <f t="shared" si="97"/>
        <v>3.0325071069427718</v>
      </c>
      <c r="AB45" s="83">
        <f t="shared" si="98"/>
        <v>5.8002715299460954</v>
      </c>
      <c r="AC45" s="83">
        <f t="shared" si="99"/>
        <v>1.5162535534713859</v>
      </c>
      <c r="AD45" s="83">
        <f t="shared" si="100"/>
        <v>4.3778157570713434</v>
      </c>
      <c r="AE45" s="327">
        <f t="shared" si="101"/>
        <v>7.3807051280088629</v>
      </c>
      <c r="AF45" s="83">
        <f t="shared" si="102"/>
        <v>3.3213173076039881</v>
      </c>
      <c r="AG45" s="83">
        <f t="shared" si="103"/>
        <v>1.8989486530673101</v>
      </c>
      <c r="AH45" s="327">
        <f t="shared" si="104"/>
        <v>5.4807186107998689</v>
      </c>
      <c r="AI45" s="83">
        <f t="shared" si="105"/>
        <v>6.0489692027376982</v>
      </c>
      <c r="AJ45" s="83">
        <f t="shared" si="106"/>
        <v>5.6799339463372549</v>
      </c>
      <c r="AK45" s="83">
        <f t="shared" si="107"/>
        <v>2.5414347641784212</v>
      </c>
      <c r="AL45" s="83">
        <f t="shared" si="108"/>
        <v>1.6386896052897317</v>
      </c>
      <c r="AM45" s="83">
        <f t="shared" si="109"/>
        <v>2.1660765049591229</v>
      </c>
      <c r="AN45" s="83">
        <f t="shared" si="110"/>
        <v>4.7653683109100697</v>
      </c>
      <c r="AO45" s="83">
        <f t="shared" si="111"/>
        <v>1.0830382524795614</v>
      </c>
      <c r="AP45" s="83">
        <f t="shared" si="112"/>
        <v>10.734176817338566</v>
      </c>
      <c r="AQ45" s="83">
        <f t="shared" si="113"/>
        <v>1.4717235023877262</v>
      </c>
      <c r="AR45" s="83">
        <f t="shared" si="114"/>
        <v>2.2790383553815676</v>
      </c>
      <c r="AS45" s="83">
        <f t="shared" si="115"/>
        <v>0.7358617511938631</v>
      </c>
      <c r="AT45" s="83">
        <f t="shared" si="116"/>
        <v>1.5162535534713859</v>
      </c>
      <c r="AU45" s="83">
        <f t="shared" si="117"/>
        <v>3.2090022295690712</v>
      </c>
      <c r="AV45" s="83">
        <f t="shared" si="118"/>
        <v>0.75812677673569295</v>
      </c>
      <c r="AW45" s="83">
        <f t="shared" si="119"/>
        <v>11.370950018367125</v>
      </c>
      <c r="AX45" s="83">
        <f t="shared" si="120"/>
        <v>2.8642003546468824</v>
      </c>
      <c r="AY45" s="83">
        <f t="shared" si="121"/>
        <v>4.9778434601202859</v>
      </c>
      <c r="AZ45" s="83">
        <f t="shared" si="122"/>
        <v>1.4321001773234412</v>
      </c>
      <c r="BA45" s="83">
        <f t="shared" si="123"/>
        <v>2.3345491220114991</v>
      </c>
      <c r="BB45" s="83">
        <f t="shared" si="124"/>
        <v>2.7918319397250912</v>
      </c>
      <c r="BC45" s="83">
        <f t="shared" si="125"/>
        <v>10.017806966181437</v>
      </c>
      <c r="BD45" s="83">
        <f t="shared" si="126"/>
        <v>8.9163245663283739</v>
      </c>
      <c r="BE45" s="83">
        <f t="shared" si="127"/>
        <v>2.728348954426477</v>
      </c>
      <c r="BF45" s="83">
        <f t="shared" si="128"/>
        <v>3.8909152033524985</v>
      </c>
      <c r="BG45" s="83">
        <f t="shared" si="129"/>
        <v>2.1179414715155866</v>
      </c>
      <c r="BH45" s="83">
        <f t="shared" si="130"/>
        <v>4.3323319569978747</v>
      </c>
      <c r="BI45" s="83">
        <f t="shared" si="131"/>
        <v>8.5485103160528677</v>
      </c>
      <c r="BJ45" s="83">
        <f t="shared" si="132"/>
        <v>0.58868940095509048</v>
      </c>
      <c r="BK45" s="83">
        <f t="shared" si="133"/>
        <v>1.4440510033060818</v>
      </c>
      <c r="BL45" s="83">
        <f t="shared" si="134"/>
        <v>0.54553037902674206</v>
      </c>
      <c r="BM45" s="83">
        <f t="shared" si="135"/>
        <v>3.4681397556019733</v>
      </c>
      <c r="BN45" s="83">
        <f t="shared" si="136"/>
        <v>12.558741723620122</v>
      </c>
      <c r="BO45" s="83">
        <f t="shared" si="137"/>
        <v>1.5283282524795618</v>
      </c>
      <c r="BP45" s="83">
        <f t="shared" si="138"/>
        <v>2.2783915829940402</v>
      </c>
      <c r="BQ45" s="83">
        <f t="shared" si="139"/>
        <v>1.9574913600371331</v>
      </c>
      <c r="BR45" s="83">
        <f t="shared" si="140"/>
        <v>5.1737822583570425</v>
      </c>
      <c r="BS45" s="83">
        <f t="shared" si="141"/>
        <v>10.815612620350775</v>
      </c>
      <c r="BT45" s="83">
        <f t="shared" si="142"/>
        <v>1.369834952222422</v>
      </c>
      <c r="BU45" s="83">
        <f t="shared" si="143"/>
        <v>2.2783915829940402</v>
      </c>
      <c r="BV45" s="83">
        <f t="shared" si="144"/>
        <v>1.9574913600371331</v>
      </c>
      <c r="BW45" s="83">
        <f t="shared" si="145"/>
        <v>7.175069461589656</v>
      </c>
      <c r="BX45" s="83">
        <f t="shared" si="146"/>
        <v>8.7282502664385753</v>
      </c>
      <c r="BY45" s="83">
        <f t="shared" si="147"/>
        <v>1.6755006027183343</v>
      </c>
      <c r="BZ45" s="83">
        <f t="shared" si="148"/>
        <v>4.6166057074570528</v>
      </c>
      <c r="CA45" s="83">
        <f t="shared" si="149"/>
        <v>4.8482149595692716</v>
      </c>
      <c r="CB45" s="83">
        <f t="shared" si="150"/>
        <v>9.249389720681382</v>
      </c>
      <c r="CC45" s="83">
        <f t="shared" si="151"/>
        <v>4.8482149595692716</v>
      </c>
      <c r="CD45" s="83">
        <f t="shared" si="152"/>
        <v>4.9209518614427195</v>
      </c>
      <c r="CE45" s="83">
        <f t="shared" si="153"/>
        <v>9.4983805751445942</v>
      </c>
      <c r="CF45" s="83">
        <f t="shared" si="154"/>
        <v>4.9209518614427195</v>
      </c>
      <c r="CG45" s="83">
        <f t="shared" si="155"/>
        <v>2.8427375045917813</v>
      </c>
    </row>
    <row r="46" spans="1:85" x14ac:dyDescent="0.25">
      <c r="A46" t="str">
        <f t="shared" ref="A46:E46" si="170">A12</f>
        <v>I. Vanags</v>
      </c>
      <c r="B46">
        <f t="shared" si="170"/>
        <v>18</v>
      </c>
      <c r="C46">
        <f t="shared" ca="1" si="170"/>
        <v>86</v>
      </c>
      <c r="D46" t="str">
        <f t="shared" si="170"/>
        <v>CAB</v>
      </c>
      <c r="E46" s="265">
        <f t="shared" si="170"/>
        <v>43626</v>
      </c>
      <c r="F46" s="195">
        <f t="shared" ca="1" si="77"/>
        <v>0.2175776824553268</v>
      </c>
      <c r="G46" s="196">
        <f t="shared" ref="G46:H46" si="171">J12</f>
        <v>0.4</v>
      </c>
      <c r="H46" s="49">
        <f t="shared" si="171"/>
        <v>0</v>
      </c>
      <c r="I46" s="49">
        <f t="shared" si="79"/>
        <v>4</v>
      </c>
      <c r="J46" s="49">
        <f t="shared" si="80"/>
        <v>7.8</v>
      </c>
      <c r="K46" s="49">
        <f t="shared" si="81"/>
        <v>3</v>
      </c>
      <c r="L46" s="49">
        <f t="shared" si="82"/>
        <v>4</v>
      </c>
      <c r="M46" s="49">
        <f t="shared" si="83"/>
        <v>7</v>
      </c>
      <c r="N46" s="49">
        <f t="shared" si="84"/>
        <v>6</v>
      </c>
      <c r="O46" s="196">
        <f t="shared" si="85"/>
        <v>1.875</v>
      </c>
      <c r="P46" s="196">
        <f t="shared" ca="1" si="86"/>
        <v>6.6282501193393362</v>
      </c>
      <c r="Q46" s="196">
        <f t="shared" si="87"/>
        <v>0.53</v>
      </c>
      <c r="R46" s="196">
        <f t="shared" si="88"/>
        <v>0.33999999999999997</v>
      </c>
      <c r="S46" s="196">
        <f t="shared" ca="1" si="89"/>
        <v>5.7731597699175943</v>
      </c>
      <c r="T46" s="83">
        <f t="shared" ca="1" si="90"/>
        <v>0.83074314668924853</v>
      </c>
      <c r="U46" s="83">
        <f t="shared" ca="1" si="91"/>
        <v>1.2959053864556926</v>
      </c>
      <c r="V46" s="83">
        <f t="shared" ca="1" si="92"/>
        <v>0.83074314668924853</v>
      </c>
      <c r="W46" s="83">
        <f t="shared" ca="1" si="93"/>
        <v>1.9024873581805866</v>
      </c>
      <c r="X46" s="83">
        <f t="shared" ca="1" si="94"/>
        <v>3.6869910042259431</v>
      </c>
      <c r="Y46" s="83">
        <f t="shared" ca="1" si="95"/>
        <v>0.95124367909029328</v>
      </c>
      <c r="Z46" s="83">
        <f t="shared" ca="1" si="96"/>
        <v>1.7819038590057745</v>
      </c>
      <c r="AA46" s="83">
        <f t="shared" ca="1" si="97"/>
        <v>1.3936825995974065</v>
      </c>
      <c r="AB46" s="83">
        <f t="shared" ca="1" si="98"/>
        <v>2.6656944960553566</v>
      </c>
      <c r="AC46" s="83">
        <f t="shared" ca="1" si="99"/>
        <v>0.69684129979870324</v>
      </c>
      <c r="AD46" s="83">
        <f t="shared" ca="1" si="100"/>
        <v>2.8824915366269885</v>
      </c>
      <c r="AE46" s="327">
        <f t="shared" ca="1" si="101"/>
        <v>3.3920317238878677</v>
      </c>
      <c r="AF46" s="83">
        <f t="shared" ca="1" si="102"/>
        <v>1.5264142757495403</v>
      </c>
      <c r="AG46" s="83">
        <f t="shared" ca="1" si="103"/>
        <v>1.2503274977057326</v>
      </c>
      <c r="AH46" s="327">
        <f t="shared" ca="1" si="104"/>
        <v>1.5799507104848547</v>
      </c>
      <c r="AI46" s="83">
        <f t="shared" ca="1" si="105"/>
        <v>2.7799912171863612</v>
      </c>
      <c r="AJ46" s="83">
        <f t="shared" ca="1" si="106"/>
        <v>2.6103896309919676</v>
      </c>
      <c r="AK46" s="83">
        <f t="shared" ca="1" si="107"/>
        <v>0.9497274977057325</v>
      </c>
      <c r="AL46" s="83">
        <f t="shared" ca="1" si="108"/>
        <v>0.44985340921707168</v>
      </c>
      <c r="AM46" s="83">
        <f t="shared" ca="1" si="109"/>
        <v>0.99548757114100472</v>
      </c>
      <c r="AN46" s="83">
        <f t="shared" ca="1" si="110"/>
        <v>2.19007265651021</v>
      </c>
      <c r="AO46" s="83">
        <f t="shared" ca="1" si="111"/>
        <v>0.49774378557050236</v>
      </c>
      <c r="AP46" s="83">
        <f t="shared" ca="1" si="112"/>
        <v>7.0677195079892909</v>
      </c>
      <c r="AQ46" s="83">
        <f t="shared" ca="1" si="113"/>
        <v>0.47930883054937262</v>
      </c>
      <c r="AR46" s="83">
        <f t="shared" ca="1" si="114"/>
        <v>1.5992883642382012</v>
      </c>
      <c r="AS46" s="83">
        <f t="shared" ca="1" si="115"/>
        <v>0.23965441527468631</v>
      </c>
      <c r="AT46" s="83">
        <f t="shared" ca="1" si="116"/>
        <v>0.69684129979870324</v>
      </c>
      <c r="AU46" s="83">
        <f t="shared" ca="1" si="117"/>
        <v>1.4747964016903774</v>
      </c>
      <c r="AV46" s="83">
        <f t="shared" ca="1" si="118"/>
        <v>0.34842064989935162</v>
      </c>
      <c r="AW46" s="83">
        <f t="shared" ca="1" si="119"/>
        <v>7.4869910042259438</v>
      </c>
      <c r="AX46" s="83">
        <f t="shared" ca="1" si="120"/>
        <v>0.9328087240691636</v>
      </c>
      <c r="AY46" s="83">
        <f t="shared" ca="1" si="121"/>
        <v>2.6615320433284948</v>
      </c>
      <c r="AZ46" s="83">
        <f t="shared" ca="1" si="122"/>
        <v>0.4664043620345818</v>
      </c>
      <c r="BA46" s="83">
        <f t="shared" ca="1" si="123"/>
        <v>1.0729143822297493</v>
      </c>
      <c r="BB46" s="83">
        <f t="shared" ca="1" si="124"/>
        <v>1.2830728694706282</v>
      </c>
      <c r="BC46" s="83">
        <f t="shared" ca="1" si="125"/>
        <v>6.5960390747230564</v>
      </c>
      <c r="BD46" s="83">
        <f t="shared" ca="1" si="126"/>
        <v>2.7037350027568632</v>
      </c>
      <c r="BE46" s="83">
        <f t="shared" ca="1" si="127"/>
        <v>0.88856483201845227</v>
      </c>
      <c r="BF46" s="83">
        <f t="shared" ca="1" si="128"/>
        <v>1.7881906370495824</v>
      </c>
      <c r="BG46" s="83">
        <f t="shared" ca="1" si="129"/>
        <v>0.97336562511564906</v>
      </c>
      <c r="BH46" s="83">
        <f t="shared" ca="1" si="130"/>
        <v>2.8525435726100845</v>
      </c>
      <c r="BI46" s="83">
        <f t="shared" ca="1" si="131"/>
        <v>2.5494301376934745</v>
      </c>
      <c r="BJ46" s="83">
        <f t="shared" ca="1" si="132"/>
        <v>0.19172353221974903</v>
      </c>
      <c r="BK46" s="83">
        <f t="shared" ca="1" si="133"/>
        <v>0.66365838076066974</v>
      </c>
      <c r="BL46" s="83">
        <f t="shared" ca="1" si="134"/>
        <v>0.25071538828736417</v>
      </c>
      <c r="BM46" s="83">
        <f t="shared" ca="1" si="135"/>
        <v>2.2835322562889129</v>
      </c>
      <c r="BN46" s="83">
        <f t="shared" ca="1" si="136"/>
        <v>3.7414704314345633</v>
      </c>
      <c r="BO46" s="83">
        <f t="shared" ca="1" si="137"/>
        <v>0.49774378557050236</v>
      </c>
      <c r="BP46" s="83">
        <f t="shared" ca="1" si="138"/>
        <v>1.0471054452001678</v>
      </c>
      <c r="BQ46" s="83">
        <f t="shared" ca="1" si="139"/>
        <v>0.8996258050311301</v>
      </c>
      <c r="BR46" s="83">
        <f t="shared" ca="1" si="140"/>
        <v>3.4065809069228044</v>
      </c>
      <c r="BS46" s="83">
        <f t="shared" ca="1" si="141"/>
        <v>3.2211860326823452</v>
      </c>
      <c r="BT46" s="83">
        <f t="shared" ca="1" si="142"/>
        <v>0.44612591151133912</v>
      </c>
      <c r="BU46" s="83">
        <f t="shared" ca="1" si="143"/>
        <v>1.0471054452001678</v>
      </c>
      <c r="BV46" s="83">
        <f t="shared" ca="1" si="144"/>
        <v>0.8996258050311301</v>
      </c>
      <c r="BW46" s="83">
        <f t="shared" ca="1" si="145"/>
        <v>4.7242913236665709</v>
      </c>
      <c r="BX46" s="83">
        <f t="shared" ca="1" si="146"/>
        <v>2.5978569487822192</v>
      </c>
      <c r="BY46" s="83">
        <f t="shared" ca="1" si="147"/>
        <v>0.54567466862543956</v>
      </c>
      <c r="BZ46" s="83">
        <f t="shared" ca="1" si="148"/>
        <v>3.0397183477157332</v>
      </c>
      <c r="CA46" s="83">
        <f t="shared" ca="1" si="149"/>
        <v>2.1579223132017162</v>
      </c>
      <c r="CB46" s="83">
        <f t="shared" ca="1" si="150"/>
        <v>5.9005518707584113</v>
      </c>
      <c r="CC46" s="83">
        <f t="shared" ca="1" si="151"/>
        <v>2.1579223132017162</v>
      </c>
      <c r="CD46" s="83">
        <f t="shared" ca="1" si="152"/>
        <v>3.0594251981943779</v>
      </c>
      <c r="CE46" s="83">
        <f t="shared" ca="1" si="153"/>
        <v>8.0474906847853163</v>
      </c>
      <c r="CF46" s="83">
        <f t="shared" ca="1" si="154"/>
        <v>3.0594251981943779</v>
      </c>
      <c r="CG46" s="83">
        <f t="shared" ca="1" si="155"/>
        <v>1.8717477510564859</v>
      </c>
    </row>
    <row r="47" spans="1:85" x14ac:dyDescent="0.25">
      <c r="A47" t="str">
        <f t="shared" ref="A47:E47" si="172">A13</f>
        <v>I. Stone</v>
      </c>
      <c r="B47">
        <f t="shared" si="172"/>
        <v>18</v>
      </c>
      <c r="C47">
        <f t="shared" ca="1" si="172"/>
        <v>29</v>
      </c>
      <c r="D47" t="str">
        <f t="shared" si="172"/>
        <v>RAP</v>
      </c>
      <c r="E47" s="265">
        <f t="shared" si="172"/>
        <v>43633</v>
      </c>
      <c r="F47" s="195">
        <f t="shared" ca="1" si="77"/>
        <v>0.18470474700304157</v>
      </c>
      <c r="G47" s="196">
        <f t="shared" ref="G47:H47" si="173">J13</f>
        <v>1.2</v>
      </c>
      <c r="H47" s="49">
        <f t="shared" si="173"/>
        <v>0</v>
      </c>
      <c r="I47" s="49">
        <f t="shared" si="79"/>
        <v>3</v>
      </c>
      <c r="J47" s="49">
        <f t="shared" si="80"/>
        <v>6.25</v>
      </c>
      <c r="K47" s="49">
        <f t="shared" si="81"/>
        <v>2</v>
      </c>
      <c r="L47" s="49">
        <f t="shared" si="82"/>
        <v>6</v>
      </c>
      <c r="M47" s="49">
        <f t="shared" si="83"/>
        <v>9</v>
      </c>
      <c r="N47" s="49">
        <f t="shared" si="84"/>
        <v>2</v>
      </c>
      <c r="O47" s="196">
        <f t="shared" si="85"/>
        <v>2.25</v>
      </c>
      <c r="P47" s="196">
        <f t="shared" ca="1" si="86"/>
        <v>9.0815182292303884</v>
      </c>
      <c r="Q47" s="196">
        <f t="shared" si="87"/>
        <v>0.51</v>
      </c>
      <c r="R47" s="196">
        <f t="shared" si="88"/>
        <v>0.18000000000000002</v>
      </c>
      <c r="S47" s="196">
        <f t="shared" ca="1" si="89"/>
        <v>2.3728362366425908</v>
      </c>
      <c r="T47" s="83">
        <f t="shared" ca="1" si="90"/>
        <v>1.0814142145330907</v>
      </c>
      <c r="U47" s="83">
        <f t="shared" ca="1" si="91"/>
        <v>1.6497511465775716</v>
      </c>
      <c r="V47" s="83">
        <f t="shared" ca="1" si="92"/>
        <v>1.0814142145330907</v>
      </c>
      <c r="W47" s="83">
        <f t="shared" ca="1" si="93"/>
        <v>1.6977843467343354</v>
      </c>
      <c r="X47" s="83">
        <f t="shared" ca="1" si="94"/>
        <v>3.2902797417332081</v>
      </c>
      <c r="Y47" s="83">
        <f t="shared" ca="1" si="95"/>
        <v>0.84889217336716771</v>
      </c>
      <c r="Z47" s="83">
        <f t="shared" ca="1" si="96"/>
        <v>1.5565865785325035</v>
      </c>
      <c r="AA47" s="83">
        <f t="shared" ca="1" si="97"/>
        <v>1.2437257423751527</v>
      </c>
      <c r="AB47" s="83">
        <f t="shared" ca="1" si="98"/>
        <v>2.3788722532731095</v>
      </c>
      <c r="AC47" s="83">
        <f t="shared" ca="1" si="99"/>
        <v>0.62186287118757633</v>
      </c>
      <c r="AD47" s="83">
        <f t="shared" ca="1" si="100"/>
        <v>2.5180077005672854</v>
      </c>
      <c r="AE47" s="327">
        <f t="shared" ca="1" si="101"/>
        <v>3.0270573623945518</v>
      </c>
      <c r="AF47" s="83">
        <f t="shared" ca="1" si="102"/>
        <v>1.3621758130775481</v>
      </c>
      <c r="AG47" s="83">
        <f t="shared" ca="1" si="103"/>
        <v>1.0922267168694457</v>
      </c>
      <c r="AH47" s="327">
        <f t="shared" ca="1" si="104"/>
        <v>1.3466844881391262</v>
      </c>
      <c r="AI47" s="83">
        <f t="shared" ca="1" si="105"/>
        <v>2.4808709252668391</v>
      </c>
      <c r="AJ47" s="83">
        <f t="shared" ca="1" si="106"/>
        <v>2.3295180571471112</v>
      </c>
      <c r="AK47" s="83">
        <f t="shared" ca="1" si="107"/>
        <v>0.38247671686944579</v>
      </c>
      <c r="AL47" s="83">
        <f t="shared" ca="1" si="108"/>
        <v>0.73160056561916387</v>
      </c>
      <c r="AM47" s="83">
        <f t="shared" ca="1" si="109"/>
        <v>0.88837553026796623</v>
      </c>
      <c r="AN47" s="83">
        <f t="shared" ca="1" si="110"/>
        <v>1.9544261665895255</v>
      </c>
      <c r="AO47" s="83">
        <f t="shared" ca="1" si="111"/>
        <v>0.44418776513398311</v>
      </c>
      <c r="AP47" s="83">
        <f t="shared" ca="1" si="112"/>
        <v>6.1740240761961482</v>
      </c>
      <c r="AQ47" s="83">
        <f t="shared" ca="1" si="113"/>
        <v>0.81773636642531711</v>
      </c>
      <c r="AR47" s="83">
        <f t="shared" ca="1" si="114"/>
        <v>2.3620519643278297</v>
      </c>
      <c r="AS47" s="83">
        <f t="shared" ca="1" si="115"/>
        <v>0.40886818321265855</v>
      </c>
      <c r="AT47" s="83">
        <f t="shared" ca="1" si="116"/>
        <v>0.62186287118757633</v>
      </c>
      <c r="AU47" s="83">
        <f t="shared" ca="1" si="117"/>
        <v>1.3161118966932834</v>
      </c>
      <c r="AV47" s="83">
        <f t="shared" ca="1" si="118"/>
        <v>0.31093143559378816</v>
      </c>
      <c r="AW47" s="83">
        <f t="shared" ca="1" si="119"/>
        <v>6.5402797417332081</v>
      </c>
      <c r="AX47" s="83">
        <f t="shared" ca="1" si="120"/>
        <v>1.5914407746585018</v>
      </c>
      <c r="AY47" s="83">
        <f t="shared" ca="1" si="121"/>
        <v>4.0959441376949979</v>
      </c>
      <c r="AZ47" s="83">
        <f t="shared" ca="1" si="122"/>
        <v>0.79572038732925088</v>
      </c>
      <c r="BA47" s="83">
        <f t="shared" ca="1" si="123"/>
        <v>0.95747140484436355</v>
      </c>
      <c r="BB47" s="83">
        <f t="shared" ca="1" si="124"/>
        <v>1.1450173501231564</v>
      </c>
      <c r="BC47" s="83">
        <f t="shared" ca="1" si="125"/>
        <v>5.7619864524669566</v>
      </c>
      <c r="BD47" s="83">
        <f t="shared" ca="1" si="126"/>
        <v>3.2960586904008222</v>
      </c>
      <c r="BE47" s="83">
        <f t="shared" ca="1" si="127"/>
        <v>1.5159574177577031</v>
      </c>
      <c r="BF47" s="83">
        <f t="shared" ca="1" si="128"/>
        <v>1.5957856747406058</v>
      </c>
      <c r="BG47" s="83">
        <f t="shared" ca="1" si="129"/>
        <v>0.86863385181756703</v>
      </c>
      <c r="BH47" s="83">
        <f t="shared" ca="1" si="130"/>
        <v>2.4918465816003526</v>
      </c>
      <c r="BI47" s="83">
        <f t="shared" ca="1" si="131"/>
        <v>2.8057044942748242</v>
      </c>
      <c r="BJ47" s="83">
        <f t="shared" ca="1" si="132"/>
        <v>0.32709454657012682</v>
      </c>
      <c r="BK47" s="83">
        <f t="shared" ca="1" si="133"/>
        <v>0.59225035351197741</v>
      </c>
      <c r="BL47" s="83">
        <f t="shared" ca="1" si="134"/>
        <v>0.22373902243785818</v>
      </c>
      <c r="BM47" s="83">
        <f t="shared" ca="1" si="135"/>
        <v>1.9947853212286284</v>
      </c>
      <c r="BN47" s="83">
        <f t="shared" ca="1" si="136"/>
        <v>4.089299747868905</v>
      </c>
      <c r="BO47" s="83">
        <f t="shared" ca="1" si="137"/>
        <v>0.8491877651339832</v>
      </c>
      <c r="BP47" s="83">
        <f t="shared" ca="1" si="138"/>
        <v>0.934439446652231</v>
      </c>
      <c r="BQ47" s="83">
        <f t="shared" ca="1" si="139"/>
        <v>0.80282825698290272</v>
      </c>
      <c r="BR47" s="83">
        <f t="shared" ca="1" si="140"/>
        <v>2.9758272824886096</v>
      </c>
      <c r="BS47" s="83">
        <f t="shared" ca="1" si="141"/>
        <v>3.5136299538403946</v>
      </c>
      <c r="BT47" s="83">
        <f t="shared" ca="1" si="142"/>
        <v>0.76112384874971817</v>
      </c>
      <c r="BU47" s="83">
        <f t="shared" ca="1" si="143"/>
        <v>0.934439446652231</v>
      </c>
      <c r="BV47" s="83">
        <f t="shared" ca="1" si="144"/>
        <v>0.80282825698290272</v>
      </c>
      <c r="BW47" s="83">
        <f t="shared" ca="1" si="145"/>
        <v>4.1269165170336546</v>
      </c>
      <c r="BX47" s="83">
        <f t="shared" ca="1" si="146"/>
        <v>2.8218003688512212</v>
      </c>
      <c r="BY47" s="83">
        <f t="shared" ca="1" si="147"/>
        <v>0.93096140177651476</v>
      </c>
      <c r="BZ47" s="83">
        <f t="shared" ca="1" si="148"/>
        <v>2.6553535751436828</v>
      </c>
      <c r="CA47" s="83">
        <f t="shared" ca="1" si="149"/>
        <v>3.0822357454430014</v>
      </c>
      <c r="CB47" s="83">
        <f t="shared" ca="1" si="150"/>
        <v>8.8318549891915907</v>
      </c>
      <c r="CC47" s="83">
        <f t="shared" ca="1" si="151"/>
        <v>3.0822357454430014</v>
      </c>
      <c r="CD47" s="83">
        <f t="shared" ca="1" si="152"/>
        <v>4.0268210448789974</v>
      </c>
      <c r="CE47" s="83">
        <f t="shared" ca="1" si="153"/>
        <v>11.61139296643276</v>
      </c>
      <c r="CF47" s="83">
        <f t="shared" ca="1" si="154"/>
        <v>4.0268210448789974</v>
      </c>
      <c r="CG47" s="83">
        <f t="shared" ca="1" si="155"/>
        <v>1.635069935433302</v>
      </c>
    </row>
    <row r="48" spans="1:85" x14ac:dyDescent="0.25">
      <c r="A48" t="str">
        <f t="shared" ref="A48:E48" si="174">A14</f>
        <v>G. Piscaer</v>
      </c>
      <c r="B48">
        <f t="shared" si="174"/>
        <v>18</v>
      </c>
      <c r="C48">
        <f t="shared" ca="1" si="174"/>
        <v>102</v>
      </c>
      <c r="D48" t="str">
        <f t="shared" si="174"/>
        <v>IMP</v>
      </c>
      <c r="E48" s="265">
        <f t="shared" si="174"/>
        <v>43630</v>
      </c>
      <c r="F48" s="195">
        <f t="shared" ca="1" si="77"/>
        <v>0.199166215696265</v>
      </c>
      <c r="G48" s="196">
        <f t="shared" ref="G48:H48" si="175">J14</f>
        <v>1.8</v>
      </c>
      <c r="H48" s="49">
        <f t="shared" si="175"/>
        <v>0</v>
      </c>
      <c r="I48" s="49">
        <f t="shared" si="79"/>
        <v>4</v>
      </c>
      <c r="J48" s="49">
        <f t="shared" si="80"/>
        <v>8.6</v>
      </c>
      <c r="K48" s="49">
        <f t="shared" si="81"/>
        <v>3</v>
      </c>
      <c r="L48" s="49">
        <f t="shared" si="82"/>
        <v>2</v>
      </c>
      <c r="M48" s="49">
        <f t="shared" si="83"/>
        <v>8</v>
      </c>
      <c r="N48" s="49">
        <f t="shared" si="84"/>
        <v>0</v>
      </c>
      <c r="O48" s="196">
        <f t="shared" si="85"/>
        <v>1.375</v>
      </c>
      <c r="P48" s="196">
        <f t="shared" ca="1" si="86"/>
        <v>6.8723603183931523</v>
      </c>
      <c r="Q48" s="196">
        <f t="shared" si="87"/>
        <v>0.4</v>
      </c>
      <c r="R48" s="196">
        <f t="shared" si="88"/>
        <v>0.16</v>
      </c>
      <c r="S48" s="196">
        <f t="shared" ca="1" si="89"/>
        <v>0.62383669489466187</v>
      </c>
      <c r="T48" s="83">
        <f t="shared" ca="1" si="90"/>
        <v>1.5750093022430876</v>
      </c>
      <c r="U48" s="83">
        <f t="shared" ca="1" si="91"/>
        <v>2.396532656581702</v>
      </c>
      <c r="V48" s="83">
        <f t="shared" ca="1" si="92"/>
        <v>1.5750093022430876</v>
      </c>
      <c r="W48" s="83">
        <f t="shared" ca="1" si="93"/>
        <v>2.3423972508103472</v>
      </c>
      <c r="X48" s="83">
        <f t="shared" ca="1" si="94"/>
        <v>4.5395295558340063</v>
      </c>
      <c r="Y48" s="83">
        <f t="shared" ca="1" si="95"/>
        <v>1.1711986254051736</v>
      </c>
      <c r="Z48" s="83">
        <f t="shared" ca="1" si="96"/>
        <v>2.1752080342884934</v>
      </c>
      <c r="AA48" s="83">
        <f t="shared" ca="1" si="97"/>
        <v>1.7159421721052543</v>
      </c>
      <c r="AB48" s="83">
        <f t="shared" ca="1" si="98"/>
        <v>3.2820798688679864</v>
      </c>
      <c r="AC48" s="83">
        <f t="shared" ca="1" si="99"/>
        <v>0.85797108605262717</v>
      </c>
      <c r="AD48" s="83">
        <f t="shared" ca="1" si="100"/>
        <v>3.5187188789960926</v>
      </c>
      <c r="AE48" s="327">
        <f t="shared" ca="1" si="101"/>
        <v>4.1763671913672864</v>
      </c>
      <c r="AF48" s="83">
        <f t="shared" ca="1" si="102"/>
        <v>1.8793652361152786</v>
      </c>
      <c r="AG48" s="83">
        <f t="shared" ca="1" si="103"/>
        <v>1.526301435824279</v>
      </c>
      <c r="AH48" s="327">
        <f t="shared" ca="1" si="104"/>
        <v>2.0812433788303957</v>
      </c>
      <c r="AI48" s="83">
        <f t="shared" ca="1" si="105"/>
        <v>3.4228052850988409</v>
      </c>
      <c r="AJ48" s="83">
        <f t="shared" ca="1" si="106"/>
        <v>3.2139869255304765</v>
      </c>
      <c r="AK48" s="83">
        <f t="shared" ca="1" si="107"/>
        <v>9.0101435824279083E-2</v>
      </c>
      <c r="AL48" s="83">
        <f t="shared" ca="1" si="108"/>
        <v>0.55138451208019379</v>
      </c>
      <c r="AM48" s="83">
        <f t="shared" ca="1" si="109"/>
        <v>1.2256729800751818</v>
      </c>
      <c r="AN48" s="83">
        <f t="shared" ca="1" si="110"/>
        <v>2.6964805561653997</v>
      </c>
      <c r="AO48" s="83">
        <f t="shared" ca="1" si="111"/>
        <v>0.61283649003759089</v>
      </c>
      <c r="AP48" s="83">
        <f t="shared" ca="1" si="112"/>
        <v>8.627715900707301</v>
      </c>
      <c r="AQ48" s="83">
        <f t="shared" ca="1" si="113"/>
        <v>0.33013884225842083</v>
      </c>
      <c r="AR48" s="83">
        <f t="shared" ca="1" si="114"/>
        <v>1.7820821598593637</v>
      </c>
      <c r="AS48" s="83">
        <f t="shared" ca="1" si="115"/>
        <v>0.16506942112921041</v>
      </c>
      <c r="AT48" s="83">
        <f t="shared" ca="1" si="116"/>
        <v>0.85797108605262717</v>
      </c>
      <c r="AU48" s="83">
        <f t="shared" ca="1" si="117"/>
        <v>1.8158118223336026</v>
      </c>
      <c r="AV48" s="83">
        <f t="shared" ca="1" si="118"/>
        <v>0.42898554302631359</v>
      </c>
      <c r="AW48" s="83">
        <f t="shared" ca="1" si="119"/>
        <v>9.1395295558340059</v>
      </c>
      <c r="AX48" s="83">
        <f t="shared" ca="1" si="120"/>
        <v>0.64250097762600356</v>
      </c>
      <c r="AY48" s="83">
        <f t="shared" ca="1" si="121"/>
        <v>2.6592807852645377</v>
      </c>
      <c r="AZ48" s="83">
        <f t="shared" ca="1" si="122"/>
        <v>0.32125048881300178</v>
      </c>
      <c r="BA48" s="83">
        <f t="shared" ca="1" si="123"/>
        <v>1.3210031007476957</v>
      </c>
      <c r="BB48" s="83">
        <f t="shared" ca="1" si="124"/>
        <v>1.5797562854302341</v>
      </c>
      <c r="BC48" s="83">
        <f t="shared" ca="1" si="125"/>
        <v>8.0519255386897601</v>
      </c>
      <c r="BD48" s="83">
        <f t="shared" ca="1" si="126"/>
        <v>2.8316417751364313</v>
      </c>
      <c r="BE48" s="83">
        <f t="shared" ca="1" si="127"/>
        <v>0.61202662295599553</v>
      </c>
      <c r="BF48" s="83">
        <f t="shared" ca="1" si="128"/>
        <v>2.2016718345794928</v>
      </c>
      <c r="BG48" s="83">
        <f t="shared" ca="1" si="129"/>
        <v>1.1984358027401778</v>
      </c>
      <c r="BH48" s="83">
        <f t="shared" ca="1" si="130"/>
        <v>3.4821607607727563</v>
      </c>
      <c r="BI48" s="83">
        <f t="shared" ca="1" si="131"/>
        <v>2.8925488317989219</v>
      </c>
      <c r="BJ48" s="83">
        <f t="shared" ca="1" si="132"/>
        <v>0.13205553690336833</v>
      </c>
      <c r="BK48" s="83">
        <f t="shared" ca="1" si="133"/>
        <v>0.81711532005012111</v>
      </c>
      <c r="BL48" s="83">
        <f t="shared" ca="1" si="134"/>
        <v>0.30868800979671246</v>
      </c>
      <c r="BM48" s="83">
        <f t="shared" ca="1" si="135"/>
        <v>2.7875565145293719</v>
      </c>
      <c r="BN48" s="83">
        <f t="shared" ca="1" si="136"/>
        <v>4.2658350088025321</v>
      </c>
      <c r="BO48" s="83">
        <f t="shared" ca="1" si="137"/>
        <v>0.34283649003759087</v>
      </c>
      <c r="BP48" s="83">
        <f t="shared" ca="1" si="138"/>
        <v>1.2892263938568578</v>
      </c>
      <c r="BQ48" s="83">
        <f t="shared" ca="1" si="139"/>
        <v>1.1076452116234976</v>
      </c>
      <c r="BR48" s="83">
        <f t="shared" ca="1" si="140"/>
        <v>4.1584859479044729</v>
      </c>
      <c r="BS48" s="83">
        <f t="shared" ca="1" si="141"/>
        <v>3.6777987478640792</v>
      </c>
      <c r="BT48" s="83">
        <f t="shared" ca="1" si="142"/>
        <v>0.30728307625591478</v>
      </c>
      <c r="BU48" s="83">
        <f t="shared" ca="1" si="143"/>
        <v>1.2892263938568578</v>
      </c>
      <c r="BV48" s="83">
        <f t="shared" ca="1" si="144"/>
        <v>1.1076452116234976</v>
      </c>
      <c r="BW48" s="83">
        <f t="shared" ca="1" si="145"/>
        <v>5.7670431497312578</v>
      </c>
      <c r="BX48" s="83">
        <f t="shared" ca="1" si="146"/>
        <v>2.9748789524714354</v>
      </c>
      <c r="BY48" s="83">
        <f t="shared" ca="1" si="147"/>
        <v>0.37585037426343293</v>
      </c>
      <c r="BZ48" s="83">
        <f t="shared" ca="1" si="148"/>
        <v>3.7106489996686065</v>
      </c>
      <c r="CA48" s="83">
        <f t="shared" ca="1" si="149"/>
        <v>2.2290948985895174</v>
      </c>
      <c r="CB48" s="83">
        <f t="shared" ca="1" si="150"/>
        <v>6.357510279869091</v>
      </c>
      <c r="CC48" s="83">
        <f t="shared" ca="1" si="151"/>
        <v>2.2290948985895174</v>
      </c>
      <c r="CD48" s="83">
        <f t="shared" ca="1" si="152"/>
        <v>3.5713436972035573</v>
      </c>
      <c r="CE48" s="83">
        <f t="shared" ca="1" si="153"/>
        <v>9.4766159619367549</v>
      </c>
      <c r="CF48" s="83">
        <f t="shared" ca="1" si="154"/>
        <v>3.5713436972035573</v>
      </c>
      <c r="CG48" s="83">
        <f t="shared" ca="1" si="155"/>
        <v>2.2848823889585015</v>
      </c>
    </row>
    <row r="49" spans="1:85" x14ac:dyDescent="0.25">
      <c r="A49" t="str">
        <f t="shared" ref="A49:E49" si="176">A15</f>
        <v>M. Bondarewski</v>
      </c>
      <c r="B49">
        <f t="shared" si="176"/>
        <v>18</v>
      </c>
      <c r="C49">
        <f t="shared" ca="1" si="176"/>
        <v>102</v>
      </c>
      <c r="D49" t="str">
        <f t="shared" si="176"/>
        <v>RAP</v>
      </c>
      <c r="E49" s="265">
        <f t="shared" si="176"/>
        <v>43627</v>
      </c>
      <c r="F49" s="195">
        <f t="shared" ca="1" si="77"/>
        <v>0.21305928511808678</v>
      </c>
      <c r="G49" s="196">
        <f t="shared" ref="G49:H49" si="177">J15</f>
        <v>1.6</v>
      </c>
      <c r="H49" s="49">
        <f t="shared" si="177"/>
        <v>0</v>
      </c>
      <c r="I49" s="49">
        <f t="shared" si="79"/>
        <v>2</v>
      </c>
      <c r="J49" s="49">
        <f t="shared" si="80"/>
        <v>8.8000000000000007</v>
      </c>
      <c r="K49" s="49">
        <f t="shared" si="81"/>
        <v>5</v>
      </c>
      <c r="L49" s="49">
        <f t="shared" si="82"/>
        <v>4</v>
      </c>
      <c r="M49" s="49">
        <f t="shared" si="83"/>
        <v>8</v>
      </c>
      <c r="N49" s="49">
        <f t="shared" si="84"/>
        <v>6</v>
      </c>
      <c r="O49" s="196">
        <f t="shared" si="85"/>
        <v>1.625</v>
      </c>
      <c r="P49" s="196">
        <f t="shared" ca="1" si="86"/>
        <v>10.052334569003763</v>
      </c>
      <c r="Q49" s="196">
        <f t="shared" si="87"/>
        <v>0.57999999999999996</v>
      </c>
      <c r="R49" s="196">
        <f t="shared" si="88"/>
        <v>0.25999999999999995</v>
      </c>
      <c r="S49" s="196">
        <f t="shared" ca="1" si="89"/>
        <v>6.5709671292081646</v>
      </c>
      <c r="T49" s="83">
        <f t="shared" ca="1" si="90"/>
        <v>0.97559641571958622</v>
      </c>
      <c r="U49" s="83">
        <f t="shared" ca="1" si="91"/>
        <v>1.4764180672325153</v>
      </c>
      <c r="V49" s="83">
        <f t="shared" ca="1" si="92"/>
        <v>0.97559641571958622</v>
      </c>
      <c r="W49" s="83">
        <f t="shared" ca="1" si="93"/>
        <v>1.2823731391882092</v>
      </c>
      <c r="X49" s="83">
        <f t="shared" ca="1" si="94"/>
        <v>2.4852192619926532</v>
      </c>
      <c r="Y49" s="83">
        <f t="shared" ca="1" si="95"/>
        <v>0.64118656959410458</v>
      </c>
      <c r="Z49" s="83">
        <f t="shared" ca="1" si="96"/>
        <v>2.2098821843542518</v>
      </c>
      <c r="AA49" s="83">
        <f t="shared" ca="1" si="97"/>
        <v>0.93941288103322296</v>
      </c>
      <c r="AB49" s="83">
        <f t="shared" ca="1" si="98"/>
        <v>1.7968135264206881</v>
      </c>
      <c r="AC49" s="83">
        <f t="shared" ca="1" si="99"/>
        <v>0.46970644051661148</v>
      </c>
      <c r="AD49" s="83">
        <f t="shared" ca="1" si="100"/>
        <v>3.5748094158671724</v>
      </c>
      <c r="AE49" s="327">
        <f t="shared" ca="1" si="101"/>
        <v>2.2864017210332412</v>
      </c>
      <c r="AF49" s="83">
        <f t="shared" ca="1" si="102"/>
        <v>1.0288807744649584</v>
      </c>
      <c r="AG49" s="83">
        <f t="shared" ca="1" si="103"/>
        <v>1.5506316167527734</v>
      </c>
      <c r="AH49" s="327">
        <f t="shared" ca="1" si="104"/>
        <v>3.2253089260516798</v>
      </c>
      <c r="AI49" s="83">
        <f t="shared" ca="1" si="105"/>
        <v>1.8738553235424604</v>
      </c>
      <c r="AJ49" s="83">
        <f t="shared" ca="1" si="106"/>
        <v>1.7595352374907984</v>
      </c>
      <c r="AK49" s="83">
        <f t="shared" ca="1" si="107"/>
        <v>1.0830316167527732</v>
      </c>
      <c r="AL49" s="83">
        <f t="shared" ca="1" si="108"/>
        <v>0.60774314745388403</v>
      </c>
      <c r="AM49" s="83">
        <f t="shared" ca="1" si="109"/>
        <v>0.6710092007380164</v>
      </c>
      <c r="AN49" s="83">
        <f t="shared" ca="1" si="110"/>
        <v>1.4762202416236359</v>
      </c>
      <c r="AO49" s="83">
        <f t="shared" ca="1" si="111"/>
        <v>0.3355046003690082</v>
      </c>
      <c r="AP49" s="83">
        <f t="shared" ca="1" si="112"/>
        <v>8.7652469833210649</v>
      </c>
      <c r="AQ49" s="83">
        <f t="shared" ca="1" si="113"/>
        <v>0.58307850405904493</v>
      </c>
      <c r="AR49" s="83">
        <f t="shared" ca="1" si="114"/>
        <v>2.0061692437638472</v>
      </c>
      <c r="AS49" s="83">
        <f t="shared" ca="1" si="115"/>
        <v>0.29153925202952247</v>
      </c>
      <c r="AT49" s="83">
        <f t="shared" ca="1" si="116"/>
        <v>0.46970644051661148</v>
      </c>
      <c r="AU49" s="83">
        <f t="shared" ca="1" si="117"/>
        <v>0.99408770479706132</v>
      </c>
      <c r="AV49" s="83">
        <f t="shared" ca="1" si="118"/>
        <v>0.23485322025830574</v>
      </c>
      <c r="AW49" s="83">
        <f t="shared" ca="1" si="119"/>
        <v>9.2852192619926548</v>
      </c>
      <c r="AX49" s="83">
        <f t="shared" ca="1" si="120"/>
        <v>1.1347604732841412</v>
      </c>
      <c r="AY49" s="83">
        <f t="shared" ca="1" si="121"/>
        <v>3.3113558133579524</v>
      </c>
      <c r="AZ49" s="83">
        <f t="shared" ca="1" si="122"/>
        <v>0.5673802366420706</v>
      </c>
      <c r="BA49" s="83">
        <f t="shared" ca="1" si="123"/>
        <v>0.72319880523986202</v>
      </c>
      <c r="BB49" s="83">
        <f t="shared" ca="1" si="124"/>
        <v>0.8648563031734432</v>
      </c>
      <c r="BC49" s="83">
        <f t="shared" ca="1" si="125"/>
        <v>8.1802781698155282</v>
      </c>
      <c r="BD49" s="83">
        <f t="shared" ca="1" si="126"/>
        <v>4.5613599239114686</v>
      </c>
      <c r="BE49" s="83">
        <f t="shared" ca="1" si="127"/>
        <v>1.0809378421402294</v>
      </c>
      <c r="BF49" s="83">
        <f t="shared" ca="1" si="128"/>
        <v>1.2053313420664367</v>
      </c>
      <c r="BG49" s="83">
        <f t="shared" ca="1" si="129"/>
        <v>0.65609788516606049</v>
      </c>
      <c r="BH49" s="83">
        <f t="shared" ca="1" si="130"/>
        <v>3.5376685388192017</v>
      </c>
      <c r="BI49" s="83">
        <f t="shared" ca="1" si="131"/>
        <v>4.5930816349815791</v>
      </c>
      <c r="BJ49" s="83">
        <f t="shared" ca="1" si="132"/>
        <v>0.23323140162361797</v>
      </c>
      <c r="BK49" s="83">
        <f t="shared" ca="1" si="133"/>
        <v>0.44733946715867756</v>
      </c>
      <c r="BL49" s="83">
        <f t="shared" ca="1" si="134"/>
        <v>0.16899490981550042</v>
      </c>
      <c r="BM49" s="83">
        <f t="shared" ca="1" si="135"/>
        <v>2.8319918749077595</v>
      </c>
      <c r="BN49" s="83">
        <f t="shared" ca="1" si="136"/>
        <v>6.7679919709225516</v>
      </c>
      <c r="BO49" s="83">
        <f t="shared" ca="1" si="137"/>
        <v>0.60550460036900822</v>
      </c>
      <c r="BP49" s="83">
        <f t="shared" ca="1" si="138"/>
        <v>0.70580227040591348</v>
      </c>
      <c r="BQ49" s="83">
        <f t="shared" ca="1" si="139"/>
        <v>0.60639349992620739</v>
      </c>
      <c r="BR49" s="83">
        <f t="shared" ca="1" si="140"/>
        <v>4.224774764206658</v>
      </c>
      <c r="BS49" s="83">
        <f t="shared" ca="1" si="141"/>
        <v>5.8336229422878594</v>
      </c>
      <c r="BT49" s="83">
        <f t="shared" ca="1" si="142"/>
        <v>0.542711530701111</v>
      </c>
      <c r="BU49" s="83">
        <f t="shared" ca="1" si="143"/>
        <v>0.70580227040591348</v>
      </c>
      <c r="BV49" s="83">
        <f t="shared" ca="1" si="144"/>
        <v>0.60639349992620739</v>
      </c>
      <c r="BW49" s="83">
        <f t="shared" ca="1" si="145"/>
        <v>5.8589733543173654</v>
      </c>
      <c r="BX49" s="83">
        <f t="shared" ca="1" si="146"/>
        <v>4.7162712394834241</v>
      </c>
      <c r="BY49" s="83">
        <f t="shared" ca="1" si="147"/>
        <v>0.66381245077491269</v>
      </c>
      <c r="BZ49" s="83">
        <f t="shared" ca="1" si="148"/>
        <v>3.7697990203690179</v>
      </c>
      <c r="CA49" s="83">
        <f t="shared" ca="1" si="149"/>
        <v>2.9887992354981723</v>
      </c>
      <c r="CB49" s="83">
        <f t="shared" ca="1" si="150"/>
        <v>7.3823568890037272</v>
      </c>
      <c r="CC49" s="83">
        <f t="shared" ca="1" si="151"/>
        <v>2.9887992354981723</v>
      </c>
      <c r="CD49" s="83">
        <f t="shared" ca="1" si="152"/>
        <v>4.2598961860907201</v>
      </c>
      <c r="CE49" s="83">
        <f t="shared" ca="1" si="153"/>
        <v>10.140265169667943</v>
      </c>
      <c r="CF49" s="83">
        <f t="shared" ca="1" si="154"/>
        <v>4.2598961860907201</v>
      </c>
      <c r="CG49" s="83">
        <f t="shared" ca="1" si="155"/>
        <v>2.3213048154981637</v>
      </c>
    </row>
    <row r="50" spans="1:85" x14ac:dyDescent="0.25">
      <c r="A50" t="str">
        <f t="shared" ref="A50:E50" si="178">A16</f>
        <v>J. Vartiainen</v>
      </c>
      <c r="B50">
        <f t="shared" si="178"/>
        <v>19</v>
      </c>
      <c r="C50">
        <f t="shared" ca="1" si="178"/>
        <v>36</v>
      </c>
      <c r="D50" t="str">
        <f t="shared" si="178"/>
        <v>CAB</v>
      </c>
      <c r="E50" s="265">
        <f t="shared" si="178"/>
        <v>43628</v>
      </c>
      <c r="F50" s="195">
        <f t="shared" ca="1" si="77"/>
        <v>0.20848632838563147</v>
      </c>
      <c r="G50" s="196">
        <f t="shared" ref="G50:H50" si="179">J16</f>
        <v>0.3</v>
      </c>
      <c r="H50" s="49">
        <f t="shared" si="179"/>
        <v>0</v>
      </c>
      <c r="I50" s="49">
        <f t="shared" si="79"/>
        <v>7</v>
      </c>
      <c r="J50" s="49">
        <f t="shared" si="80"/>
        <v>7.7111111111111104</v>
      </c>
      <c r="K50" s="49">
        <f t="shared" si="81"/>
        <v>1</v>
      </c>
      <c r="L50" s="49">
        <f t="shared" si="82"/>
        <v>1</v>
      </c>
      <c r="M50" s="49">
        <f t="shared" si="83"/>
        <v>6</v>
      </c>
      <c r="N50" s="49">
        <f t="shared" si="84"/>
        <v>1</v>
      </c>
      <c r="O50" s="196">
        <f t="shared" si="85"/>
        <v>1.5</v>
      </c>
      <c r="P50" s="196">
        <f t="shared" ca="1" si="86"/>
        <v>1.8300054163061841</v>
      </c>
      <c r="Q50" s="196">
        <f t="shared" si="87"/>
        <v>0.32999999999999996</v>
      </c>
      <c r="R50" s="196">
        <f t="shared" si="88"/>
        <v>0.31</v>
      </c>
      <c r="S50" s="196">
        <f t="shared" ca="1" si="89"/>
        <v>0.59661316532271791</v>
      </c>
      <c r="T50" s="83">
        <f t="shared" ca="1" si="90"/>
        <v>1.5053777051743435</v>
      </c>
      <c r="U50" s="83">
        <f t="shared" ca="1" si="91"/>
        <v>2.3441072364032958</v>
      </c>
      <c r="V50" s="83">
        <f t="shared" ca="1" si="92"/>
        <v>1.5053777051743435</v>
      </c>
      <c r="W50" s="83">
        <f t="shared" ca="1" si="93"/>
        <v>3.3598383686941138</v>
      </c>
      <c r="X50" s="83">
        <f t="shared" ca="1" si="94"/>
        <v>6.5113146680118481</v>
      </c>
      <c r="Y50" s="83">
        <f t="shared" ca="1" si="95"/>
        <v>1.6799191843470569</v>
      </c>
      <c r="Z50" s="83">
        <f t="shared" ca="1" si="96"/>
        <v>1.718937335431264</v>
      </c>
      <c r="AA50" s="83">
        <f t="shared" ca="1" si="97"/>
        <v>2.4612769445084788</v>
      </c>
      <c r="AB50" s="83">
        <f t="shared" ca="1" si="98"/>
        <v>4.7076805049725658</v>
      </c>
      <c r="AC50" s="83">
        <f t="shared" ca="1" si="99"/>
        <v>1.2306384722542394</v>
      </c>
      <c r="AD50" s="83">
        <f t="shared" ca="1" si="100"/>
        <v>2.7806339249623391</v>
      </c>
      <c r="AE50" s="327">
        <f t="shared" ca="1" si="101"/>
        <v>5.9904094945709003</v>
      </c>
      <c r="AF50" s="83">
        <f t="shared" ca="1" si="102"/>
        <v>2.695684272556905</v>
      </c>
      <c r="AG50" s="83">
        <f t="shared" ca="1" si="103"/>
        <v>1.2061451051135341</v>
      </c>
      <c r="AH50" s="327">
        <f t="shared" ca="1" si="104"/>
        <v>0.30065302479096662</v>
      </c>
      <c r="AI50" s="83">
        <f t="shared" ca="1" si="105"/>
        <v>4.9095312596809331</v>
      </c>
      <c r="AJ50" s="83">
        <f t="shared" ca="1" si="106"/>
        <v>4.6100107849523884</v>
      </c>
      <c r="AK50" s="83">
        <f t="shared" ca="1" si="107"/>
        <v>8.5389549557978617E-2</v>
      </c>
      <c r="AL50" s="83">
        <f t="shared" ca="1" si="108"/>
        <v>0.29125862438741223</v>
      </c>
      <c r="AM50" s="83">
        <f t="shared" ca="1" si="109"/>
        <v>1.7580549603631992</v>
      </c>
      <c r="AN50" s="83">
        <f t="shared" ca="1" si="110"/>
        <v>3.8677209127990375</v>
      </c>
      <c r="AO50" s="83">
        <f t="shared" ca="1" si="111"/>
        <v>0.8790274801815996</v>
      </c>
      <c r="AP50" s="83">
        <f t="shared" ca="1" si="112"/>
        <v>6.8179699354920729</v>
      </c>
      <c r="AQ50" s="83">
        <f t="shared" ca="1" si="113"/>
        <v>6.6470906841540237E-2</v>
      </c>
      <c r="AR50" s="83">
        <f t="shared" ca="1" si="114"/>
        <v>1.0148151977274713</v>
      </c>
      <c r="AS50" s="83">
        <f t="shared" ca="1" si="115"/>
        <v>3.3235453420770118E-2</v>
      </c>
      <c r="AT50" s="83">
        <f t="shared" ca="1" si="116"/>
        <v>1.2306384722542394</v>
      </c>
      <c r="AU50" s="83">
        <f t="shared" ca="1" si="117"/>
        <v>2.6045258672047393</v>
      </c>
      <c r="AV50" s="83">
        <f t="shared" ca="1" si="118"/>
        <v>0.6153192361271197</v>
      </c>
      <c r="AW50" s="83">
        <f t="shared" ca="1" si="119"/>
        <v>7.2224257791229585</v>
      </c>
      <c r="AX50" s="83">
        <f t="shared" ca="1" si="120"/>
        <v>0.12936261100699756</v>
      </c>
      <c r="AY50" s="83">
        <f t="shared" ca="1" si="121"/>
        <v>1.3317343820745282</v>
      </c>
      <c r="AZ50" s="83">
        <f t="shared" ca="1" si="122"/>
        <v>6.4681305503498779E-2</v>
      </c>
      <c r="BA50" s="83">
        <f t="shared" ca="1" si="123"/>
        <v>1.8947925683914477</v>
      </c>
      <c r="BB50" s="83">
        <f t="shared" ca="1" si="124"/>
        <v>2.2659375044681229</v>
      </c>
      <c r="BC50" s="83">
        <f t="shared" ca="1" si="125"/>
        <v>6.3629571114073267</v>
      </c>
      <c r="BD50" s="83">
        <f t="shared" ca="1" si="126"/>
        <v>0.45455873986253281</v>
      </c>
      <c r="BE50" s="83">
        <f t="shared" ca="1" si="127"/>
        <v>0.12322683499085536</v>
      </c>
      <c r="BF50" s="83">
        <f t="shared" ca="1" si="128"/>
        <v>3.1579876139857461</v>
      </c>
      <c r="BG50" s="83">
        <f t="shared" ca="1" si="129"/>
        <v>1.7189870723551279</v>
      </c>
      <c r="BH50" s="83">
        <f t="shared" ca="1" si="130"/>
        <v>2.751744221845847</v>
      </c>
      <c r="BI50" s="83">
        <f t="shared" ca="1" si="131"/>
        <v>0.44688901984235518</v>
      </c>
      <c r="BJ50" s="83">
        <f t="shared" ca="1" si="132"/>
        <v>2.6588362736616095E-2</v>
      </c>
      <c r="BK50" s="83">
        <f t="shared" ca="1" si="133"/>
        <v>1.1720366402421327</v>
      </c>
      <c r="BL50" s="83">
        <f t="shared" ca="1" si="134"/>
        <v>0.4427693974248057</v>
      </c>
      <c r="BM50" s="83">
        <f t="shared" ca="1" si="135"/>
        <v>2.2028398626325023</v>
      </c>
      <c r="BN50" s="83">
        <f t="shared" ca="1" si="136"/>
        <v>0.65755066306323651</v>
      </c>
      <c r="BO50" s="83">
        <f t="shared" ca="1" si="137"/>
        <v>6.9027480181599488E-2</v>
      </c>
      <c r="BP50" s="83">
        <f t="shared" ca="1" si="138"/>
        <v>1.8492133657153647</v>
      </c>
      <c r="BQ50" s="83">
        <f t="shared" ca="1" si="139"/>
        <v>1.588760778994891</v>
      </c>
      <c r="BR50" s="83">
        <f t="shared" ca="1" si="140"/>
        <v>3.2862037295009463</v>
      </c>
      <c r="BS50" s="83">
        <f t="shared" ca="1" si="141"/>
        <v>0.56653665215712756</v>
      </c>
      <c r="BT50" s="83">
        <f t="shared" ca="1" si="142"/>
        <v>6.1869074829433608E-2</v>
      </c>
      <c r="BU50" s="83">
        <f t="shared" ca="1" si="143"/>
        <v>1.8492133657153647</v>
      </c>
      <c r="BV50" s="83">
        <f t="shared" ca="1" si="144"/>
        <v>1.588760778994891</v>
      </c>
      <c r="BW50" s="83">
        <f t="shared" ca="1" si="145"/>
        <v>4.5573506666265864</v>
      </c>
      <c r="BX50" s="83">
        <f t="shared" ca="1" si="146"/>
        <v>0.45762662787060393</v>
      </c>
      <c r="BY50" s="83">
        <f t="shared" ca="1" si="147"/>
        <v>7.5674570865753493E-2</v>
      </c>
      <c r="BZ50" s="83">
        <f t="shared" ca="1" si="148"/>
        <v>2.9323048663239213</v>
      </c>
      <c r="CA50" s="83">
        <f t="shared" ca="1" si="149"/>
        <v>0.90139494203417281</v>
      </c>
      <c r="CB50" s="83">
        <f t="shared" ca="1" si="150"/>
        <v>3.4907403161813404</v>
      </c>
      <c r="CC50" s="83">
        <f t="shared" ca="1" si="151"/>
        <v>0.90139494203417281</v>
      </c>
      <c r="CD50" s="83">
        <f t="shared" ca="1" si="152"/>
        <v>1.8243425927911172</v>
      </c>
      <c r="CE50" s="83">
        <f t="shared" ca="1" si="153"/>
        <v>5.6999897805082202</v>
      </c>
      <c r="CF50" s="83">
        <f t="shared" ca="1" si="154"/>
        <v>1.8243425927911172</v>
      </c>
      <c r="CG50" s="83">
        <f t="shared" ca="1" si="155"/>
        <v>1.8056064447807396</v>
      </c>
    </row>
    <row r="51" spans="1:85" x14ac:dyDescent="0.25">
      <c r="A51" t="str">
        <f t="shared" ref="A51:E51" si="180">A17</f>
        <v>R. Forsyth</v>
      </c>
      <c r="B51">
        <f t="shared" si="180"/>
        <v>19</v>
      </c>
      <c r="C51">
        <f t="shared" ca="1" si="180"/>
        <v>31</v>
      </c>
      <c r="D51" t="str">
        <f t="shared" si="180"/>
        <v>POT</v>
      </c>
      <c r="E51" s="265">
        <f t="shared" si="180"/>
        <v>43626</v>
      </c>
      <c r="F51" s="195">
        <f t="shared" ca="1" si="77"/>
        <v>0.2175776824553268</v>
      </c>
      <c r="G51" s="196">
        <f t="shared" ref="G51:H51" si="181">J17</f>
        <v>1.8</v>
      </c>
      <c r="H51" s="49">
        <f t="shared" si="181"/>
        <v>0</v>
      </c>
      <c r="I51" s="49">
        <f t="shared" si="79"/>
        <v>7</v>
      </c>
      <c r="J51" s="49">
        <f t="shared" si="80"/>
        <v>8</v>
      </c>
      <c r="K51" s="49">
        <f t="shared" si="81"/>
        <v>2</v>
      </c>
      <c r="L51" s="49">
        <f t="shared" si="82"/>
        <v>4</v>
      </c>
      <c r="M51" s="49">
        <f t="shared" si="83"/>
        <v>6</v>
      </c>
      <c r="N51" s="49">
        <f t="shared" si="84"/>
        <v>2</v>
      </c>
      <c r="O51" s="196">
        <f t="shared" si="85"/>
        <v>2.25</v>
      </c>
      <c r="P51" s="196">
        <f t="shared" ca="1" si="86"/>
        <v>4.6930496599306792</v>
      </c>
      <c r="Q51" s="196">
        <f t="shared" si="87"/>
        <v>0.36</v>
      </c>
      <c r="R51" s="196">
        <f t="shared" si="88"/>
        <v>0.34</v>
      </c>
      <c r="S51" s="196">
        <f t="shared" ca="1" si="89"/>
        <v>2.6441097882847195</v>
      </c>
      <c r="T51" s="83">
        <f t="shared" ca="1" si="90"/>
        <v>2.4190825127237483</v>
      </c>
      <c r="U51" s="83">
        <f t="shared" ca="1" si="91"/>
        <v>3.6953018601676506</v>
      </c>
      <c r="V51" s="83">
        <f t="shared" ca="1" si="92"/>
        <v>2.4190825127237483</v>
      </c>
      <c r="W51" s="83">
        <f t="shared" ca="1" si="93"/>
        <v>3.899897567658023</v>
      </c>
      <c r="X51" s="83">
        <f t="shared" ca="1" si="94"/>
        <v>7.5579410225930674</v>
      </c>
      <c r="Y51" s="83">
        <f t="shared" ca="1" si="95"/>
        <v>1.9499487838290115</v>
      </c>
      <c r="Z51" s="83">
        <f t="shared" ca="1" si="96"/>
        <v>2.0367899633771502</v>
      </c>
      <c r="AA51" s="83">
        <f t="shared" ca="1" si="97"/>
        <v>2.8569017065401794</v>
      </c>
      <c r="AB51" s="83">
        <f t="shared" ca="1" si="98"/>
        <v>5.4643913593347877</v>
      </c>
      <c r="AC51" s="83">
        <f t="shared" ca="1" si="99"/>
        <v>1.4284508532700897</v>
      </c>
      <c r="AD51" s="83">
        <f t="shared" ca="1" si="100"/>
        <v>3.2948072936983315</v>
      </c>
      <c r="AE51" s="327">
        <f t="shared" ca="1" si="101"/>
        <v>6.9533057407856225</v>
      </c>
      <c r="AF51" s="83">
        <f t="shared" ca="1" si="102"/>
        <v>3.1289875833535299</v>
      </c>
      <c r="AG51" s="83">
        <f t="shared" ca="1" si="103"/>
        <v>1.4291761507730425</v>
      </c>
      <c r="AH51" s="327">
        <f t="shared" ca="1" si="104"/>
        <v>1.504069321284724</v>
      </c>
      <c r="AI51" s="83">
        <f t="shared" ca="1" si="105"/>
        <v>5.6986875310351728</v>
      </c>
      <c r="AJ51" s="83">
        <f t="shared" ca="1" si="106"/>
        <v>5.3510222439958914</v>
      </c>
      <c r="AK51" s="83">
        <f t="shared" ca="1" si="107"/>
        <v>0.42717615077304244</v>
      </c>
      <c r="AL51" s="83">
        <f t="shared" ca="1" si="108"/>
        <v>0.80868701450680358</v>
      </c>
      <c r="AM51" s="83">
        <f t="shared" ca="1" si="109"/>
        <v>2.0406440761001283</v>
      </c>
      <c r="AN51" s="83">
        <f t="shared" ca="1" si="110"/>
        <v>4.489416967420282</v>
      </c>
      <c r="AO51" s="83">
        <f t="shared" ca="1" si="111"/>
        <v>1.0203220380500642</v>
      </c>
      <c r="AP51" s="83">
        <f t="shared" ca="1" si="112"/>
        <v>8.0786963253278561</v>
      </c>
      <c r="AQ51" s="83">
        <f t="shared" ca="1" si="113"/>
        <v>0.59253233293709884</v>
      </c>
      <c r="AR51" s="83">
        <f t="shared" ca="1" si="114"/>
        <v>1.6814767196197686</v>
      </c>
      <c r="AS51" s="83">
        <f t="shared" ca="1" si="115"/>
        <v>0.29626616646854942</v>
      </c>
      <c r="AT51" s="83">
        <f t="shared" ca="1" si="116"/>
        <v>1.4284508532700897</v>
      </c>
      <c r="AU51" s="83">
        <f t="shared" ca="1" si="117"/>
        <v>3.0231764090372271</v>
      </c>
      <c r="AV51" s="83">
        <f t="shared" ca="1" si="118"/>
        <v>0.71422542663504485</v>
      </c>
      <c r="AW51" s="83">
        <f t="shared" ca="1" si="119"/>
        <v>8.5579410225930683</v>
      </c>
      <c r="AX51" s="83">
        <f t="shared" ca="1" si="120"/>
        <v>1.1531590787160462</v>
      </c>
      <c r="AY51" s="83">
        <f t="shared" ca="1" si="121"/>
        <v>2.9314255034487804</v>
      </c>
      <c r="AZ51" s="83">
        <f t="shared" ca="1" si="122"/>
        <v>0.57657953935802309</v>
      </c>
      <c r="BA51" s="83">
        <f t="shared" ca="1" si="123"/>
        <v>2.1993608375745826</v>
      </c>
      <c r="BB51" s="83">
        <f t="shared" ca="1" si="124"/>
        <v>2.6301634758623873</v>
      </c>
      <c r="BC51" s="83">
        <f t="shared" ca="1" si="125"/>
        <v>7.5395460409044937</v>
      </c>
      <c r="BD51" s="83">
        <f t="shared" ca="1" si="126"/>
        <v>2.904009569085237</v>
      </c>
      <c r="BE51" s="83">
        <f t="shared" ca="1" si="127"/>
        <v>1.0984637864449291</v>
      </c>
      <c r="BF51" s="83">
        <f t="shared" ca="1" si="128"/>
        <v>3.6656013959576375</v>
      </c>
      <c r="BG51" s="83">
        <f t="shared" ca="1" si="129"/>
        <v>1.9952964299645699</v>
      </c>
      <c r="BH51" s="83">
        <f t="shared" ca="1" si="130"/>
        <v>3.260575529607959</v>
      </c>
      <c r="BI51" s="83">
        <f t="shared" ca="1" si="131"/>
        <v>2.6376404537463416</v>
      </c>
      <c r="BJ51" s="83">
        <f t="shared" ca="1" si="132"/>
        <v>0.23701293317483949</v>
      </c>
      <c r="BK51" s="83">
        <f t="shared" ca="1" si="133"/>
        <v>1.3604293840667521</v>
      </c>
      <c r="BL51" s="83">
        <f t="shared" ca="1" si="134"/>
        <v>0.51393998953632858</v>
      </c>
      <c r="BM51" s="83">
        <f t="shared" ca="1" si="135"/>
        <v>2.610172011890886</v>
      </c>
      <c r="BN51" s="83">
        <f t="shared" ca="1" si="136"/>
        <v>3.8615121550546858</v>
      </c>
      <c r="BO51" s="83">
        <f t="shared" ca="1" si="137"/>
        <v>0.61532203805006414</v>
      </c>
      <c r="BP51" s="83">
        <f t="shared" ca="1" si="138"/>
        <v>2.1464552504164311</v>
      </c>
      <c r="BQ51" s="83">
        <f t="shared" ca="1" si="139"/>
        <v>1.8441376095127084</v>
      </c>
      <c r="BR51" s="83">
        <f t="shared" ca="1" si="140"/>
        <v>3.8938631652798463</v>
      </c>
      <c r="BS51" s="83">
        <f t="shared" ca="1" si="141"/>
        <v>3.3221986530331193</v>
      </c>
      <c r="BT51" s="83">
        <f t="shared" ca="1" si="142"/>
        <v>0.55151086373376113</v>
      </c>
      <c r="BU51" s="83">
        <f t="shared" ca="1" si="143"/>
        <v>2.1464552504164311</v>
      </c>
      <c r="BV51" s="83">
        <f t="shared" ca="1" si="144"/>
        <v>1.8441376095127084</v>
      </c>
      <c r="BW51" s="83">
        <f t="shared" ca="1" si="145"/>
        <v>5.4000607852562261</v>
      </c>
      <c r="BX51" s="83">
        <f t="shared" ca="1" si="146"/>
        <v>2.6753572152207958</v>
      </c>
      <c r="BY51" s="83">
        <f t="shared" ca="1" si="147"/>
        <v>0.67457527134377393</v>
      </c>
      <c r="BZ51" s="83">
        <f t="shared" ca="1" si="148"/>
        <v>3.4745240551727861</v>
      </c>
      <c r="CA51" s="83">
        <f t="shared" ca="1" si="149"/>
        <v>2.340687272770988</v>
      </c>
      <c r="CB51" s="83">
        <f t="shared" ca="1" si="150"/>
        <v>6.298241591439794</v>
      </c>
      <c r="CC51" s="83">
        <f t="shared" ca="1" si="151"/>
        <v>2.340687272770988</v>
      </c>
      <c r="CD51" s="83">
        <f t="shared" ca="1" si="152"/>
        <v>3.1210270596370964</v>
      </c>
      <c r="CE51" s="83">
        <f t="shared" ca="1" si="153"/>
        <v>8.2398212599299097</v>
      </c>
      <c r="CF51" s="83">
        <f t="shared" ca="1" si="154"/>
        <v>3.1210270596370964</v>
      </c>
      <c r="CG51" s="83">
        <f t="shared" ca="1" si="155"/>
        <v>2.1394852556482671</v>
      </c>
    </row>
    <row r="52" spans="1:85" x14ac:dyDescent="0.25">
      <c r="A52" t="str">
        <f t="shared" ref="A52:E52" si="182">A18</f>
        <v>M. Grupinski</v>
      </c>
      <c r="B52">
        <f t="shared" si="182"/>
        <v>22</v>
      </c>
      <c r="C52">
        <f t="shared" ca="1" si="182"/>
        <v>101</v>
      </c>
      <c r="D52" t="str">
        <f t="shared" si="182"/>
        <v>CAB</v>
      </c>
      <c r="E52" s="265">
        <f t="shared" si="182"/>
        <v>43650</v>
      </c>
      <c r="F52" s="195">
        <f t="shared" ca="1" si="77"/>
        <v>8.394708266038052E-2</v>
      </c>
      <c r="G52" s="196">
        <f t="shared" ref="G52:H52" si="183">J18</f>
        <v>1.6</v>
      </c>
      <c r="H52" s="49">
        <f t="shared" si="183"/>
        <v>0</v>
      </c>
      <c r="I52" s="49">
        <f t="shared" si="79"/>
        <v>3</v>
      </c>
      <c r="J52" s="49">
        <f t="shared" si="80"/>
        <v>8</v>
      </c>
      <c r="K52" s="49">
        <f t="shared" si="81"/>
        <v>9</v>
      </c>
      <c r="L52" s="49">
        <f t="shared" si="82"/>
        <v>6</v>
      </c>
      <c r="M52" s="49">
        <f t="shared" si="83"/>
        <v>3</v>
      </c>
      <c r="N52" s="49">
        <f t="shared" si="84"/>
        <v>3</v>
      </c>
      <c r="O52" s="196">
        <f t="shared" si="85"/>
        <v>2.25</v>
      </c>
      <c r="P52" s="196">
        <f t="shared" ca="1" si="86"/>
        <v>-0.18300339842776658</v>
      </c>
      <c r="Q52" s="196">
        <f t="shared" si="87"/>
        <v>0.24</v>
      </c>
      <c r="R52" s="196">
        <f t="shared" si="88"/>
        <v>0.21000000000000002</v>
      </c>
      <c r="S52" s="196">
        <f t="shared" ca="1" si="89"/>
        <v>3.4164975441719729</v>
      </c>
      <c r="T52" s="83">
        <f t="shared" ca="1" si="90"/>
        <v>1.1388814629740087</v>
      </c>
      <c r="U52" s="83">
        <f t="shared" ca="1" si="91"/>
        <v>1.7347342138596165</v>
      </c>
      <c r="V52" s="83">
        <f t="shared" ca="1" si="92"/>
        <v>1.1388814629740087</v>
      </c>
      <c r="W52" s="83">
        <f t="shared" ca="1" si="93"/>
        <v>1.7317512427200326</v>
      </c>
      <c r="X52" s="83">
        <f t="shared" ca="1" si="94"/>
        <v>3.3561070595349469</v>
      </c>
      <c r="Y52" s="83">
        <f t="shared" ca="1" si="95"/>
        <v>0.86587562136001628</v>
      </c>
      <c r="Z52" s="83">
        <f t="shared" ca="1" si="96"/>
        <v>1.988753480169317</v>
      </c>
      <c r="AA52" s="83">
        <f t="shared" ca="1" si="97"/>
        <v>1.2686084685042101</v>
      </c>
      <c r="AB52" s="83">
        <f t="shared" ca="1" si="98"/>
        <v>2.4264654040437668</v>
      </c>
      <c r="AC52" s="83">
        <f t="shared" ca="1" si="99"/>
        <v>0.63430423425210503</v>
      </c>
      <c r="AD52" s="83">
        <f t="shared" ca="1" si="100"/>
        <v>3.2171012179209542</v>
      </c>
      <c r="AE52" s="327">
        <f t="shared" ca="1" si="101"/>
        <v>3.0876184947721512</v>
      </c>
      <c r="AF52" s="83">
        <f t="shared" ca="1" si="102"/>
        <v>1.389428322647468</v>
      </c>
      <c r="AG52" s="83">
        <f t="shared" ca="1" si="103"/>
        <v>1.3954698789423361</v>
      </c>
      <c r="AH52" s="327">
        <f t="shared" ca="1" si="104"/>
        <v>5.501390951006548</v>
      </c>
      <c r="AI52" s="83">
        <f t="shared" ca="1" si="105"/>
        <v>2.5305047228893498</v>
      </c>
      <c r="AJ52" s="83">
        <f t="shared" ca="1" si="106"/>
        <v>2.3761237981507422</v>
      </c>
      <c r="AK52" s="83">
        <f t="shared" ca="1" si="107"/>
        <v>0.56046987894233613</v>
      </c>
      <c r="AL52" s="83">
        <f t="shared" ca="1" si="108"/>
        <v>0.75055883314606464</v>
      </c>
      <c r="AM52" s="83">
        <f t="shared" ca="1" si="109"/>
        <v>0.90614890607443577</v>
      </c>
      <c r="AN52" s="83">
        <f t="shared" ca="1" si="110"/>
        <v>1.9935275933637584</v>
      </c>
      <c r="AO52" s="83">
        <f t="shared" ca="1" si="111"/>
        <v>0.45307445303721788</v>
      </c>
      <c r="AP52" s="83">
        <f t="shared" ca="1" si="112"/>
        <v>7.8881650642009884</v>
      </c>
      <c r="AQ52" s="83">
        <f t="shared" ca="1" si="113"/>
        <v>0.82629391773954308</v>
      </c>
      <c r="AR52" s="83">
        <f t="shared" ca="1" si="114"/>
        <v>1.3433393684437394</v>
      </c>
      <c r="AS52" s="83">
        <f t="shared" ca="1" si="115"/>
        <v>0.41314695886977154</v>
      </c>
      <c r="AT52" s="83">
        <f t="shared" ca="1" si="116"/>
        <v>0.63430423425210503</v>
      </c>
      <c r="AU52" s="83">
        <f t="shared" ca="1" si="117"/>
        <v>1.3424428238139789</v>
      </c>
      <c r="AV52" s="83">
        <f t="shared" ca="1" si="118"/>
        <v>0.31715211712605251</v>
      </c>
      <c r="AW52" s="83">
        <f t="shared" ca="1" si="119"/>
        <v>8.3561070595349456</v>
      </c>
      <c r="AX52" s="83">
        <f t="shared" ca="1" si="120"/>
        <v>1.6080950860623415</v>
      </c>
      <c r="AY52" s="83">
        <f t="shared" ca="1" si="121"/>
        <v>2.8722149898037559</v>
      </c>
      <c r="AZ52" s="83">
        <f t="shared" ca="1" si="122"/>
        <v>0.80404754303117076</v>
      </c>
      <c r="BA52" s="83">
        <f t="shared" ca="1" si="123"/>
        <v>0.97662715432466951</v>
      </c>
      <c r="BB52" s="83">
        <f t="shared" ca="1" si="124"/>
        <v>1.1679252567181615</v>
      </c>
      <c r="BC52" s="83">
        <f t="shared" ca="1" si="125"/>
        <v>7.3617303194502872</v>
      </c>
      <c r="BD52" s="83">
        <f t="shared" ca="1" si="126"/>
        <v>7.3725791759265658</v>
      </c>
      <c r="BE52" s="83">
        <f t="shared" ca="1" si="127"/>
        <v>1.5318218013479221</v>
      </c>
      <c r="BF52" s="83">
        <f t="shared" ca="1" si="128"/>
        <v>1.6277119238744493</v>
      </c>
      <c r="BG52" s="83">
        <f t="shared" ca="1" si="129"/>
        <v>0.88601226371722608</v>
      </c>
      <c r="BH52" s="83">
        <f t="shared" ca="1" si="130"/>
        <v>3.1836767896828144</v>
      </c>
      <c r="BI52" s="83">
        <f t="shared" ca="1" si="131"/>
        <v>7.574237570033544</v>
      </c>
      <c r="BJ52" s="83">
        <f t="shared" ca="1" si="132"/>
        <v>0.3305175670958172</v>
      </c>
      <c r="BK52" s="83">
        <f t="shared" ca="1" si="133"/>
        <v>0.60409927071629044</v>
      </c>
      <c r="BL52" s="83">
        <f t="shared" ca="1" si="134"/>
        <v>0.22821528004837641</v>
      </c>
      <c r="BM52" s="83">
        <f t="shared" ca="1" si="135"/>
        <v>2.5486126531581585</v>
      </c>
      <c r="BN52" s="83">
        <f t="shared" ca="1" si="136"/>
        <v>11.17395367856194</v>
      </c>
      <c r="BO52" s="83">
        <f t="shared" ca="1" si="137"/>
        <v>0.85807445303721785</v>
      </c>
      <c r="BP52" s="83">
        <f t="shared" ca="1" si="138"/>
        <v>0.95313440490792489</v>
      </c>
      <c r="BQ52" s="83">
        <f t="shared" ca="1" si="139"/>
        <v>0.81889012252652704</v>
      </c>
      <c r="BR52" s="83">
        <f t="shared" ca="1" si="140"/>
        <v>3.8020287120884002</v>
      </c>
      <c r="BS52" s="83">
        <f t="shared" ca="1" si="141"/>
        <v>9.6345666219647192</v>
      </c>
      <c r="BT52" s="83">
        <f t="shared" ca="1" si="142"/>
        <v>0.76908895420372847</v>
      </c>
      <c r="BU52" s="83">
        <f t="shared" ca="1" si="143"/>
        <v>0.95313440490792489</v>
      </c>
      <c r="BV52" s="83">
        <f t="shared" ca="1" si="144"/>
        <v>0.81889012252652704</v>
      </c>
      <c r="BW52" s="83">
        <f t="shared" ca="1" si="145"/>
        <v>5.2727035545665508</v>
      </c>
      <c r="BX52" s="83">
        <f t="shared" ca="1" si="146"/>
        <v>7.7947158182837759</v>
      </c>
      <c r="BY52" s="83">
        <f t="shared" ca="1" si="147"/>
        <v>0.94070384481117209</v>
      </c>
      <c r="BZ52" s="83">
        <f t="shared" ca="1" si="148"/>
        <v>3.3925794661711883</v>
      </c>
      <c r="CA52" s="83">
        <f t="shared" ca="1" si="149"/>
        <v>3.3625317780177069</v>
      </c>
      <c r="CB52" s="83">
        <f t="shared" ca="1" si="150"/>
        <v>5.4079765490363503</v>
      </c>
      <c r="CC52" s="83">
        <f t="shared" ca="1" si="151"/>
        <v>3.3625317780177069</v>
      </c>
      <c r="CD52" s="83">
        <f t="shared" ca="1" si="152"/>
        <v>4.0810284565985722</v>
      </c>
      <c r="CE52" s="83">
        <f t="shared" ca="1" si="153"/>
        <v>5.7015105645033426</v>
      </c>
      <c r="CF52" s="83">
        <f t="shared" ca="1" si="154"/>
        <v>4.0810284565985722</v>
      </c>
      <c r="CG52" s="83">
        <f t="shared" ca="1" si="155"/>
        <v>2.0890267648837364</v>
      </c>
    </row>
    <row r="53" spans="1:85" x14ac:dyDescent="0.25">
      <c r="A53" t="str">
        <f t="shared" ref="A53:E53" si="184">A19</f>
        <v>V. Godoi</v>
      </c>
      <c r="B53">
        <f t="shared" si="184"/>
        <v>25</v>
      </c>
      <c r="C53">
        <f t="shared" ca="1" si="184"/>
        <v>107</v>
      </c>
      <c r="D53">
        <f t="shared" si="184"/>
        <v>0</v>
      </c>
      <c r="E53" s="265">
        <f t="shared" si="184"/>
        <v>43639</v>
      </c>
      <c r="F53" s="195">
        <f t="shared" ca="1" si="77"/>
        <v>0.15364458747949647</v>
      </c>
      <c r="G53" s="196">
        <f t="shared" ref="G53:H53" si="185">J19</f>
        <v>4.5</v>
      </c>
      <c r="H53" s="49">
        <f t="shared" si="185"/>
        <v>0</v>
      </c>
      <c r="I53" s="49">
        <f t="shared" si="79"/>
        <v>3</v>
      </c>
      <c r="J53" s="49">
        <f t="shared" si="80"/>
        <v>9.1538461538461533</v>
      </c>
      <c r="K53" s="49">
        <f t="shared" si="81"/>
        <v>9</v>
      </c>
      <c r="L53" s="49">
        <f t="shared" si="82"/>
        <v>5</v>
      </c>
      <c r="M53" s="49">
        <f t="shared" si="83"/>
        <v>5</v>
      </c>
      <c r="N53" s="49">
        <f t="shared" si="84"/>
        <v>1</v>
      </c>
      <c r="O53" s="196">
        <f t="shared" si="85"/>
        <v>2</v>
      </c>
      <c r="P53" s="196">
        <f t="shared" ca="1" si="86"/>
        <v>3.5143540789210324</v>
      </c>
      <c r="Q53" s="196">
        <f t="shared" si="87"/>
        <v>0.27999999999999997</v>
      </c>
      <c r="R53" s="196">
        <f t="shared" si="88"/>
        <v>0.15000000000000002</v>
      </c>
      <c r="S53" s="196">
        <f t="shared" ca="1" si="89"/>
        <v>2.1024050433102626</v>
      </c>
      <c r="T53" s="83">
        <f t="shared" ca="1" si="90"/>
        <v>1.7224710909041003</v>
      </c>
      <c r="U53" s="83">
        <f t="shared" ca="1" si="91"/>
        <v>2.5977516361479882</v>
      </c>
      <c r="V53" s="83">
        <f t="shared" ca="1" si="92"/>
        <v>1.7224710909041003</v>
      </c>
      <c r="W53" s="83">
        <f t="shared" ca="1" si="93"/>
        <v>2.0766908166168565</v>
      </c>
      <c r="X53" s="83">
        <f t="shared" ca="1" si="94"/>
        <v>4.0245946058466213</v>
      </c>
      <c r="Y53" s="83">
        <f t="shared" ca="1" si="95"/>
        <v>1.0383454083084283</v>
      </c>
      <c r="Z53" s="83">
        <f t="shared" ca="1" si="96"/>
        <v>2.42246890080688</v>
      </c>
      <c r="AA53" s="83">
        <f t="shared" ca="1" si="97"/>
        <v>1.521296761010023</v>
      </c>
      <c r="AB53" s="83">
        <f t="shared" ca="1" si="98"/>
        <v>2.9097819000271072</v>
      </c>
      <c r="AC53" s="83">
        <f t="shared" ca="1" si="99"/>
        <v>0.76064838050501149</v>
      </c>
      <c r="AD53" s="83">
        <f t="shared" ca="1" si="100"/>
        <v>3.9186996924817183</v>
      </c>
      <c r="AE53" s="327">
        <f t="shared" ca="1" si="101"/>
        <v>3.7026270373788917</v>
      </c>
      <c r="AF53" s="83">
        <f t="shared" ca="1" si="102"/>
        <v>1.6661821668205012</v>
      </c>
      <c r="AG53" s="83">
        <f t="shared" ca="1" si="103"/>
        <v>1.6997996068686934</v>
      </c>
      <c r="AH53" s="327">
        <f t="shared" ca="1" si="104"/>
        <v>5.8944616282378126</v>
      </c>
      <c r="AI53" s="83">
        <f t="shared" ca="1" si="105"/>
        <v>3.0345443328083523</v>
      </c>
      <c r="AJ53" s="83">
        <f t="shared" ca="1" si="106"/>
        <v>2.8494129809394075</v>
      </c>
      <c r="AK53" s="83">
        <f t="shared" ca="1" si="107"/>
        <v>0.33810729917638577</v>
      </c>
      <c r="AL53" s="83">
        <f t="shared" ca="1" si="108"/>
        <v>0.87108324648382685</v>
      </c>
      <c r="AM53" s="83">
        <f t="shared" ca="1" si="109"/>
        <v>1.0866405435785877</v>
      </c>
      <c r="AN53" s="83">
        <f t="shared" ca="1" si="110"/>
        <v>2.390609195872893</v>
      </c>
      <c r="AO53" s="83">
        <f t="shared" ca="1" si="111"/>
        <v>0.54332027178929387</v>
      </c>
      <c r="AP53" s="83">
        <f t="shared" ca="1" si="112"/>
        <v>9.6084480771499781</v>
      </c>
      <c r="AQ53" s="83">
        <f t="shared" ca="1" si="113"/>
        <v>0.78319729876006083</v>
      </c>
      <c r="AR53" s="83">
        <f t="shared" ca="1" si="114"/>
        <v>1.76520621951306</v>
      </c>
      <c r="AS53" s="83">
        <f t="shared" ca="1" si="115"/>
        <v>0.39159864938003042</v>
      </c>
      <c r="AT53" s="83">
        <f t="shared" ca="1" si="116"/>
        <v>0.76064838050501149</v>
      </c>
      <c r="AU53" s="83">
        <f t="shared" ca="1" si="117"/>
        <v>1.6098378423386486</v>
      </c>
      <c r="AV53" s="83">
        <f t="shared" ca="1" si="118"/>
        <v>0.38032419025250574</v>
      </c>
      <c r="AW53" s="83">
        <f t="shared" ca="1" si="119"/>
        <v>10.178440759692775</v>
      </c>
      <c r="AX53" s="83">
        <f t="shared" ca="1" si="120"/>
        <v>1.5242224352791953</v>
      </c>
      <c r="AY53" s="83">
        <f t="shared" ca="1" si="121"/>
        <v>3.3195516278214883</v>
      </c>
      <c r="AZ53" s="83">
        <f t="shared" ca="1" si="122"/>
        <v>0.76211121763959766</v>
      </c>
      <c r="BA53" s="83">
        <f t="shared" ca="1" si="123"/>
        <v>1.1711570303013668</v>
      </c>
      <c r="BB53" s="83">
        <f t="shared" ca="1" si="124"/>
        <v>1.400558922834624</v>
      </c>
      <c r="BC53" s="83">
        <f t="shared" ca="1" si="125"/>
        <v>8.9672063092893346</v>
      </c>
      <c r="BD53" s="83">
        <f t="shared" ca="1" si="126"/>
        <v>7.6518646045976455</v>
      </c>
      <c r="BE53" s="83">
        <f t="shared" ca="1" si="127"/>
        <v>1.4519273000090356</v>
      </c>
      <c r="BF53" s="83">
        <f t="shared" ca="1" si="128"/>
        <v>1.9519283838356112</v>
      </c>
      <c r="BG53" s="83">
        <f t="shared" ca="1" si="129"/>
        <v>1.062492975943508</v>
      </c>
      <c r="BH53" s="83">
        <f t="shared" ca="1" si="130"/>
        <v>3.8779859294429473</v>
      </c>
      <c r="BI53" s="83">
        <f t="shared" ca="1" si="131"/>
        <v>7.9574956855099472</v>
      </c>
      <c r="BJ53" s="83">
        <f t="shared" ca="1" si="132"/>
        <v>0.31327891950402431</v>
      </c>
      <c r="BK53" s="83">
        <f t="shared" ca="1" si="133"/>
        <v>0.72442702905239176</v>
      </c>
      <c r="BL53" s="83">
        <f t="shared" ca="1" si="134"/>
        <v>0.27367243319757029</v>
      </c>
      <c r="BM53" s="83">
        <f t="shared" ca="1" si="135"/>
        <v>3.1044244317062963</v>
      </c>
      <c r="BN53" s="83">
        <f t="shared" ca="1" si="136"/>
        <v>11.747628663118755</v>
      </c>
      <c r="BO53" s="83">
        <f t="shared" ca="1" si="137"/>
        <v>0.81332027178929389</v>
      </c>
      <c r="BP53" s="83">
        <f t="shared" ca="1" si="138"/>
        <v>1.1429848680604404</v>
      </c>
      <c r="BQ53" s="83">
        <f t="shared" ca="1" si="139"/>
        <v>0.98200108382657558</v>
      </c>
      <c r="BR53" s="83">
        <f t="shared" ca="1" si="140"/>
        <v>4.6311905456602123</v>
      </c>
      <c r="BS53" s="83">
        <f t="shared" ca="1" si="141"/>
        <v>10.131250823278057</v>
      </c>
      <c r="BT53" s="83">
        <f t="shared" ca="1" si="142"/>
        <v>0.7289759473074412</v>
      </c>
      <c r="BU53" s="83">
        <f t="shared" ca="1" si="143"/>
        <v>1.1429848680604404</v>
      </c>
      <c r="BV53" s="83">
        <f t="shared" ca="1" si="144"/>
        <v>0.98200108382657558</v>
      </c>
      <c r="BW53" s="83">
        <f t="shared" ca="1" si="145"/>
        <v>6.4225961193661405</v>
      </c>
      <c r="BX53" s="83">
        <f t="shared" ca="1" si="146"/>
        <v>8.200012172232725</v>
      </c>
      <c r="BY53" s="83">
        <f t="shared" ca="1" si="147"/>
        <v>0.89164000166529989</v>
      </c>
      <c r="BZ53" s="83">
        <f t="shared" ca="1" si="148"/>
        <v>4.1324469484352671</v>
      </c>
      <c r="CA53" s="83">
        <f t="shared" ca="1" si="149"/>
        <v>3.7148137896460898</v>
      </c>
      <c r="CB53" s="83">
        <f t="shared" ca="1" si="150"/>
        <v>6.7836935261832956</v>
      </c>
      <c r="CC53" s="83">
        <f t="shared" ca="1" si="151"/>
        <v>3.7148137896460898</v>
      </c>
      <c r="CD53" s="83">
        <f t="shared" ca="1" si="152"/>
        <v>4.8573748466977769</v>
      </c>
      <c r="CE53" s="83">
        <f t="shared" ca="1" si="153"/>
        <v>8.2476700154040241</v>
      </c>
      <c r="CF53" s="83">
        <f t="shared" ca="1" si="154"/>
        <v>4.8573748466977769</v>
      </c>
      <c r="CG53" s="83">
        <f t="shared" ca="1" si="155"/>
        <v>2.5446101899231937</v>
      </c>
    </row>
    <row r="54" spans="1:85" x14ac:dyDescent="0.25">
      <c r="A54" t="str">
        <f t="shared" ref="A54:E54" si="186">A20</f>
        <v>P. Tuderek</v>
      </c>
      <c r="B54">
        <f t="shared" si="186"/>
        <v>18</v>
      </c>
      <c r="C54">
        <f t="shared" ca="1" si="186"/>
        <v>88</v>
      </c>
      <c r="D54" t="str">
        <f t="shared" si="186"/>
        <v>CAB</v>
      </c>
      <c r="E54" s="265">
        <f t="shared" si="186"/>
        <v>43626</v>
      </c>
      <c r="F54" s="195">
        <f t="shared" ca="1" si="77"/>
        <v>0.2175776824553268</v>
      </c>
      <c r="G54" s="196">
        <f t="shared" ref="G54:H54" si="187">J20</f>
        <v>0.6</v>
      </c>
      <c r="H54" s="49">
        <f t="shared" si="187"/>
        <v>0</v>
      </c>
      <c r="I54" s="49">
        <f t="shared" si="79"/>
        <v>6</v>
      </c>
      <c r="J54" s="49">
        <f t="shared" si="80"/>
        <v>6.4083333333333332</v>
      </c>
      <c r="K54" s="49">
        <f t="shared" si="81"/>
        <v>2</v>
      </c>
      <c r="L54" s="49">
        <f t="shared" si="82"/>
        <v>3</v>
      </c>
      <c r="M54" s="49">
        <f t="shared" si="83"/>
        <v>6</v>
      </c>
      <c r="N54" s="49">
        <f t="shared" si="84"/>
        <v>8</v>
      </c>
      <c r="O54" s="196">
        <f t="shared" si="85"/>
        <v>1.875</v>
      </c>
      <c r="P54" s="196">
        <f t="shared" ca="1" si="86"/>
        <v>6.587132362690074</v>
      </c>
      <c r="Q54" s="196">
        <f t="shared" si="87"/>
        <v>0.54</v>
      </c>
      <c r="R54" s="196">
        <f t="shared" si="88"/>
        <v>0.48000000000000009</v>
      </c>
      <c r="S54" s="196">
        <f t="shared" ca="1" si="89"/>
        <v>8.0079481153251688</v>
      </c>
      <c r="T54" s="83">
        <f t="shared" ca="1" si="90"/>
        <v>1.5877133722300616</v>
      </c>
      <c r="U54" s="83">
        <f t="shared" ca="1" si="91"/>
        <v>2.4490171403768719</v>
      </c>
      <c r="V54" s="83">
        <f t="shared" ca="1" si="92"/>
        <v>1.5877133722300616</v>
      </c>
      <c r="W54" s="83">
        <f t="shared" ca="1" si="93"/>
        <v>3.0556381444108953</v>
      </c>
      <c r="X54" s="83">
        <f t="shared" ca="1" si="94"/>
        <v>5.9217793496335176</v>
      </c>
      <c r="Y54" s="83">
        <f t="shared" ca="1" si="95"/>
        <v>1.5278190722054477</v>
      </c>
      <c r="Z54" s="83">
        <f t="shared" ca="1" si="96"/>
        <v>1.5065668185461105</v>
      </c>
      <c r="AA54" s="83">
        <f t="shared" ca="1" si="97"/>
        <v>2.2384325941614698</v>
      </c>
      <c r="AB54" s="83">
        <f t="shared" ca="1" si="98"/>
        <v>4.281446469785033</v>
      </c>
      <c r="AC54" s="83">
        <f t="shared" ca="1" si="99"/>
        <v>1.1192162970807349</v>
      </c>
      <c r="AD54" s="83">
        <f t="shared" ca="1" si="100"/>
        <v>2.4370933829422374</v>
      </c>
      <c r="AE54" s="327">
        <f t="shared" ca="1" si="101"/>
        <v>5.4480370016628363</v>
      </c>
      <c r="AF54" s="83">
        <f t="shared" ca="1" si="102"/>
        <v>2.4516166507482762</v>
      </c>
      <c r="AG54" s="83">
        <f t="shared" ca="1" si="103"/>
        <v>1.0571288180554641</v>
      </c>
      <c r="AH54" s="327">
        <f t="shared" ca="1" si="104"/>
        <v>1.1300062575845087</v>
      </c>
      <c r="AI54" s="83">
        <f t="shared" ca="1" si="105"/>
        <v>4.4650216296236724</v>
      </c>
      <c r="AJ54" s="83">
        <f t="shared" ca="1" si="106"/>
        <v>4.1926197795405304</v>
      </c>
      <c r="AK54" s="83">
        <f t="shared" ca="1" si="107"/>
        <v>1.3229371513887975</v>
      </c>
      <c r="AL54" s="83">
        <f t="shared" ca="1" si="108"/>
        <v>0.51747245269445319</v>
      </c>
      <c r="AM54" s="83">
        <f t="shared" ca="1" si="109"/>
        <v>1.5988804244010499</v>
      </c>
      <c r="AN54" s="83">
        <f t="shared" ca="1" si="110"/>
        <v>3.5175369336823095</v>
      </c>
      <c r="AO54" s="83">
        <f t="shared" ca="1" si="111"/>
        <v>0.79944021220052497</v>
      </c>
      <c r="AP54" s="83">
        <f t="shared" ca="1" si="112"/>
        <v>5.9756263727207068</v>
      </c>
      <c r="AQ54" s="83">
        <f t="shared" ca="1" si="113"/>
        <v>0.37983131545235743</v>
      </c>
      <c r="AR54" s="83">
        <f t="shared" ca="1" si="114"/>
        <v>1.3750813494426206</v>
      </c>
      <c r="AS54" s="83">
        <f t="shared" ca="1" si="115"/>
        <v>0.18991565772617872</v>
      </c>
      <c r="AT54" s="83">
        <f t="shared" ca="1" si="116"/>
        <v>1.1192162970807349</v>
      </c>
      <c r="AU54" s="83">
        <f t="shared" ca="1" si="117"/>
        <v>2.3687117398534072</v>
      </c>
      <c r="AV54" s="83">
        <f t="shared" ca="1" si="118"/>
        <v>0.55960814854036744</v>
      </c>
      <c r="AW54" s="83">
        <f t="shared" ca="1" si="119"/>
        <v>6.3301126829668508</v>
      </c>
      <c r="AX54" s="83">
        <f t="shared" ca="1" si="120"/>
        <v>0.73921017545728018</v>
      </c>
      <c r="AY54" s="83">
        <f t="shared" ca="1" si="121"/>
        <v>2.2399004216480685</v>
      </c>
      <c r="AZ54" s="83">
        <f t="shared" ca="1" si="122"/>
        <v>0.36960508772864009</v>
      </c>
      <c r="BA54" s="83">
        <f t="shared" ca="1" si="123"/>
        <v>1.7232377907433536</v>
      </c>
      <c r="BB54" s="83">
        <f t="shared" ca="1" si="124"/>
        <v>2.0607792136724639</v>
      </c>
      <c r="BC54" s="83">
        <f t="shared" ca="1" si="125"/>
        <v>5.5768292736937957</v>
      </c>
      <c r="BD54" s="83">
        <f t="shared" ca="1" si="126"/>
        <v>2.0234618418241976</v>
      </c>
      <c r="BE54" s="83">
        <f t="shared" ca="1" si="127"/>
        <v>0.70414882326167794</v>
      </c>
      <c r="BF54" s="83">
        <f t="shared" ca="1" si="128"/>
        <v>2.8720629845722558</v>
      </c>
      <c r="BG54" s="83">
        <f t="shared" ca="1" si="129"/>
        <v>1.5633497483032488</v>
      </c>
      <c r="BH54" s="83">
        <f t="shared" ca="1" si="130"/>
        <v>2.4117729322103703</v>
      </c>
      <c r="BI54" s="83">
        <f t="shared" ca="1" si="131"/>
        <v>1.8806351515796953</v>
      </c>
      <c r="BJ54" s="83">
        <f t="shared" ca="1" si="132"/>
        <v>0.15193252618094297</v>
      </c>
      <c r="BK54" s="83">
        <f t="shared" ca="1" si="133"/>
        <v>1.0659202829340331</v>
      </c>
      <c r="BL54" s="83">
        <f t="shared" ca="1" si="134"/>
        <v>0.40268099577507921</v>
      </c>
      <c r="BM54" s="83">
        <f t="shared" ca="1" si="135"/>
        <v>1.9306843683048895</v>
      </c>
      <c r="BN54" s="83">
        <f t="shared" ca="1" si="136"/>
        <v>2.7574082436287046</v>
      </c>
      <c r="BO54" s="83">
        <f t="shared" ca="1" si="137"/>
        <v>0.394440212200525</v>
      </c>
      <c r="BP54" s="83">
        <f t="shared" ca="1" si="138"/>
        <v>1.6817853352959189</v>
      </c>
      <c r="BQ54" s="83">
        <f t="shared" ca="1" si="139"/>
        <v>1.4449141613105783</v>
      </c>
      <c r="BR54" s="83">
        <f t="shared" ca="1" si="140"/>
        <v>2.8802012707499172</v>
      </c>
      <c r="BS54" s="83">
        <f t="shared" ca="1" si="141"/>
        <v>2.3733315193939379</v>
      </c>
      <c r="BT54" s="83">
        <f t="shared" ca="1" si="142"/>
        <v>0.35353530130565575</v>
      </c>
      <c r="BU54" s="83">
        <f t="shared" ca="1" si="143"/>
        <v>1.6817853352959189</v>
      </c>
      <c r="BV54" s="83">
        <f t="shared" ca="1" si="144"/>
        <v>1.4449141613105783</v>
      </c>
      <c r="BW54" s="83">
        <f t="shared" ca="1" si="145"/>
        <v>3.994301102952083</v>
      </c>
      <c r="BX54" s="83">
        <f t="shared" ca="1" si="146"/>
        <v>1.9129925179219986</v>
      </c>
      <c r="BY54" s="83">
        <f t="shared" ca="1" si="147"/>
        <v>0.43242334374576069</v>
      </c>
      <c r="BZ54" s="83">
        <f t="shared" ca="1" si="148"/>
        <v>2.5700257492845417</v>
      </c>
      <c r="CA54" s="83">
        <f t="shared" ca="1" si="149"/>
        <v>1.7592470411590631</v>
      </c>
      <c r="CB54" s="83">
        <f t="shared" ca="1" si="150"/>
        <v>5.0389235476873413</v>
      </c>
      <c r="CC54" s="83">
        <f t="shared" ca="1" si="151"/>
        <v>1.7592470411590631</v>
      </c>
      <c r="CD54" s="83">
        <f t="shared" ca="1" si="152"/>
        <v>2.582698337383297</v>
      </c>
      <c r="CE54" s="83">
        <f t="shared" ca="1" si="153"/>
        <v>6.999915929648286</v>
      </c>
      <c r="CF54" s="83">
        <f t="shared" ca="1" si="154"/>
        <v>2.582698337383297</v>
      </c>
      <c r="CG54" s="83">
        <f t="shared" ca="1" si="155"/>
        <v>1.5825281707417127</v>
      </c>
    </row>
    <row r="55" spans="1:85" x14ac:dyDescent="0.25">
      <c r="A55" t="str">
        <f t="shared" ref="A55:E55" si="188">A21</f>
        <v>G. Stoychev</v>
      </c>
      <c r="B55">
        <f t="shared" si="188"/>
        <v>23</v>
      </c>
      <c r="C55">
        <f t="shared" ca="1" si="188"/>
        <v>103</v>
      </c>
      <c r="D55" t="str">
        <f t="shared" si="188"/>
        <v>IMP</v>
      </c>
      <c r="E55" s="265">
        <f t="shared" si="188"/>
        <v>43650</v>
      </c>
      <c r="F55" s="195">
        <f t="shared" ca="1" si="77"/>
        <v>8.394708266038052E-2</v>
      </c>
      <c r="G55" s="196">
        <f t="shared" ref="G55:H55" si="189">J21</f>
        <v>3.7</v>
      </c>
      <c r="H55" s="49">
        <f t="shared" si="189"/>
        <v>0</v>
      </c>
      <c r="I55" s="49">
        <f t="shared" si="79"/>
        <v>9</v>
      </c>
      <c r="J55" s="49">
        <f t="shared" si="80"/>
        <v>8</v>
      </c>
      <c r="K55" s="49">
        <f t="shared" si="81"/>
        <v>9</v>
      </c>
      <c r="L55" s="49">
        <f t="shared" si="82"/>
        <v>5</v>
      </c>
      <c r="M55" s="49">
        <f t="shared" si="83"/>
        <v>5</v>
      </c>
      <c r="N55" s="49">
        <f t="shared" si="84"/>
        <v>3</v>
      </c>
      <c r="O55" s="196">
        <f t="shared" si="85"/>
        <v>2.75</v>
      </c>
      <c r="P55" s="196">
        <f t="shared" ca="1" si="86"/>
        <v>4.2098241329301871</v>
      </c>
      <c r="Q55" s="196">
        <f t="shared" si="87"/>
        <v>0.33999999999999997</v>
      </c>
      <c r="R55" s="196">
        <f t="shared" si="88"/>
        <v>0.45</v>
      </c>
      <c r="S55" s="196">
        <f t="shared" ca="1" si="89"/>
        <v>3.9019398660533997</v>
      </c>
      <c r="T55" s="83">
        <f t="shared" ca="1" si="90"/>
        <v>3.2186726099764944</v>
      </c>
      <c r="U55" s="83">
        <f t="shared" ca="1" si="91"/>
        <v>4.9114402514085382</v>
      </c>
      <c r="V55" s="83">
        <f t="shared" ca="1" si="92"/>
        <v>3.2186726099764944</v>
      </c>
      <c r="W55" s="83">
        <f t="shared" ca="1" si="93"/>
        <v>5.0782394808108489</v>
      </c>
      <c r="X55" s="83">
        <f t="shared" ca="1" si="94"/>
        <v>9.8415493814163728</v>
      </c>
      <c r="Y55" s="83">
        <f t="shared" ca="1" si="95"/>
        <v>2.5391197404054244</v>
      </c>
      <c r="Z55" s="83">
        <f t="shared" ca="1" si="96"/>
        <v>2.1042887527770966</v>
      </c>
      <c r="AA55" s="83">
        <f t="shared" ca="1" si="97"/>
        <v>3.7201056661753888</v>
      </c>
      <c r="AB55" s="83">
        <f t="shared" ca="1" si="98"/>
        <v>7.1154402027640371</v>
      </c>
      <c r="AC55" s="83">
        <f t="shared" ca="1" si="99"/>
        <v>1.8600528330876944</v>
      </c>
      <c r="AD55" s="83">
        <f t="shared" ca="1" si="100"/>
        <v>3.4039965118453037</v>
      </c>
      <c r="AE55" s="327">
        <f t="shared" ca="1" si="101"/>
        <v>9.0542254309030632</v>
      </c>
      <c r="AF55" s="83">
        <f t="shared" ca="1" si="102"/>
        <v>4.0744014439063783</v>
      </c>
      <c r="AG55" s="83">
        <f t="shared" ca="1" si="103"/>
        <v>1.4765387466965343</v>
      </c>
      <c r="AH55" s="327">
        <f t="shared" ca="1" si="104"/>
        <v>5.7868310362728268</v>
      </c>
      <c r="AI55" s="83">
        <f t="shared" ca="1" si="105"/>
        <v>7.4205282335879454</v>
      </c>
      <c r="AJ55" s="83">
        <f t="shared" ca="1" si="106"/>
        <v>6.9678169620427912</v>
      </c>
      <c r="AK55" s="83">
        <f t="shared" ca="1" si="107"/>
        <v>0.64153874669653443</v>
      </c>
      <c r="AL55" s="83">
        <f t="shared" ca="1" si="108"/>
        <v>1.0343662218479155</v>
      </c>
      <c r="AM55" s="83">
        <f t="shared" ca="1" si="109"/>
        <v>2.657218332982421</v>
      </c>
      <c r="AN55" s="83">
        <f t="shared" ca="1" si="110"/>
        <v>5.8458803325613253</v>
      </c>
      <c r="AO55" s="83">
        <f t="shared" ca="1" si="111"/>
        <v>1.3286091664912105</v>
      </c>
      <c r="AP55" s="83">
        <f t="shared" ca="1" si="112"/>
        <v>8.3464226160570547</v>
      </c>
      <c r="AQ55" s="83">
        <f t="shared" ca="1" si="113"/>
        <v>0.75940141958412866</v>
      </c>
      <c r="AR55" s="83">
        <f t="shared" ca="1" si="114"/>
        <v>1.7115739687549971</v>
      </c>
      <c r="AS55" s="83">
        <f t="shared" ca="1" si="115"/>
        <v>0.37970070979206433</v>
      </c>
      <c r="AT55" s="83">
        <f t="shared" ca="1" si="116"/>
        <v>1.8600528330876944</v>
      </c>
      <c r="AU55" s="83">
        <f t="shared" ca="1" si="117"/>
        <v>3.9366197525665494</v>
      </c>
      <c r="AV55" s="83">
        <f t="shared" ca="1" si="118"/>
        <v>0.93002641654384721</v>
      </c>
      <c r="AW55" s="83">
        <f t="shared" ca="1" si="119"/>
        <v>8.8415493814163728</v>
      </c>
      <c r="AX55" s="83">
        <f t="shared" ca="1" si="120"/>
        <v>1.4779119934983425</v>
      </c>
      <c r="AY55" s="83">
        <f t="shared" ca="1" si="121"/>
        <v>3.218693709160422</v>
      </c>
      <c r="AZ55" s="83">
        <f t="shared" ca="1" si="122"/>
        <v>0.73895599674917123</v>
      </c>
      <c r="BA55" s="83">
        <f t="shared" ca="1" si="123"/>
        <v>2.8638908699921641</v>
      </c>
      <c r="BB55" s="83">
        <f t="shared" ca="1" si="124"/>
        <v>3.4248591847328975</v>
      </c>
      <c r="BC55" s="83">
        <f t="shared" ca="1" si="125"/>
        <v>7.7894050050278247</v>
      </c>
      <c r="BD55" s="83">
        <f t="shared" ca="1" si="126"/>
        <v>7.4891374000791551</v>
      </c>
      <c r="BE55" s="83">
        <f t="shared" ca="1" si="127"/>
        <v>1.4078134009213461</v>
      </c>
      <c r="BF55" s="83">
        <f t="shared" ca="1" si="128"/>
        <v>4.7731514499869405</v>
      </c>
      <c r="BG55" s="83">
        <f t="shared" ca="1" si="129"/>
        <v>2.5981690366939225</v>
      </c>
      <c r="BH55" s="83">
        <f t="shared" ca="1" si="130"/>
        <v>3.3686303143196379</v>
      </c>
      <c r="BI55" s="83">
        <f t="shared" ca="1" si="131"/>
        <v>7.7975141593579105</v>
      </c>
      <c r="BJ55" s="83">
        <f t="shared" ca="1" si="132"/>
        <v>0.30376056783365141</v>
      </c>
      <c r="BK55" s="83">
        <f t="shared" ca="1" si="133"/>
        <v>1.7714788886549471</v>
      </c>
      <c r="BL55" s="83">
        <f t="shared" ca="1" si="134"/>
        <v>0.66922535793631344</v>
      </c>
      <c r="BM55" s="83">
        <f t="shared" ca="1" si="135"/>
        <v>2.6966725613319937</v>
      </c>
      <c r="BN55" s="83">
        <f t="shared" ca="1" si="136"/>
        <v>11.512232504501455</v>
      </c>
      <c r="BO55" s="83">
        <f t="shared" ca="1" si="137"/>
        <v>0.78860916649121049</v>
      </c>
      <c r="BP55" s="83">
        <f t="shared" ca="1" si="138"/>
        <v>2.7950000243222495</v>
      </c>
      <c r="BQ55" s="83">
        <f t="shared" ca="1" si="139"/>
        <v>2.4013380490655951</v>
      </c>
      <c r="BR55" s="83">
        <f t="shared" ca="1" si="140"/>
        <v>4.0229049685444496</v>
      </c>
      <c r="BS55" s="83">
        <f t="shared" ca="1" si="141"/>
        <v>9.9284367146093402</v>
      </c>
      <c r="BT55" s="83">
        <f t="shared" ca="1" si="142"/>
        <v>0.70682747515138122</v>
      </c>
      <c r="BU55" s="83">
        <f t="shared" ca="1" si="143"/>
        <v>2.7950000243222495</v>
      </c>
      <c r="BV55" s="83">
        <f t="shared" ca="1" si="144"/>
        <v>2.4013380490655951</v>
      </c>
      <c r="BW55" s="83">
        <f t="shared" ca="1" si="145"/>
        <v>5.5790176596737311</v>
      </c>
      <c r="BX55" s="83">
        <f t="shared" ca="1" si="146"/>
        <v>8.036186696367654</v>
      </c>
      <c r="BY55" s="83">
        <f t="shared" ca="1" si="147"/>
        <v>0.8645493084496233</v>
      </c>
      <c r="BZ55" s="83">
        <f t="shared" ca="1" si="148"/>
        <v>3.5896690488550478</v>
      </c>
      <c r="CA55" s="83">
        <f t="shared" ca="1" si="149"/>
        <v>3.6194472277179308</v>
      </c>
      <c r="CB55" s="83">
        <f t="shared" ca="1" si="150"/>
        <v>6.5775846034748362</v>
      </c>
      <c r="CC55" s="83">
        <f t="shared" ca="1" si="151"/>
        <v>3.6194472277179308</v>
      </c>
      <c r="CD55" s="83">
        <f t="shared" ca="1" si="152"/>
        <v>4.7614590231307021</v>
      </c>
      <c r="CE55" s="83">
        <f t="shared" ca="1" si="153"/>
        <v>7.9970811031590152</v>
      </c>
      <c r="CF55" s="83">
        <f t="shared" ca="1" si="154"/>
        <v>4.7614590231307021</v>
      </c>
      <c r="CG55" s="83">
        <f t="shared" ca="1" si="155"/>
        <v>2.2103873453540932</v>
      </c>
    </row>
    <row r="56" spans="1:85" x14ac:dyDescent="0.25">
      <c r="A56" t="str">
        <f t="shared" ref="A56:E56" si="190">A22</f>
        <v>K. Helms</v>
      </c>
      <c r="B56">
        <f t="shared" si="190"/>
        <v>35</v>
      </c>
      <c r="C56">
        <f t="shared" ca="1" si="190"/>
        <v>51</v>
      </c>
      <c r="D56" t="str">
        <f t="shared" si="190"/>
        <v>TEC</v>
      </c>
      <c r="E56" s="265">
        <f t="shared" si="190"/>
        <v>36526</v>
      </c>
      <c r="F56" s="195">
        <f t="shared" si="77"/>
        <v>1.5</v>
      </c>
      <c r="G56" s="196">
        <f t="shared" ref="G56:H56" si="191">J22</f>
        <v>13.5</v>
      </c>
      <c r="H56" s="49">
        <f t="shared" si="191"/>
        <v>0</v>
      </c>
      <c r="I56" s="49">
        <f t="shared" si="79"/>
        <v>7.2503030303030309</v>
      </c>
      <c r="J56" s="49">
        <f t="shared" si="80"/>
        <v>10.600000000000005</v>
      </c>
      <c r="K56" s="49">
        <f t="shared" si="81"/>
        <v>12.95</v>
      </c>
      <c r="L56" s="49">
        <f t="shared" si="82"/>
        <v>9.9499999999999993</v>
      </c>
      <c r="M56" s="49">
        <f t="shared" si="83"/>
        <v>3.95</v>
      </c>
      <c r="N56" s="49">
        <f t="shared" si="84"/>
        <v>18</v>
      </c>
      <c r="O56" s="196">
        <f t="shared" si="85"/>
        <v>3.7687878787878786</v>
      </c>
      <c r="P56" s="196">
        <f t="shared" si="86"/>
        <v>15.502716837831953</v>
      </c>
      <c r="Q56" s="196">
        <f t="shared" si="87"/>
        <v>0.73750000000000004</v>
      </c>
      <c r="R56" s="196">
        <f t="shared" si="88"/>
        <v>0.8300121212121212</v>
      </c>
      <c r="S56" s="196">
        <f t="shared" ca="1" si="89"/>
        <v>20.507111691326674</v>
      </c>
      <c r="T56" s="83">
        <f t="shared" si="90"/>
        <v>4.626292142891824</v>
      </c>
      <c r="U56" s="83">
        <f t="shared" si="91"/>
        <v>6.9635599813815254</v>
      </c>
      <c r="V56" s="83">
        <f t="shared" si="92"/>
        <v>4.626292142891824</v>
      </c>
      <c r="W56" s="83">
        <f t="shared" si="93"/>
        <v>5.2928259963609277</v>
      </c>
      <c r="X56" s="83">
        <f t="shared" si="94"/>
        <v>10.257414721629704</v>
      </c>
      <c r="Y56" s="83">
        <f t="shared" si="95"/>
        <v>2.6464129981804638</v>
      </c>
      <c r="Z56" s="83">
        <f t="shared" si="96"/>
        <v>3.2384925825357493</v>
      </c>
      <c r="AA56" s="83">
        <f t="shared" si="97"/>
        <v>3.8773027647760281</v>
      </c>
      <c r="AB56" s="83">
        <f t="shared" si="98"/>
        <v>7.4161108437382763</v>
      </c>
      <c r="AC56" s="83">
        <f t="shared" si="99"/>
        <v>1.938651382388014</v>
      </c>
      <c r="AD56" s="83">
        <f t="shared" si="100"/>
        <v>5.2387380011607716</v>
      </c>
      <c r="AE56" s="327">
        <f t="shared" si="101"/>
        <v>9.4368215438993275</v>
      </c>
      <c r="AF56" s="83">
        <f t="shared" si="102"/>
        <v>4.2465696947546974</v>
      </c>
      <c r="AG56" s="83">
        <f t="shared" si="103"/>
        <v>2.2723876524515556</v>
      </c>
      <c r="AH56" s="327">
        <f t="shared" si="104"/>
        <v>9.3827816745000838</v>
      </c>
      <c r="AI56" s="83">
        <f t="shared" si="105"/>
        <v>7.7340907001087968</v>
      </c>
      <c r="AJ56" s="83">
        <f t="shared" si="106"/>
        <v>7.2622496229138305</v>
      </c>
      <c r="AK56" s="83">
        <f t="shared" si="107"/>
        <v>3.5081876524515549</v>
      </c>
      <c r="AL56" s="83">
        <f t="shared" si="108"/>
        <v>1.9514590761929913</v>
      </c>
      <c r="AM56" s="83">
        <f t="shared" si="109"/>
        <v>2.7695019748400203</v>
      </c>
      <c r="AN56" s="83">
        <f t="shared" si="110"/>
        <v>6.0929043446480442</v>
      </c>
      <c r="AO56" s="83">
        <f t="shared" si="111"/>
        <v>1.3847509874200101</v>
      </c>
      <c r="AP56" s="83">
        <f t="shared" si="112"/>
        <v>12.845113436612385</v>
      </c>
      <c r="AQ56" s="83">
        <f t="shared" si="113"/>
        <v>1.6844245198724677</v>
      </c>
      <c r="AR56" s="83">
        <f t="shared" si="114"/>
        <v>2.7584337255587155</v>
      </c>
      <c r="AS56" s="83">
        <f t="shared" si="115"/>
        <v>0.84221225993623383</v>
      </c>
      <c r="AT56" s="83">
        <f t="shared" si="116"/>
        <v>1.938651382388014</v>
      </c>
      <c r="AU56" s="83">
        <f t="shared" si="117"/>
        <v>4.1029658886518821</v>
      </c>
      <c r="AV56" s="83">
        <f t="shared" si="118"/>
        <v>0.96932569119400702</v>
      </c>
      <c r="AW56" s="83">
        <f t="shared" si="119"/>
        <v>13.607111691326679</v>
      </c>
      <c r="AX56" s="83">
        <f t="shared" si="120"/>
        <v>3.2781492579056484</v>
      </c>
      <c r="AY56" s="83">
        <f t="shared" si="121"/>
        <v>5.8793685419209973</v>
      </c>
      <c r="AZ56" s="83">
        <f t="shared" si="122"/>
        <v>1.6390746289528242</v>
      </c>
      <c r="BA56" s="83">
        <f t="shared" si="123"/>
        <v>2.9849076839942437</v>
      </c>
      <c r="BB56" s="83">
        <f t="shared" si="124"/>
        <v>3.5695803231271368</v>
      </c>
      <c r="BC56" s="83">
        <f t="shared" si="125"/>
        <v>11.987865400058805</v>
      </c>
      <c r="BD56" s="83">
        <f t="shared" si="126"/>
        <v>13.240872293589412</v>
      </c>
      <c r="BE56" s="83">
        <f t="shared" si="127"/>
        <v>3.1226639176097284</v>
      </c>
      <c r="BF56" s="83">
        <f t="shared" si="128"/>
        <v>4.9748461399904063</v>
      </c>
      <c r="BG56" s="83">
        <f t="shared" si="129"/>
        <v>2.7079574865102423</v>
      </c>
      <c r="BH56" s="83">
        <f t="shared" si="130"/>
        <v>5.1843095543954645</v>
      </c>
      <c r="BI56" s="83">
        <f t="shared" si="131"/>
        <v>13.343515618219515</v>
      </c>
      <c r="BJ56" s="83">
        <f t="shared" si="132"/>
        <v>0.673769807948987</v>
      </c>
      <c r="BK56" s="83">
        <f t="shared" si="133"/>
        <v>1.8463346498933466</v>
      </c>
      <c r="BL56" s="83">
        <f t="shared" si="134"/>
        <v>0.6975042010708199</v>
      </c>
      <c r="BM56" s="83">
        <f t="shared" si="135"/>
        <v>4.1501690658546373</v>
      </c>
      <c r="BN56" s="83">
        <f t="shared" si="136"/>
        <v>19.662845635046104</v>
      </c>
      <c r="BO56" s="83">
        <f t="shared" si="137"/>
        <v>1.7492100783291011</v>
      </c>
      <c r="BP56" s="83">
        <f t="shared" si="138"/>
        <v>2.9131057809428356</v>
      </c>
      <c r="BQ56" s="83">
        <f t="shared" si="139"/>
        <v>2.5028091920776476</v>
      </c>
      <c r="BR56" s="83">
        <f t="shared" si="140"/>
        <v>6.191235819553639</v>
      </c>
      <c r="BS56" s="83">
        <f t="shared" si="141"/>
        <v>16.948479753989954</v>
      </c>
      <c r="BT56" s="83">
        <f t="shared" si="142"/>
        <v>1.5678105146505275</v>
      </c>
      <c r="BU56" s="83">
        <f t="shared" si="143"/>
        <v>2.9131057809428356</v>
      </c>
      <c r="BV56" s="83">
        <f t="shared" si="144"/>
        <v>2.5028091920776476</v>
      </c>
      <c r="BW56" s="83">
        <f t="shared" si="145"/>
        <v>8.5860874772271352</v>
      </c>
      <c r="BX56" s="83">
        <f t="shared" si="146"/>
        <v>13.702614963737371</v>
      </c>
      <c r="BY56" s="83">
        <f t="shared" si="147"/>
        <v>1.9176525303163476</v>
      </c>
      <c r="BZ56" s="83">
        <f t="shared" si="148"/>
        <v>5.5244873466786322</v>
      </c>
      <c r="CA56" s="83">
        <f t="shared" si="149"/>
        <v>7.4752241264873307</v>
      </c>
      <c r="CB56" s="83">
        <f t="shared" si="150"/>
        <v>11.091707764433835</v>
      </c>
      <c r="CC56" s="83">
        <f t="shared" si="151"/>
        <v>7.4752241264873307</v>
      </c>
      <c r="CD56" s="83">
        <f t="shared" si="152"/>
        <v>7.0452805836965178</v>
      </c>
      <c r="CE56" s="83">
        <f t="shared" si="153"/>
        <v>11.738285905426217</v>
      </c>
      <c r="CF56" s="83">
        <f t="shared" si="154"/>
        <v>7.0452805836965178</v>
      </c>
      <c r="CG56" s="83">
        <f t="shared" si="155"/>
        <v>3.4017779228316698</v>
      </c>
    </row>
    <row r="57" spans="1:85" x14ac:dyDescent="0.25">
      <c r="A57" t="str">
        <f t="shared" ref="A57:E57" si="192">A23</f>
        <v>S. Zobbe</v>
      </c>
      <c r="B57">
        <f t="shared" si="192"/>
        <v>32</v>
      </c>
      <c r="C57">
        <f t="shared" ca="1" si="192"/>
        <v>66</v>
      </c>
      <c r="D57" t="str">
        <f t="shared" si="192"/>
        <v>CAB</v>
      </c>
      <c r="E57" s="265">
        <f t="shared" si="192"/>
        <v>36526</v>
      </c>
      <c r="F57" s="195">
        <f t="shared" si="77"/>
        <v>1.5</v>
      </c>
      <c r="G57" s="196">
        <f t="shared" ref="G57:H57" si="193">J23</f>
        <v>13</v>
      </c>
      <c r="H57" s="49">
        <f t="shared" si="193"/>
        <v>0</v>
      </c>
      <c r="I57" s="49">
        <f t="shared" si="79"/>
        <v>8.3599999999999977</v>
      </c>
      <c r="J57" s="49">
        <f t="shared" si="80"/>
        <v>12.253412698412699</v>
      </c>
      <c r="K57" s="49">
        <f t="shared" si="81"/>
        <v>12.95</v>
      </c>
      <c r="L57" s="49">
        <f t="shared" si="82"/>
        <v>10.24</v>
      </c>
      <c r="M57" s="49">
        <f t="shared" si="83"/>
        <v>6.95</v>
      </c>
      <c r="N57" s="49">
        <f t="shared" si="84"/>
        <v>16</v>
      </c>
      <c r="O57" s="196">
        <f t="shared" si="85"/>
        <v>3.9799999999999995</v>
      </c>
      <c r="P57" s="196">
        <f t="shared" si="86"/>
        <v>19.334419744797479</v>
      </c>
      <c r="Q57" s="196">
        <f t="shared" si="87"/>
        <v>0.82750000000000001</v>
      </c>
      <c r="R57" s="196">
        <f t="shared" si="88"/>
        <v>0.81439999999999979</v>
      </c>
      <c r="S57" s="196">
        <f t="shared" ca="1" si="89"/>
        <v>18.485257803075783</v>
      </c>
      <c r="T57" s="83">
        <f t="shared" si="90"/>
        <v>4.9134900620851578</v>
      </c>
      <c r="U57" s="83">
        <f t="shared" si="91"/>
        <v>7.4069678237708345</v>
      </c>
      <c r="V57" s="83">
        <f t="shared" si="92"/>
        <v>4.9134900620851578</v>
      </c>
      <c r="W57" s="83">
        <f t="shared" si="93"/>
        <v>5.8541530263871024</v>
      </c>
      <c r="X57" s="83">
        <f t="shared" si="94"/>
        <v>11.34525780307578</v>
      </c>
      <c r="Y57" s="83">
        <f t="shared" si="95"/>
        <v>2.9270765131935512</v>
      </c>
      <c r="Z57" s="83">
        <f t="shared" si="96"/>
        <v>3.6268035793542586</v>
      </c>
      <c r="AA57" s="83">
        <f t="shared" si="97"/>
        <v>4.288507449562645</v>
      </c>
      <c r="AB57" s="83">
        <f t="shared" si="98"/>
        <v>8.2026213916237882</v>
      </c>
      <c r="AC57" s="83">
        <f t="shared" si="99"/>
        <v>2.1442537247813225</v>
      </c>
      <c r="AD57" s="83">
        <f t="shared" si="100"/>
        <v>5.8668881430730657</v>
      </c>
      <c r="AE57" s="327">
        <f t="shared" si="101"/>
        <v>10.437637178829718</v>
      </c>
      <c r="AF57" s="83">
        <f t="shared" si="102"/>
        <v>4.6969367304733725</v>
      </c>
      <c r="AG57" s="83">
        <f t="shared" si="103"/>
        <v>2.5448579737485768</v>
      </c>
      <c r="AH57" s="327">
        <f t="shared" si="104"/>
        <v>9.3699315882085585</v>
      </c>
      <c r="AI57" s="83">
        <f t="shared" si="105"/>
        <v>8.5543243835191376</v>
      </c>
      <c r="AJ57" s="83">
        <f t="shared" si="106"/>
        <v>8.0324425245776521</v>
      </c>
      <c r="AK57" s="83">
        <f t="shared" si="107"/>
        <v>3.1705380531136558</v>
      </c>
      <c r="AL57" s="83">
        <f t="shared" si="108"/>
        <v>2.005994247285825</v>
      </c>
      <c r="AM57" s="83">
        <f t="shared" si="109"/>
        <v>3.0632196068304607</v>
      </c>
      <c r="AN57" s="83">
        <f t="shared" si="110"/>
        <v>6.7390831350270135</v>
      </c>
      <c r="AO57" s="83">
        <f t="shared" si="111"/>
        <v>1.5316098034152303</v>
      </c>
      <c r="AP57" s="83">
        <f t="shared" si="112"/>
        <v>14.385304953405127</v>
      </c>
      <c r="AQ57" s="83">
        <f t="shared" si="113"/>
        <v>1.7192835143998517</v>
      </c>
      <c r="AR57" s="83">
        <f t="shared" si="114"/>
        <v>3.3058305363012042</v>
      </c>
      <c r="AS57" s="83">
        <f t="shared" si="115"/>
        <v>0.85964175719992586</v>
      </c>
      <c r="AT57" s="83">
        <f t="shared" si="116"/>
        <v>2.1442537247813225</v>
      </c>
      <c r="AU57" s="83">
        <f t="shared" si="117"/>
        <v>4.5381031212303125</v>
      </c>
      <c r="AV57" s="83">
        <f t="shared" si="118"/>
        <v>1.0721268623906612</v>
      </c>
      <c r="AW57" s="83">
        <f t="shared" si="119"/>
        <v>15.238670501488482</v>
      </c>
      <c r="AX57" s="83">
        <f t="shared" si="120"/>
        <v>3.3459902241781729</v>
      </c>
      <c r="AY57" s="83">
        <f t="shared" si="121"/>
        <v>6.5962170494947561</v>
      </c>
      <c r="AZ57" s="83">
        <f t="shared" si="122"/>
        <v>1.6729951120890865</v>
      </c>
      <c r="BA57" s="83">
        <f t="shared" si="123"/>
        <v>3.301470020695052</v>
      </c>
      <c r="BB57" s="83">
        <f t="shared" si="124"/>
        <v>3.9481497154703713</v>
      </c>
      <c r="BC57" s="83">
        <f t="shared" si="125"/>
        <v>13.425268711811352</v>
      </c>
      <c r="BD57" s="83">
        <f t="shared" si="126"/>
        <v>13.31279418693437</v>
      </c>
      <c r="BE57" s="83">
        <f t="shared" si="127"/>
        <v>3.1872871305412636</v>
      </c>
      <c r="BF57" s="83">
        <f t="shared" si="128"/>
        <v>5.5024500344917531</v>
      </c>
      <c r="BG57" s="83">
        <f t="shared" si="129"/>
        <v>2.995148060012006</v>
      </c>
      <c r="BH57" s="83">
        <f t="shared" si="130"/>
        <v>5.8059334610671121</v>
      </c>
      <c r="BI57" s="83">
        <f t="shared" si="131"/>
        <v>13.382705319888235</v>
      </c>
      <c r="BJ57" s="83">
        <f t="shared" si="132"/>
        <v>0.68771340575994067</v>
      </c>
      <c r="BK57" s="83">
        <f t="shared" si="133"/>
        <v>2.0421464045536402</v>
      </c>
      <c r="BL57" s="83">
        <f t="shared" si="134"/>
        <v>0.77147753060915314</v>
      </c>
      <c r="BM57" s="83">
        <f t="shared" si="135"/>
        <v>4.6477945029539871</v>
      </c>
      <c r="BN57" s="83">
        <f t="shared" si="136"/>
        <v>19.717681534755457</v>
      </c>
      <c r="BO57" s="83">
        <f t="shared" si="137"/>
        <v>1.7854098034152308</v>
      </c>
      <c r="BP57" s="83">
        <f t="shared" si="138"/>
        <v>3.2220532160735211</v>
      </c>
      <c r="BQ57" s="83">
        <f t="shared" si="139"/>
        <v>2.7682429039504903</v>
      </c>
      <c r="BR57" s="83">
        <f t="shared" si="140"/>
        <v>6.9335950781772597</v>
      </c>
      <c r="BS57" s="83">
        <f t="shared" si="141"/>
        <v>16.995025645807967</v>
      </c>
      <c r="BT57" s="83">
        <f t="shared" si="142"/>
        <v>1.6002561941721696</v>
      </c>
      <c r="BU57" s="83">
        <f t="shared" si="143"/>
        <v>3.2220532160735211</v>
      </c>
      <c r="BV57" s="83">
        <f t="shared" si="144"/>
        <v>2.7682429039504903</v>
      </c>
      <c r="BW57" s="83">
        <f t="shared" si="145"/>
        <v>9.6156010864392325</v>
      </c>
      <c r="BX57" s="83">
        <f t="shared" si="146"/>
        <v>13.739025733752825</v>
      </c>
      <c r="BY57" s="83">
        <f t="shared" si="147"/>
        <v>1.9573381548552158</v>
      </c>
      <c r="BZ57" s="83">
        <f t="shared" si="148"/>
        <v>6.186900223604324</v>
      </c>
      <c r="CA57" s="83">
        <f t="shared" si="149"/>
        <v>6.8627693154024829</v>
      </c>
      <c r="CB57" s="83">
        <f t="shared" si="150"/>
        <v>12.973570286263332</v>
      </c>
      <c r="CC57" s="83">
        <f t="shared" si="151"/>
        <v>6.8627693154024829</v>
      </c>
      <c r="CD57" s="83">
        <f t="shared" si="152"/>
        <v>7.8528456113162122</v>
      </c>
      <c r="CE57" s="83">
        <f t="shared" si="153"/>
        <v>14.815377932410746</v>
      </c>
      <c r="CF57" s="83">
        <f t="shared" si="154"/>
        <v>7.8528456113162122</v>
      </c>
      <c r="CG57" s="83">
        <f t="shared" si="155"/>
        <v>3.8096676253721204</v>
      </c>
    </row>
    <row r="58" spans="1:85" x14ac:dyDescent="0.25">
      <c r="A58" t="str">
        <f t="shared" ref="A58:E58" si="194">A24</f>
        <v>L. Bauman</v>
      </c>
      <c r="B58">
        <f t="shared" si="194"/>
        <v>35</v>
      </c>
      <c r="C58">
        <f t="shared" ca="1" si="194"/>
        <v>66</v>
      </c>
      <c r="D58">
        <f t="shared" si="194"/>
        <v>0</v>
      </c>
      <c r="E58" s="265">
        <f t="shared" si="194"/>
        <v>36526</v>
      </c>
      <c r="F58" s="195">
        <f t="shared" si="77"/>
        <v>1.5</v>
      </c>
      <c r="G58" s="196">
        <f t="shared" ref="G58:H58" si="195">J24</f>
        <v>12</v>
      </c>
      <c r="H58" s="49">
        <f t="shared" si="195"/>
        <v>0</v>
      </c>
      <c r="I58" s="49">
        <f t="shared" si="79"/>
        <v>5.95</v>
      </c>
      <c r="J58" s="49">
        <f t="shared" si="80"/>
        <v>14.1</v>
      </c>
      <c r="K58" s="49">
        <f t="shared" si="81"/>
        <v>2.95</v>
      </c>
      <c r="L58" s="49">
        <f t="shared" si="82"/>
        <v>8.9499999999999993</v>
      </c>
      <c r="M58" s="49">
        <f t="shared" si="83"/>
        <v>5.95</v>
      </c>
      <c r="N58" s="49">
        <f t="shared" si="84"/>
        <v>16.95</v>
      </c>
      <c r="O58" s="196">
        <f t="shared" si="85"/>
        <v>3.3562499999999997</v>
      </c>
      <c r="P58" s="196">
        <f t="shared" si="86"/>
        <v>18.094487405020338</v>
      </c>
      <c r="Q58" s="196">
        <f t="shared" si="87"/>
        <v>0.80600000000000005</v>
      </c>
      <c r="R58" s="196">
        <f t="shared" si="88"/>
        <v>0.74649999999999994</v>
      </c>
      <c r="S58" s="196">
        <f t="shared" ca="1" si="89"/>
        <v>19.388908328063501</v>
      </c>
      <c r="T58" s="83">
        <f t="shared" si="90"/>
        <v>4.2078669703994356</v>
      </c>
      <c r="U58" s="83">
        <f t="shared" si="91"/>
        <v>6.322880651529978</v>
      </c>
      <c r="V58" s="83">
        <f t="shared" si="92"/>
        <v>4.2078669703994356</v>
      </c>
      <c r="W58" s="83">
        <f t="shared" si="93"/>
        <v>4.5866766972807662</v>
      </c>
      <c r="X58" s="83">
        <f t="shared" si="94"/>
        <v>8.8889083280635006</v>
      </c>
      <c r="Y58" s="83">
        <f t="shared" si="95"/>
        <v>2.2933383486403831</v>
      </c>
      <c r="Z58" s="83">
        <f t="shared" si="96"/>
        <v>4.0552601820791123</v>
      </c>
      <c r="AA58" s="83">
        <f t="shared" si="97"/>
        <v>3.3600073480080033</v>
      </c>
      <c r="AB58" s="83">
        <f t="shared" si="98"/>
        <v>6.4266807211899106</v>
      </c>
      <c r="AC58" s="83">
        <f t="shared" si="99"/>
        <v>1.6800036740040016</v>
      </c>
      <c r="AD58" s="83">
        <f t="shared" si="100"/>
        <v>6.5599797063044472</v>
      </c>
      <c r="AE58" s="327">
        <f t="shared" si="101"/>
        <v>8.1777956618184202</v>
      </c>
      <c r="AF58" s="83">
        <f t="shared" si="102"/>
        <v>3.6800080478182893</v>
      </c>
      <c r="AG58" s="83">
        <f t="shared" si="103"/>
        <v>2.8454976907866047</v>
      </c>
      <c r="AH58" s="327">
        <f t="shared" si="104"/>
        <v>3.4626780969013375</v>
      </c>
      <c r="AI58" s="83">
        <f t="shared" si="105"/>
        <v>6.7022368793598792</v>
      </c>
      <c r="AJ58" s="83">
        <f t="shared" si="106"/>
        <v>6.2933470962689579</v>
      </c>
      <c r="AK58" s="83">
        <f t="shared" si="107"/>
        <v>3.3214476907866048</v>
      </c>
      <c r="AL58" s="83">
        <f t="shared" si="108"/>
        <v>1.8130055984822875</v>
      </c>
      <c r="AM58" s="83">
        <f t="shared" si="109"/>
        <v>2.4000052485771453</v>
      </c>
      <c r="AN58" s="83">
        <f t="shared" si="110"/>
        <v>5.2800115468697193</v>
      </c>
      <c r="AO58" s="83">
        <f t="shared" si="111"/>
        <v>1.2000026242885726</v>
      </c>
      <c r="AP58" s="83">
        <f t="shared" si="112"/>
        <v>16.084729461691943</v>
      </c>
      <c r="AQ58" s="83">
        <f t="shared" si="113"/>
        <v>1.5455580826482549</v>
      </c>
      <c r="AR58" s="83">
        <f t="shared" si="114"/>
        <v>2.9644501401226053</v>
      </c>
      <c r="AS58" s="83">
        <f t="shared" si="115"/>
        <v>0.77277904132412745</v>
      </c>
      <c r="AT58" s="83">
        <f t="shared" si="116"/>
        <v>1.6800036740040016</v>
      </c>
      <c r="AU58" s="83">
        <f t="shared" si="117"/>
        <v>3.5555633312254002</v>
      </c>
      <c r="AV58" s="83">
        <f t="shared" si="118"/>
        <v>0.84000183700200082</v>
      </c>
      <c r="AW58" s="83">
        <f t="shared" si="119"/>
        <v>17.038908328063499</v>
      </c>
      <c r="AX58" s="83">
        <f t="shared" si="120"/>
        <v>3.0078938070000651</v>
      </c>
      <c r="AY58" s="83">
        <f t="shared" si="121"/>
        <v>5.9207884887629882</v>
      </c>
      <c r="AZ58" s="83">
        <f t="shared" si="122"/>
        <v>1.5039469035000326</v>
      </c>
      <c r="BA58" s="83">
        <f t="shared" si="123"/>
        <v>2.5866723234664786</v>
      </c>
      <c r="BB58" s="83">
        <f t="shared" si="124"/>
        <v>3.0933400981660979</v>
      </c>
      <c r="BC58" s="83">
        <f t="shared" si="125"/>
        <v>15.011278237023943</v>
      </c>
      <c r="BD58" s="83">
        <f t="shared" si="126"/>
        <v>7.1252395036484515</v>
      </c>
      <c r="BE58" s="83">
        <f t="shared" si="127"/>
        <v>2.865226907063303</v>
      </c>
      <c r="BF58" s="83">
        <f t="shared" si="128"/>
        <v>4.3111205391107976</v>
      </c>
      <c r="BG58" s="83">
        <f t="shared" si="129"/>
        <v>2.3466717986087642</v>
      </c>
      <c r="BH58" s="83">
        <f t="shared" si="130"/>
        <v>6.491824072992193</v>
      </c>
      <c r="BI58" s="83">
        <f t="shared" si="131"/>
        <v>6.3529058787274995</v>
      </c>
      <c r="BJ58" s="83">
        <f t="shared" si="132"/>
        <v>0.61822323305930194</v>
      </c>
      <c r="BK58" s="83">
        <f t="shared" si="133"/>
        <v>1.60000349905143</v>
      </c>
      <c r="BL58" s="83">
        <f t="shared" si="134"/>
        <v>0.60444576630831803</v>
      </c>
      <c r="BM58" s="83">
        <f t="shared" si="135"/>
        <v>5.1968670400593675</v>
      </c>
      <c r="BN58" s="83">
        <f t="shared" si="136"/>
        <v>9.289136109889661</v>
      </c>
      <c r="BO58" s="83">
        <f t="shared" si="137"/>
        <v>1.6050026242885724</v>
      </c>
      <c r="BP58" s="83">
        <f t="shared" si="138"/>
        <v>2.5244499651700338</v>
      </c>
      <c r="BQ58" s="83">
        <f t="shared" si="139"/>
        <v>2.1688936320474941</v>
      </c>
      <c r="BR58" s="83">
        <f t="shared" si="140"/>
        <v>7.7527032892688927</v>
      </c>
      <c r="BS58" s="83">
        <f t="shared" si="141"/>
        <v>7.988910427494357</v>
      </c>
      <c r="BT58" s="83">
        <f t="shared" si="142"/>
        <v>1.4385579076956834</v>
      </c>
      <c r="BU58" s="83">
        <f t="shared" si="143"/>
        <v>2.5244499651700338</v>
      </c>
      <c r="BV58" s="83">
        <f t="shared" si="144"/>
        <v>2.1688936320474941</v>
      </c>
      <c r="BW58" s="83">
        <f t="shared" si="145"/>
        <v>10.751551155008068</v>
      </c>
      <c r="BX58" s="83">
        <f t="shared" si="146"/>
        <v>6.4285729536168326</v>
      </c>
      <c r="BY58" s="83">
        <f t="shared" si="147"/>
        <v>1.7595584325533977</v>
      </c>
      <c r="BZ58" s="83">
        <f t="shared" si="148"/>
        <v>6.9177967811937808</v>
      </c>
      <c r="CA58" s="83">
        <f t="shared" si="149"/>
        <v>4.9491212389210837</v>
      </c>
      <c r="CB58" s="83">
        <f t="shared" si="150"/>
        <v>11.637910777399501</v>
      </c>
      <c r="CC58" s="83">
        <f t="shared" si="151"/>
        <v>4.9491212389210837</v>
      </c>
      <c r="CD58" s="83">
        <f t="shared" si="152"/>
        <v>5.1707898883835606</v>
      </c>
      <c r="CE58" s="83">
        <f t="shared" si="153"/>
        <v>13.275915501118931</v>
      </c>
      <c r="CF58" s="83">
        <f t="shared" si="154"/>
        <v>5.1707898883835606</v>
      </c>
      <c r="CG58" s="83">
        <f t="shared" si="155"/>
        <v>4.2597270820158748</v>
      </c>
    </row>
    <row r="59" spans="1:85" x14ac:dyDescent="0.25">
      <c r="A59" t="str">
        <f t="shared" ref="A59:E59" si="196">A25</f>
        <v>J. Limon</v>
      </c>
      <c r="B59">
        <f t="shared" si="196"/>
        <v>34</v>
      </c>
      <c r="C59">
        <f t="shared" ca="1" si="196"/>
        <v>103</v>
      </c>
      <c r="D59" t="str">
        <f t="shared" si="196"/>
        <v>RAP</v>
      </c>
      <c r="E59" s="265">
        <f t="shared" si="196"/>
        <v>36526</v>
      </c>
      <c r="F59" s="195">
        <f t="shared" si="77"/>
        <v>1.5</v>
      </c>
      <c r="G59" s="196">
        <f t="shared" ref="G59:H59" si="197">J25</f>
        <v>14.3</v>
      </c>
      <c r="H59" s="49">
        <f t="shared" si="197"/>
        <v>0</v>
      </c>
      <c r="I59" s="49">
        <f t="shared" si="79"/>
        <v>6.8376190476190493</v>
      </c>
      <c r="J59" s="49">
        <f t="shared" si="80"/>
        <v>8.9499999999999993</v>
      </c>
      <c r="K59" s="49">
        <f t="shared" si="81"/>
        <v>8.7399999999999967</v>
      </c>
      <c r="L59" s="49">
        <f t="shared" si="82"/>
        <v>9.9499999999999993</v>
      </c>
      <c r="M59" s="49">
        <f t="shared" si="83"/>
        <v>6.95</v>
      </c>
      <c r="N59" s="49">
        <f t="shared" si="84"/>
        <v>18.999999999999993</v>
      </c>
      <c r="O59" s="196">
        <f t="shared" si="85"/>
        <v>3.7172023809523811</v>
      </c>
      <c r="P59" s="196">
        <f t="shared" si="86"/>
        <v>21.106390190397043</v>
      </c>
      <c r="Q59" s="196">
        <f t="shared" si="87"/>
        <v>0.91749999999999976</v>
      </c>
      <c r="R59" s="196">
        <f t="shared" si="88"/>
        <v>0.84350476190476176</v>
      </c>
      <c r="S59" s="196">
        <f t="shared" ca="1" si="89"/>
        <v>21.540448049953408</v>
      </c>
      <c r="T59" s="83">
        <f t="shared" si="90"/>
        <v>4.5414940047521899</v>
      </c>
      <c r="U59" s="83">
        <f t="shared" si="91"/>
        <v>6.8312065277279563</v>
      </c>
      <c r="V59" s="83">
        <f t="shared" si="92"/>
        <v>4.5414940047521899</v>
      </c>
      <c r="W59" s="83">
        <f t="shared" si="93"/>
        <v>5.0970826223473926</v>
      </c>
      <c r="X59" s="83">
        <f t="shared" si="94"/>
        <v>9.8780670975724654</v>
      </c>
      <c r="Y59" s="83">
        <f t="shared" si="95"/>
        <v>2.5485413111736963</v>
      </c>
      <c r="Z59" s="83">
        <f t="shared" si="96"/>
        <v>2.8537266358889126</v>
      </c>
      <c r="AA59" s="83">
        <f t="shared" si="97"/>
        <v>3.7339093628823918</v>
      </c>
      <c r="AB59" s="83">
        <f t="shared" si="98"/>
        <v>7.1418425115448922</v>
      </c>
      <c r="AC59" s="83">
        <f t="shared" si="99"/>
        <v>1.8669546814411959</v>
      </c>
      <c r="AD59" s="83">
        <f t="shared" si="100"/>
        <v>4.6163224992320648</v>
      </c>
      <c r="AE59" s="327">
        <f t="shared" si="101"/>
        <v>9.0878217297666684</v>
      </c>
      <c r="AF59" s="83">
        <f t="shared" si="102"/>
        <v>4.0895197783950001</v>
      </c>
      <c r="AG59" s="83">
        <f t="shared" si="103"/>
        <v>2.0024048243422206</v>
      </c>
      <c r="AH59" s="327">
        <f t="shared" si="104"/>
        <v>6.9269034533726055</v>
      </c>
      <c r="AI59" s="83">
        <f t="shared" si="105"/>
        <v>7.4480625915696388</v>
      </c>
      <c r="AJ59" s="83">
        <f t="shared" si="106"/>
        <v>6.9936715050813048</v>
      </c>
      <c r="AK59" s="83">
        <f t="shared" si="107"/>
        <v>3.6807548243422192</v>
      </c>
      <c r="AL59" s="83">
        <f t="shared" si="108"/>
        <v>1.9462033241008694</v>
      </c>
      <c r="AM59" s="83">
        <f t="shared" si="109"/>
        <v>2.667078116344566</v>
      </c>
      <c r="AN59" s="83">
        <f t="shared" si="110"/>
        <v>5.8675718559580439</v>
      </c>
      <c r="AO59" s="83">
        <f t="shared" si="111"/>
        <v>1.333539058172283</v>
      </c>
      <c r="AP59" s="83">
        <f t="shared" si="112"/>
        <v>11.318982959156022</v>
      </c>
      <c r="AQ59" s="83">
        <f t="shared" si="113"/>
        <v>1.6887582464939439</v>
      </c>
      <c r="AR59" s="83">
        <f t="shared" si="114"/>
        <v>3.28720127863635</v>
      </c>
      <c r="AS59" s="83">
        <f t="shared" si="115"/>
        <v>0.84437912324697195</v>
      </c>
      <c r="AT59" s="83">
        <f t="shared" si="116"/>
        <v>1.8669546814411959</v>
      </c>
      <c r="AU59" s="83">
        <f t="shared" si="117"/>
        <v>3.9512268390289864</v>
      </c>
      <c r="AV59" s="83">
        <f t="shared" si="118"/>
        <v>0.93347734072059796</v>
      </c>
      <c r="AW59" s="83">
        <f t="shared" si="119"/>
        <v>11.990448049953415</v>
      </c>
      <c r="AX59" s="83">
        <f t="shared" si="120"/>
        <v>3.2865833566382139</v>
      </c>
      <c r="AY59" s="83">
        <f t="shared" si="121"/>
        <v>6.5277368755243321</v>
      </c>
      <c r="AZ59" s="83">
        <f t="shared" si="122"/>
        <v>1.6432916783191069</v>
      </c>
      <c r="BA59" s="83">
        <f t="shared" si="123"/>
        <v>2.8745175253935873</v>
      </c>
      <c r="BB59" s="83">
        <f t="shared" si="124"/>
        <v>3.4375673499552177</v>
      </c>
      <c r="BC59" s="83">
        <f t="shared" si="125"/>
        <v>10.563584732008959</v>
      </c>
      <c r="BD59" s="83">
        <f t="shared" si="126"/>
        <v>10.853968316408583</v>
      </c>
      <c r="BE59" s="83">
        <f t="shared" si="127"/>
        <v>3.1306979800387729</v>
      </c>
      <c r="BF59" s="83">
        <f t="shared" si="128"/>
        <v>4.7908625423226452</v>
      </c>
      <c r="BG59" s="83">
        <f t="shared" si="129"/>
        <v>2.607809713759131</v>
      </c>
      <c r="BH59" s="83">
        <f t="shared" si="130"/>
        <v>4.5683607070322507</v>
      </c>
      <c r="BI59" s="83">
        <f t="shared" si="131"/>
        <v>10.539321595659283</v>
      </c>
      <c r="BJ59" s="83">
        <f t="shared" si="132"/>
        <v>0.67550329859757752</v>
      </c>
      <c r="BK59" s="83">
        <f t="shared" si="133"/>
        <v>1.7780520775630437</v>
      </c>
      <c r="BL59" s="83">
        <f t="shared" si="134"/>
        <v>0.67170856263492773</v>
      </c>
      <c r="BM59" s="83">
        <f t="shared" si="135"/>
        <v>3.6570866552357915</v>
      </c>
      <c r="BN59" s="83">
        <f t="shared" si="136"/>
        <v>15.495716192240089</v>
      </c>
      <c r="BO59" s="83">
        <f t="shared" si="137"/>
        <v>1.753710486743711</v>
      </c>
      <c r="BP59" s="83">
        <f t="shared" si="138"/>
        <v>2.8053710557105798</v>
      </c>
      <c r="BQ59" s="83">
        <f t="shared" si="139"/>
        <v>2.4102483718076817</v>
      </c>
      <c r="BR59" s="83">
        <f t="shared" si="140"/>
        <v>5.4556538627288038</v>
      </c>
      <c r="BS59" s="83">
        <f t="shared" si="141"/>
        <v>13.347976439348383</v>
      </c>
      <c r="BT59" s="83">
        <f t="shared" si="142"/>
        <v>1.5718442140443631</v>
      </c>
      <c r="BU59" s="83">
        <f t="shared" si="143"/>
        <v>2.8053710557105798</v>
      </c>
      <c r="BV59" s="83">
        <f t="shared" si="144"/>
        <v>2.4102483718076817</v>
      </c>
      <c r="BW59" s="83">
        <f t="shared" si="145"/>
        <v>7.5659727195206044</v>
      </c>
      <c r="BX59" s="83">
        <f t="shared" si="146"/>
        <v>10.777031004708304</v>
      </c>
      <c r="BY59" s="83">
        <f t="shared" si="147"/>
        <v>1.9225863113931052</v>
      </c>
      <c r="BZ59" s="83">
        <f t="shared" si="148"/>
        <v>4.8681219082810863</v>
      </c>
      <c r="CA59" s="83">
        <f t="shared" si="149"/>
        <v>6.2127834340257282</v>
      </c>
      <c r="CB59" s="83">
        <f t="shared" si="150"/>
        <v>12.878244504247544</v>
      </c>
      <c r="CC59" s="83">
        <f t="shared" si="151"/>
        <v>6.2127834340257282</v>
      </c>
      <c r="CD59" s="83">
        <f t="shared" si="152"/>
        <v>6.9156391351209763</v>
      </c>
      <c r="CE59" s="83">
        <f t="shared" si="153"/>
        <v>14.783923380386224</v>
      </c>
      <c r="CF59" s="83">
        <f t="shared" si="154"/>
        <v>6.9156391351209763</v>
      </c>
      <c r="CG59" s="83">
        <f t="shared" si="155"/>
        <v>2.9976120124883536</v>
      </c>
    </row>
    <row r="60" spans="1:85" x14ac:dyDescent="0.25">
      <c r="A60" t="str">
        <f t="shared" ref="A60:E60" si="198">A26</f>
        <v>P .Trivadi</v>
      </c>
      <c r="B60">
        <f t="shared" si="198"/>
        <v>32</v>
      </c>
      <c r="C60">
        <f t="shared" ca="1" si="198"/>
        <v>22</v>
      </c>
      <c r="D60">
        <f t="shared" si="198"/>
        <v>0</v>
      </c>
      <c r="E60" s="265">
        <f t="shared" si="198"/>
        <v>36526</v>
      </c>
      <c r="F60" s="195">
        <f t="shared" si="77"/>
        <v>1.5</v>
      </c>
      <c r="G60" s="196">
        <f t="shared" ref="G60:H60" si="199">J26</f>
        <v>6.2</v>
      </c>
      <c r="H60" s="49">
        <f t="shared" si="199"/>
        <v>0</v>
      </c>
      <c r="I60" s="49">
        <f t="shared" si="79"/>
        <v>4.0199999999999996</v>
      </c>
      <c r="J60" s="49">
        <f t="shared" si="80"/>
        <v>6</v>
      </c>
      <c r="K60" s="49">
        <f t="shared" si="81"/>
        <v>5.5099999999999989</v>
      </c>
      <c r="L60" s="49">
        <f t="shared" si="82"/>
        <v>10.95</v>
      </c>
      <c r="M60" s="49">
        <f t="shared" si="83"/>
        <v>7.95</v>
      </c>
      <c r="N60" s="49">
        <f t="shared" si="84"/>
        <v>14</v>
      </c>
      <c r="O60" s="196">
        <f t="shared" si="85"/>
        <v>3.6149999999999998</v>
      </c>
      <c r="P60" s="196">
        <f t="shared" si="86"/>
        <v>18.946914178388191</v>
      </c>
      <c r="Q60" s="196">
        <f t="shared" si="87"/>
        <v>0.81750000000000012</v>
      </c>
      <c r="R60" s="196">
        <f t="shared" si="88"/>
        <v>0.58079999999999998</v>
      </c>
      <c r="S60" s="196">
        <f t="shared" ca="1" si="89"/>
        <v>16.056522252664337</v>
      </c>
      <c r="T60" s="83">
        <f t="shared" si="90"/>
        <v>3.3413639265759674</v>
      </c>
      <c r="U60" s="83">
        <f t="shared" si="91"/>
        <v>5.0089702281896606</v>
      </c>
      <c r="V60" s="83">
        <f t="shared" si="92"/>
        <v>3.3413639265759674</v>
      </c>
      <c r="W60" s="83">
        <f t="shared" si="93"/>
        <v>3.3934854823747984</v>
      </c>
      <c r="X60" s="83">
        <f t="shared" si="94"/>
        <v>6.5765222526643381</v>
      </c>
      <c r="Y60" s="83">
        <f t="shared" si="95"/>
        <v>1.6967427411873992</v>
      </c>
      <c r="Z60" s="83">
        <f t="shared" si="96"/>
        <v>2.0364522961341125</v>
      </c>
      <c r="AA60" s="83">
        <f t="shared" si="97"/>
        <v>2.4859254115071199</v>
      </c>
      <c r="AB60" s="83">
        <f t="shared" si="98"/>
        <v>4.754825588676316</v>
      </c>
      <c r="AC60" s="83">
        <f t="shared" si="99"/>
        <v>1.2429627057535599</v>
      </c>
      <c r="AD60" s="83">
        <f t="shared" si="100"/>
        <v>3.2942610672757704</v>
      </c>
      <c r="AE60" s="327">
        <f t="shared" si="101"/>
        <v>6.0504004724511917</v>
      </c>
      <c r="AF60" s="83">
        <f t="shared" si="102"/>
        <v>2.7226802126030361</v>
      </c>
      <c r="AG60" s="83">
        <f t="shared" si="103"/>
        <v>1.4289392161949446</v>
      </c>
      <c r="AH60" s="327">
        <f t="shared" si="104"/>
        <v>4.7431150845666306</v>
      </c>
      <c r="AI60" s="83">
        <f t="shared" si="105"/>
        <v>4.9586977785089106</v>
      </c>
      <c r="AJ60" s="83">
        <f t="shared" si="106"/>
        <v>4.6561777548863512</v>
      </c>
      <c r="AK60" s="83">
        <f t="shared" si="107"/>
        <v>2.7649392161949442</v>
      </c>
      <c r="AL60" s="83">
        <f t="shared" si="108"/>
        <v>1.7773984087673294</v>
      </c>
      <c r="AM60" s="83">
        <f t="shared" si="109"/>
        <v>1.7756610082193713</v>
      </c>
      <c r="AN60" s="83">
        <f t="shared" si="110"/>
        <v>3.9064542180826165</v>
      </c>
      <c r="AO60" s="83">
        <f t="shared" si="111"/>
        <v>0.88783050410968567</v>
      </c>
      <c r="AP60" s="83">
        <f t="shared" si="112"/>
        <v>8.0773570065151343</v>
      </c>
      <c r="AQ60" s="83">
        <f t="shared" si="113"/>
        <v>1.7558478928463639</v>
      </c>
      <c r="AR60" s="83">
        <f t="shared" si="114"/>
        <v>3.4384110200306508</v>
      </c>
      <c r="AS60" s="83">
        <f t="shared" si="115"/>
        <v>0.87792394642318194</v>
      </c>
      <c r="AT60" s="83">
        <f t="shared" si="116"/>
        <v>1.2429627057535599</v>
      </c>
      <c r="AU60" s="83">
        <f t="shared" si="117"/>
        <v>2.6306089010657354</v>
      </c>
      <c r="AV60" s="83">
        <f t="shared" si="118"/>
        <v>0.62148135287677997</v>
      </c>
      <c r="AW60" s="83">
        <f t="shared" si="119"/>
        <v>8.5565222526643385</v>
      </c>
      <c r="AX60" s="83">
        <f t="shared" si="120"/>
        <v>3.4171501299240776</v>
      </c>
      <c r="AY60" s="83">
        <f t="shared" si="121"/>
        <v>6.8120937612180503</v>
      </c>
      <c r="AZ60" s="83">
        <f t="shared" si="122"/>
        <v>1.7085750649620388</v>
      </c>
      <c r="BA60" s="83">
        <f t="shared" si="123"/>
        <v>1.9137679755253223</v>
      </c>
      <c r="BB60" s="83">
        <f t="shared" si="124"/>
        <v>2.2886297439271894</v>
      </c>
      <c r="BC60" s="83">
        <f t="shared" si="125"/>
        <v>7.5382961045972827</v>
      </c>
      <c r="BD60" s="83">
        <f t="shared" si="126"/>
        <v>8.8847382826185957</v>
      </c>
      <c r="BE60" s="83">
        <f t="shared" si="127"/>
        <v>3.2550718628921054</v>
      </c>
      <c r="BF60" s="83">
        <f t="shared" si="128"/>
        <v>3.1896132925422038</v>
      </c>
      <c r="BG60" s="83">
        <f t="shared" si="129"/>
        <v>1.7362018747033854</v>
      </c>
      <c r="BH60" s="83">
        <f t="shared" si="130"/>
        <v>3.260034978265113</v>
      </c>
      <c r="BI60" s="83">
        <f t="shared" si="131"/>
        <v>8.143580448828633</v>
      </c>
      <c r="BJ60" s="83">
        <f t="shared" si="132"/>
        <v>0.70233915713854556</v>
      </c>
      <c r="BK60" s="83">
        <f t="shared" si="133"/>
        <v>1.1837740054795809</v>
      </c>
      <c r="BL60" s="83">
        <f t="shared" si="134"/>
        <v>0.44720351318117502</v>
      </c>
      <c r="BM60" s="83">
        <f t="shared" si="135"/>
        <v>2.6097392870626233</v>
      </c>
      <c r="BN60" s="83">
        <f t="shared" si="136"/>
        <v>11.929387616926338</v>
      </c>
      <c r="BO60" s="83">
        <f t="shared" si="137"/>
        <v>1.8233805041096858</v>
      </c>
      <c r="BP60" s="83">
        <f t="shared" si="138"/>
        <v>1.8677323197566718</v>
      </c>
      <c r="BQ60" s="83">
        <f t="shared" si="139"/>
        <v>1.6046714296500986</v>
      </c>
      <c r="BR60" s="83">
        <f t="shared" si="140"/>
        <v>3.8932176249622743</v>
      </c>
      <c r="BS60" s="83">
        <f t="shared" si="141"/>
        <v>10.265066655952086</v>
      </c>
      <c r="BT60" s="83">
        <f t="shared" si="142"/>
        <v>1.6342891925723848</v>
      </c>
      <c r="BU60" s="83">
        <f t="shared" si="143"/>
        <v>1.8677323197566718</v>
      </c>
      <c r="BV60" s="83">
        <f t="shared" si="144"/>
        <v>1.6046714296500986</v>
      </c>
      <c r="BW60" s="83">
        <f t="shared" si="145"/>
        <v>5.3991655414311976</v>
      </c>
      <c r="BX60" s="83">
        <f t="shared" si="146"/>
        <v>8.269457416134582</v>
      </c>
      <c r="BY60" s="83">
        <f t="shared" si="147"/>
        <v>1.9989652933943218</v>
      </c>
      <c r="BZ60" s="83">
        <f t="shared" si="148"/>
        <v>3.4739480345817215</v>
      </c>
      <c r="CA60" s="83">
        <f t="shared" si="149"/>
        <v>5.87253809363812</v>
      </c>
      <c r="CB60" s="83">
        <f t="shared" si="150"/>
        <v>13.459344056500044</v>
      </c>
      <c r="CC60" s="83">
        <f t="shared" si="151"/>
        <v>5.87253809363812</v>
      </c>
      <c r="CD60" s="83">
        <f t="shared" si="152"/>
        <v>6.302323363409883</v>
      </c>
      <c r="CE60" s="83">
        <f t="shared" si="153"/>
        <v>15.490428963897479</v>
      </c>
      <c r="CF60" s="83">
        <f t="shared" si="154"/>
        <v>6.302323363409883</v>
      </c>
      <c r="CG60" s="83">
        <f t="shared" si="155"/>
        <v>2.1391305631660846</v>
      </c>
    </row>
  </sheetData>
  <mergeCells count="2">
    <mergeCell ref="A1:E1"/>
    <mergeCell ref="A35:E35"/>
  </mergeCells>
  <conditionalFormatting sqref="V3:W26">
    <cfRule type="cellIs" dxfId="33" priority="35" operator="greaterThan">
      <formula>15</formula>
    </cfRule>
  </conditionalFormatting>
  <conditionalFormatting sqref="R3:R26">
    <cfRule type="cellIs" dxfId="32" priority="34" operator="greaterThan">
      <formula>3.2</formula>
    </cfRule>
  </conditionalFormatting>
  <conditionalFormatting sqref="T3:U26">
    <cfRule type="cellIs" dxfId="31" priority="33" operator="greaterThan">
      <formula>0.6</formula>
    </cfRule>
  </conditionalFormatting>
  <conditionalFormatting sqref="AC3:AH26 BH3:BK26 BB3:BE26 AP3:AS26 X3:AA26 AJ3:AJ26 BM3:CK26 AU3:AZ26 AL3:AN26">
    <cfRule type="cellIs" dxfId="30" priority="32" operator="greaterThan">
      <formula>12.5</formula>
    </cfRule>
  </conditionalFormatting>
  <conditionalFormatting sqref="J3:J26">
    <cfRule type="cellIs" dxfId="29" priority="29" operator="greaterThan">
      <formula>7</formula>
    </cfRule>
  </conditionalFormatting>
  <conditionalFormatting sqref="AB3:AB26 AI3:AI26 AT3:AT26 BA3:BA26 BL3:BL26 BG3:BG26">
    <cfRule type="cellIs" dxfId="28" priority="17" operator="greaterThan">
      <formula>12</formula>
    </cfRule>
  </conditionalFormatting>
  <conditionalFormatting sqref="K3:Q26">
    <cfRule type="colorScale" priority="3543">
      <colorScale>
        <cfvo type="min"/>
        <cfvo type="max"/>
        <color rgb="FFFCFCFF"/>
        <color rgb="FFF8696B"/>
      </colorScale>
    </cfRule>
  </conditionalFormatting>
  <conditionalFormatting sqref="S3:S26">
    <cfRule type="colorScale" priority="3545">
      <colorScale>
        <cfvo type="min"/>
        <cfvo type="max"/>
        <color rgb="FFFFEF9C"/>
        <color rgb="FF63BE7B"/>
      </colorScale>
    </cfRule>
  </conditionalFormatting>
  <conditionalFormatting sqref="S37:S60">
    <cfRule type="cellIs" dxfId="27" priority="6" operator="greaterThan">
      <formula>15</formula>
    </cfRule>
  </conditionalFormatting>
  <conditionalFormatting sqref="O37:O60">
    <cfRule type="cellIs" dxfId="26" priority="5" operator="greaterThan">
      <formula>3.2</formula>
    </cfRule>
  </conditionalFormatting>
  <conditionalFormatting sqref="Q37:R60">
    <cfRule type="cellIs" dxfId="25" priority="4" operator="greaterThan">
      <formula>0.6</formula>
    </cfRule>
  </conditionalFormatting>
  <conditionalFormatting sqref="BI37:CG60 T37:W60 AF37:AF60 Y37:AD60 AH37:AJ60 BD37:BG60 AX37:BA60 AL37:AO60 AQ37:AV60">
    <cfRule type="cellIs" dxfId="24" priority="3" operator="greaterThan">
      <formula>12.5</formula>
    </cfRule>
  </conditionalFormatting>
  <conditionalFormatting sqref="G37:G60">
    <cfRule type="cellIs" dxfId="23" priority="2" operator="greaterThan">
      <formula>7</formula>
    </cfRule>
  </conditionalFormatting>
  <conditionalFormatting sqref="X37:X60 AP37:AP60 AW37:AW60 BH37:BH60 BC37:BC60 AE37:AE60">
    <cfRule type="cellIs" dxfId="22" priority="1" operator="greaterThan">
      <formula>12</formula>
    </cfRule>
  </conditionalFormatting>
  <conditionalFormatting sqref="P37:P60">
    <cfRule type="colorScale" priority="7">
      <colorScale>
        <cfvo type="min"/>
        <cfvo type="max"/>
        <color rgb="FFFFEF9C"/>
        <color rgb="FF63BE7B"/>
      </colorScale>
    </cfRule>
  </conditionalFormatting>
  <conditionalFormatting sqref="H37:N60">
    <cfRule type="colorScale" priority="8">
      <colorScale>
        <cfvo type="min"/>
        <cfvo type="max"/>
        <color rgb="FFFCFCFF"/>
        <color rgb="FFF8696B"/>
      </colorScale>
    </cfRule>
  </conditionalFormatting>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tint="0.79998168889431442"/>
  </sheetPr>
  <dimension ref="A1:AA34"/>
  <sheetViews>
    <sheetView workbookViewId="0">
      <selection activeCell="H13" sqref="H13"/>
    </sheetView>
  </sheetViews>
  <sheetFormatPr baseColWidth="10" defaultColWidth="11.42578125" defaultRowHeight="15" x14ac:dyDescent="0.25"/>
  <cols>
    <col min="1" max="1" width="15.140625" bestFit="1" customWidth="1"/>
    <col min="2" max="3" width="6.5703125" bestFit="1" customWidth="1"/>
    <col min="4" max="4" width="6.5703125" style="2" bestFit="1" customWidth="1"/>
    <col min="5" max="6" width="6.5703125" bestFit="1" customWidth="1"/>
    <col min="8" max="8" width="13.28515625" bestFit="1" customWidth="1"/>
    <col min="9" max="9" width="5.85546875" bestFit="1" customWidth="1"/>
    <col min="10" max="11" width="5.5703125" bestFit="1" customWidth="1"/>
    <col min="13" max="13" width="15.140625" bestFit="1" customWidth="1"/>
    <col min="14" max="14" width="4.5703125" bestFit="1" customWidth="1"/>
    <col min="15" max="15" width="3.5703125" bestFit="1" customWidth="1"/>
    <col min="16" max="16" width="4.5703125" bestFit="1" customWidth="1"/>
    <col min="17" max="18" width="5.5703125" bestFit="1" customWidth="1"/>
    <col min="19" max="20" width="5.140625" bestFit="1" customWidth="1"/>
    <col min="23" max="23" width="15.140625" bestFit="1" customWidth="1"/>
    <col min="24" max="25" width="5.5703125" bestFit="1" customWidth="1"/>
    <col min="26" max="26" width="6.5703125" bestFit="1" customWidth="1"/>
    <col min="27" max="27" width="4.5703125" bestFit="1" customWidth="1"/>
  </cols>
  <sheetData>
    <row r="1" spans="1:27" ht="18.75" x14ac:dyDescent="0.3">
      <c r="A1" s="140" t="s">
        <v>71</v>
      </c>
      <c r="B1" s="140" t="s">
        <v>2</v>
      </c>
      <c r="C1" s="140" t="s">
        <v>262</v>
      </c>
      <c r="D1" s="113" t="s">
        <v>263</v>
      </c>
      <c r="E1" s="113" t="s">
        <v>231</v>
      </c>
      <c r="F1" s="113" t="s">
        <v>232</v>
      </c>
      <c r="M1" s="238" t="str">
        <f>Plantilla!D3</f>
        <v>Jugador</v>
      </c>
      <c r="N1" s="238" t="s">
        <v>329</v>
      </c>
      <c r="O1" s="238" t="str">
        <f>Plantilla!AC3</f>
        <v>An</v>
      </c>
      <c r="P1" s="238" t="str">
        <f>Plantilla!AD3</f>
        <v>PA</v>
      </c>
      <c r="Q1" s="238" t="str">
        <f>Plantilla!AI3</f>
        <v>TL</v>
      </c>
      <c r="R1" s="238" t="str">
        <f>Plantilla!AJ3</f>
        <v>PEN</v>
      </c>
      <c r="S1" s="238" t="str">
        <f>Plantilla!AK3</f>
        <v>BPiA</v>
      </c>
      <c r="T1" s="238" t="str">
        <f>Plantilla!AL3</f>
        <v>BPiD</v>
      </c>
      <c r="W1" s="688" t="s">
        <v>444</v>
      </c>
      <c r="X1" s="688"/>
      <c r="Y1" s="688"/>
      <c r="Z1" s="688"/>
      <c r="AA1" s="688"/>
    </row>
    <row r="2" spans="1:27" x14ac:dyDescent="0.25">
      <c r="A2" t="str">
        <f>Plantilla!D4</f>
        <v>D. Gehmacher</v>
      </c>
      <c r="B2" s="83">
        <f ca="1">Plantilla!Y4++Plantilla!J4+Plantilla!P4</f>
        <v>14.806929271012887</v>
      </c>
      <c r="C2" s="83">
        <f ca="1">Plantilla!AB4+Plantilla!J4+Plantilla!P4</f>
        <v>3.8069292710128879</v>
      </c>
      <c r="D2" s="126">
        <f ca="1">(C2*2+B2)/8</f>
        <v>2.8025984766298331</v>
      </c>
      <c r="E2" s="83">
        <f ca="1">D2*Plantilla!R4</f>
        <v>2.3686280268193625</v>
      </c>
      <c r="F2" s="83">
        <f ca="1">D2*Plantilla!S4</f>
        <v>2.5925388478983598</v>
      </c>
      <c r="M2" t="str">
        <f>Plantilla!D4</f>
        <v>D. Gehmacher</v>
      </c>
      <c r="N2" s="48">
        <f>Plantilla!J4</f>
        <v>1.8569292710128877</v>
      </c>
      <c r="O2" s="83">
        <f>Plantilla!AC4</f>
        <v>0</v>
      </c>
      <c r="P2" s="83">
        <f>Plantilla!AD4</f>
        <v>18.2</v>
      </c>
      <c r="Q2" s="48">
        <f ca="1">Plantilla!AI4</f>
        <v>7.3729682566652341</v>
      </c>
      <c r="R2" s="48">
        <f ca="1">Plantilla!AJ4</f>
        <v>13.18181113409628</v>
      </c>
      <c r="S2" s="48">
        <f ca="1">Plantilla!AK4</f>
        <v>0.77455434168103099</v>
      </c>
      <c r="T2" s="48">
        <f ca="1">Plantilla!AL4</f>
        <v>1.2239850489709021</v>
      </c>
      <c r="W2" t="str">
        <f>M4</f>
        <v>E. Toney</v>
      </c>
      <c r="X2" s="141">
        <f t="shared" ref="X2:Z9" si="0">N2</f>
        <v>1.8569292710128877</v>
      </c>
      <c r="Y2" s="141">
        <f t="shared" si="0"/>
        <v>0</v>
      </c>
      <c r="Z2" s="141">
        <f t="shared" si="0"/>
        <v>18.2</v>
      </c>
      <c r="AA2" s="141"/>
    </row>
    <row r="3" spans="1:27" x14ac:dyDescent="0.25">
      <c r="A3" t="str">
        <f>Plantilla!D5</f>
        <v>T. Hammond</v>
      </c>
      <c r="B3" s="83">
        <f>Plantilla!Y5++Plantilla!J5+Plantilla!P5</f>
        <v>9.7475038047995977</v>
      </c>
      <c r="C3" s="83">
        <f>Plantilla!AB5+Plantilla!J5+Plantilla!P5</f>
        <v>4.7475038047995977</v>
      </c>
      <c r="D3" s="126">
        <f t="shared" ref="D3:D25" si="1">(C3*2+B3)/8</f>
        <v>2.4053139267998489</v>
      </c>
      <c r="E3" s="83">
        <f>D3*Plantilla!R5</f>
        <v>1.8182464215293195</v>
      </c>
      <c r="F3" s="83">
        <f>D3*Plantilla!S5</f>
        <v>2.0308274204451027</v>
      </c>
      <c r="M3" t="str">
        <f>Plantilla!D5</f>
        <v>T. Hammond</v>
      </c>
      <c r="N3" s="48">
        <f>Plantilla!J5</f>
        <v>1.2975038047995981</v>
      </c>
      <c r="O3" s="83">
        <f>Plantilla!AC5</f>
        <v>0</v>
      </c>
      <c r="P3" s="83">
        <f>Plantilla!AD5</f>
        <v>14.95</v>
      </c>
      <c r="Q3" s="48">
        <f>Plantilla!AI5</f>
        <v>5.1440839357414436</v>
      </c>
      <c r="R3" s="48">
        <f>Plantilla!AJ5</f>
        <v>10.025510522727901</v>
      </c>
      <c r="S3" s="48">
        <f>Plantilla!AK5</f>
        <v>0.67230030438396782</v>
      </c>
      <c r="T3" s="48">
        <f>Plantilla!AL5</f>
        <v>0.92232526633597178</v>
      </c>
      <c r="W3" t="str">
        <f>M5</f>
        <v>B. Bartolache</v>
      </c>
      <c r="X3" s="141">
        <f t="shared" si="0"/>
        <v>1.2975038047995981</v>
      </c>
      <c r="Y3" s="141">
        <f t="shared" si="0"/>
        <v>0</v>
      </c>
      <c r="Z3" s="141">
        <f t="shared" si="0"/>
        <v>14.95</v>
      </c>
      <c r="AA3" s="141"/>
    </row>
    <row r="4" spans="1:27" x14ac:dyDescent="0.25">
      <c r="A4" t="str">
        <f>Plantilla!D6</f>
        <v>E. Toney</v>
      </c>
      <c r="B4" s="83">
        <f>Plantilla!Y6++Plantilla!J6+Plantilla!P6</f>
        <v>15.155004801270438</v>
      </c>
      <c r="C4" s="83">
        <f>Plantilla!AB6+Plantilla!J6+Plantilla!P6</f>
        <v>12.155004801270438</v>
      </c>
      <c r="D4" s="126">
        <f t="shared" si="1"/>
        <v>4.9331268004764146</v>
      </c>
      <c r="E4" s="83">
        <f>D4*Plantilla!R6</f>
        <v>4.5671879466077216</v>
      </c>
      <c r="F4" s="83">
        <f>D4*Plantilla!S6</f>
        <v>4.9296018791256628</v>
      </c>
      <c r="M4" t="str">
        <f>Plantilla!D6</f>
        <v>E. Toney</v>
      </c>
      <c r="N4" s="48">
        <f>Plantilla!J6</f>
        <v>1.7050048012704384</v>
      </c>
      <c r="O4" s="83">
        <f>Plantilla!AC6</f>
        <v>0.95</v>
      </c>
      <c r="P4" s="83">
        <f>Plantilla!AD6</f>
        <v>17.177777777777774</v>
      </c>
      <c r="Q4" s="48">
        <f>Plantilla!AI6</f>
        <v>9.7283679853140228</v>
      </c>
      <c r="R4" s="48">
        <f>Plantilla!AJ6</f>
        <v>14.363588948583933</v>
      </c>
      <c r="S4" s="48">
        <f>Plantilla!AK6</f>
        <v>0.8192337174349682</v>
      </c>
      <c r="T4" s="48">
        <f>Plantilla!AL6</f>
        <v>1.2176836694222639</v>
      </c>
      <c r="W4" t="str">
        <f>M6</f>
        <v>F. Lasprilla</v>
      </c>
      <c r="X4" s="141">
        <f t="shared" si="0"/>
        <v>1.7050048012704384</v>
      </c>
      <c r="Y4" s="141">
        <f t="shared" si="0"/>
        <v>0.95</v>
      </c>
      <c r="Z4" s="141">
        <f t="shared" si="0"/>
        <v>17.177777777777774</v>
      </c>
      <c r="AA4" s="141"/>
    </row>
    <row r="5" spans="1:27" x14ac:dyDescent="0.25">
      <c r="A5" t="str">
        <f>Plantilla!D7</f>
        <v>B. Bartolache</v>
      </c>
      <c r="B5" s="83">
        <f>Plantilla!Y7++Plantilla!J7+Plantilla!P7</f>
        <v>14.92627995953049</v>
      </c>
      <c r="C5" s="83">
        <f>Plantilla!AB7+Plantilla!J7+Plantilla!P7</f>
        <v>10.926279959530492</v>
      </c>
      <c r="D5" s="126">
        <f t="shared" si="1"/>
        <v>4.5973549848239337</v>
      </c>
      <c r="E5" s="83">
        <f>D5*Plantilla!R7</f>
        <v>4.5973549848239337</v>
      </c>
      <c r="F5" s="83">
        <f>D5*Plantilla!S7</f>
        <v>4.5973549848239337</v>
      </c>
      <c r="M5" t="str">
        <f>Plantilla!D7</f>
        <v>B. Bartolache</v>
      </c>
      <c r="N5" s="48">
        <f>Plantilla!J7</f>
        <v>1.4762799595304912</v>
      </c>
      <c r="O5" s="83">
        <f>Plantilla!AC7</f>
        <v>1.95</v>
      </c>
      <c r="P5" s="83">
        <f>Plantilla!AD7</f>
        <v>16</v>
      </c>
      <c r="Q5" s="48">
        <f>Plantilla!AI7</f>
        <v>11.014578710562388</v>
      </c>
      <c r="R5" s="48">
        <f>Plantilla!AJ7</f>
        <v>14.761279959530491</v>
      </c>
      <c r="S5" s="48">
        <f>Plantilla!AK7</f>
        <v>0.81560239676243929</v>
      </c>
      <c r="T5" s="48">
        <f>Plantilla!AL7</f>
        <v>1.1663395971671342</v>
      </c>
      <c r="W5" t="str">
        <f>M13</f>
        <v>G. Piscaer</v>
      </c>
      <c r="X5" s="141">
        <f t="shared" si="0"/>
        <v>1.4762799595304912</v>
      </c>
      <c r="Y5" s="141">
        <f t="shared" si="0"/>
        <v>1.95</v>
      </c>
      <c r="Z5" s="141">
        <f t="shared" si="0"/>
        <v>16</v>
      </c>
      <c r="AA5" s="141"/>
    </row>
    <row r="6" spans="1:27" x14ac:dyDescent="0.25">
      <c r="A6" t="str">
        <f>Plantilla!D8</f>
        <v>F. Lasprilla</v>
      </c>
      <c r="B6" s="83">
        <f>Plantilla!Y8++Plantilla!J8+Plantilla!P8</f>
        <v>12.255763813493941</v>
      </c>
      <c r="C6" s="83">
        <f>Plantilla!AB8+Plantilla!J8+Plantilla!P8</f>
        <v>11.514430480160605</v>
      </c>
      <c r="D6" s="126">
        <f t="shared" si="1"/>
        <v>4.4105780967268942</v>
      </c>
      <c r="E6" s="83">
        <f>D6*Plantilla!R8</f>
        <v>3.7276188442611371</v>
      </c>
      <c r="F6" s="83">
        <f>D6*Plantilla!S8</f>
        <v>4.0799975996577134</v>
      </c>
      <c r="M6" t="str">
        <f>Plantilla!D8</f>
        <v>F. Lasprilla</v>
      </c>
      <c r="N6" s="48">
        <f>Plantilla!J8</f>
        <v>1.1510971468272746</v>
      </c>
      <c r="O6" s="83">
        <f>Plantilla!AC8</f>
        <v>2.95</v>
      </c>
      <c r="P6" s="83">
        <f>Plantilla!AD8</f>
        <v>13.33611111111111</v>
      </c>
      <c r="Q6" s="48">
        <f>Plantilla!AI8</f>
        <v>8.8663322590478515</v>
      </c>
      <c r="R6" s="48">
        <f>Plantilla!AJ8</f>
        <v>10.878297281735897</v>
      </c>
      <c r="S6" s="48">
        <f>Plantilla!AK8</f>
        <v>0.7596711050795153</v>
      </c>
      <c r="T6" s="48">
        <f>Plantilla!AL8</f>
        <v>0.96984680027790904</v>
      </c>
      <c r="W6" t="str">
        <f>M17</f>
        <v>M. Grupinski</v>
      </c>
      <c r="X6" s="141">
        <f t="shared" si="0"/>
        <v>1.1510971468272746</v>
      </c>
      <c r="Y6" s="141">
        <f t="shared" si="0"/>
        <v>2.95</v>
      </c>
      <c r="Z6" s="141">
        <f t="shared" si="0"/>
        <v>13.33611111111111</v>
      </c>
      <c r="AA6" s="141"/>
    </row>
    <row r="7" spans="1:27" x14ac:dyDescent="0.25">
      <c r="A7" t="str">
        <f>Plantilla!D9</f>
        <v>E. Romweber</v>
      </c>
      <c r="B7" s="83">
        <f>Plantilla!Y9++Plantilla!J9+Plantilla!P9</f>
        <v>15.126904766492245</v>
      </c>
      <c r="C7" s="83">
        <f>Plantilla!AB9+Plantilla!J9+Plantilla!P9</f>
        <v>13.126904766492245</v>
      </c>
      <c r="D7" s="126">
        <f t="shared" si="1"/>
        <v>5.172589287434592</v>
      </c>
      <c r="E7" s="83">
        <f>D7*Plantilla!R9</f>
        <v>4.7888871301751248</v>
      </c>
      <c r="F7" s="83">
        <f>D7*Plantilla!S9</f>
        <v>5.1688932603192566</v>
      </c>
      <c r="M7" t="str">
        <f>Plantilla!D9</f>
        <v>E. Romweber</v>
      </c>
      <c r="N7" s="48">
        <f>Plantilla!J9</f>
        <v>1.6769047664922461</v>
      </c>
      <c r="O7" s="83">
        <f>Plantilla!AC9</f>
        <v>5.95</v>
      </c>
      <c r="P7" s="83">
        <f>Plantilla!AD9</f>
        <v>17.529999999999998</v>
      </c>
      <c r="Q7" s="48">
        <f>Plantilla!AI9</f>
        <v>17.534532315357808</v>
      </c>
      <c r="R7" s="48">
        <f>Plantilla!AJ9</f>
        <v>15.954569610284725</v>
      </c>
      <c r="S7" s="48">
        <f>Plantilla!AK9</f>
        <v>1.0775523813193797</v>
      </c>
      <c r="T7" s="48">
        <f>Plantilla!AL9</f>
        <v>1.226283333654457</v>
      </c>
      <c r="W7" t="str">
        <f>M12</f>
        <v>I. Stone</v>
      </c>
      <c r="X7" s="141">
        <f t="shared" si="0"/>
        <v>1.6769047664922461</v>
      </c>
      <c r="Y7" s="141">
        <f t="shared" si="0"/>
        <v>5.95</v>
      </c>
      <c r="Z7" s="141">
        <f t="shared" si="0"/>
        <v>17.529999999999998</v>
      </c>
      <c r="AA7" s="141"/>
    </row>
    <row r="8" spans="1:27" x14ac:dyDescent="0.25">
      <c r="A8" t="str">
        <f>Plantilla!D10</f>
        <v>S. Buschelman</v>
      </c>
      <c r="B8" s="83">
        <f>Plantilla!Y10++Plantilla!J10+Plantilla!P10</f>
        <v>12.401876115939228</v>
      </c>
      <c r="C8" s="83">
        <f>Plantilla!AB10+Plantilla!J10+Plantilla!P10</f>
        <v>13.048209449272562</v>
      </c>
      <c r="D8" s="126">
        <f t="shared" si="1"/>
        <v>4.8122868768105445</v>
      </c>
      <c r="E8" s="83">
        <f>D8*Plantilla!R10</f>
        <v>4.455311916422878</v>
      </c>
      <c r="F8" s="83">
        <f>D8*Plantilla!S10</f>
        <v>4.8088483005395322</v>
      </c>
      <c r="M8" t="str">
        <f>Plantilla!D10</f>
        <v>S. Buschelman</v>
      </c>
      <c r="N8" s="48">
        <f>Plantilla!J10</f>
        <v>1.5982094492725636</v>
      </c>
      <c r="O8" s="83">
        <f>Plantilla!AC10</f>
        <v>3.95</v>
      </c>
      <c r="P8" s="83">
        <f>Plantilla!AD10</f>
        <v>16</v>
      </c>
      <c r="Q8" s="48">
        <f>Plantilla!AI10</f>
        <v>13.520716438922031</v>
      </c>
      <c r="R8" s="48">
        <f>Plantilla!AJ10</f>
        <v>14.334666517124836</v>
      </c>
      <c r="S8" s="48">
        <f>Plantilla!AK10</f>
        <v>0.92535675594180522</v>
      </c>
      <c r="T8" s="48">
        <f>Plantilla!AL10</f>
        <v>1.0690213281157459</v>
      </c>
      <c r="W8" t="str">
        <f>M13</f>
        <v>G. Piscaer</v>
      </c>
      <c r="X8" s="141">
        <f t="shared" si="0"/>
        <v>1.5982094492725636</v>
      </c>
      <c r="Y8" s="141">
        <f t="shared" si="0"/>
        <v>3.95</v>
      </c>
      <c r="Z8" s="141">
        <f t="shared" si="0"/>
        <v>16</v>
      </c>
      <c r="AA8" s="141"/>
    </row>
    <row r="9" spans="1:27" x14ac:dyDescent="0.25">
      <c r="A9" t="str">
        <f>Plantilla!D11</f>
        <v>E. Gross</v>
      </c>
      <c r="B9" s="83">
        <f>Plantilla!Y11++Plantilla!J11+Plantilla!P11</f>
        <v>13.582292150207168</v>
      </c>
      <c r="C9" s="83">
        <f>Plantilla!AB11+Plantilla!J11+Plantilla!P11</f>
        <v>11.982292150207172</v>
      </c>
      <c r="D9" s="126">
        <f t="shared" si="1"/>
        <v>4.6933595563276889</v>
      </c>
      <c r="E9" s="83">
        <f>D9*Plantilla!R11</f>
        <v>4.6933595563276889</v>
      </c>
      <c r="F9" s="83">
        <f>D9*Plantilla!S11</f>
        <v>4.6933595563276889</v>
      </c>
      <c r="H9" s="48"/>
      <c r="M9" t="str">
        <f>Plantilla!D11</f>
        <v>E. Gross</v>
      </c>
      <c r="N9" s="48">
        <f>Plantilla!J11</f>
        <v>1.5322921502071731</v>
      </c>
      <c r="O9" s="83">
        <f>Plantilla!AC11</f>
        <v>0.95</v>
      </c>
      <c r="P9" s="83">
        <f>Plantilla!AD11</f>
        <v>17.3</v>
      </c>
      <c r="Q9" s="48">
        <f>Plantilla!AI11</f>
        <v>10.193365651957853</v>
      </c>
      <c r="R9" s="48">
        <f>Plantilla!AJ11</f>
        <v>15.427292150207172</v>
      </c>
      <c r="S9" s="48">
        <f>Plantilla!AK11</f>
        <v>0.80908337201657388</v>
      </c>
      <c r="T9" s="48">
        <f>Plantilla!AL11</f>
        <v>1.1532604505145021</v>
      </c>
      <c r="W9" t="str">
        <f>M14</f>
        <v>M. Bondarewski</v>
      </c>
      <c r="X9" s="141">
        <f t="shared" si="0"/>
        <v>1.5322921502071731</v>
      </c>
      <c r="Y9" s="141">
        <f t="shared" si="0"/>
        <v>0.95</v>
      </c>
      <c r="Z9" s="141">
        <f t="shared" si="0"/>
        <v>17.3</v>
      </c>
      <c r="AA9" s="141"/>
    </row>
    <row r="10" spans="1:27" x14ac:dyDescent="0.25">
      <c r="A10" t="str">
        <f>Plantilla!D12</f>
        <v>W. Gelifini</v>
      </c>
      <c r="B10" s="83">
        <f>Plantilla!Y12++Plantilla!J12+Plantilla!P12</f>
        <v>8.138705808214544</v>
      </c>
      <c r="C10" s="83">
        <f>Plantilla!AB12+Plantilla!J12+Plantilla!P12</f>
        <v>11.437150252658991</v>
      </c>
      <c r="D10" s="126">
        <f t="shared" si="1"/>
        <v>3.8766257891915661</v>
      </c>
      <c r="E10" s="83">
        <f>D10*Plantilla!R12</f>
        <v>3.2763467797255452</v>
      </c>
      <c r="F10" s="83">
        <f>D10*Plantilla!S12</f>
        <v>3.5860659459607693</v>
      </c>
      <c r="M10" t="str">
        <f>Plantilla!D12</f>
        <v>W. Gelifini</v>
      </c>
      <c r="N10" s="48">
        <f>Plantilla!J12</f>
        <v>0.98715025265899181</v>
      </c>
      <c r="O10" s="83">
        <f>Plantilla!AC12</f>
        <v>2.95</v>
      </c>
      <c r="P10" s="83">
        <f>Plantilla!AD12</f>
        <v>12.847222222222223</v>
      </c>
      <c r="Q10" s="48">
        <f>Plantilla!AI12</f>
        <v>8.3328611530597563</v>
      </c>
      <c r="R10" s="48">
        <f>Plantilla!AJ12</f>
        <v>10.450506299406291</v>
      </c>
      <c r="S10" s="48">
        <f>Plantilla!AK12</f>
        <v>0.73188868687938613</v>
      </c>
      <c r="T10" s="48">
        <f>Plantilla!AL12</f>
        <v>0.78557940657501812</v>
      </c>
      <c r="W10" t="str">
        <f>M10</f>
        <v>W. Gelifini</v>
      </c>
      <c r="X10" s="141">
        <f t="shared" ref="X10:Z11" si="2">N9</f>
        <v>1.5322921502071731</v>
      </c>
      <c r="Y10" s="141">
        <f t="shared" si="2"/>
        <v>0.95</v>
      </c>
      <c r="Z10" s="141">
        <f t="shared" si="2"/>
        <v>17.3</v>
      </c>
      <c r="AA10" s="141"/>
    </row>
    <row r="11" spans="1:27" x14ac:dyDescent="0.25">
      <c r="A11" t="str">
        <f>Plantilla!D13</f>
        <v>I. Vanags</v>
      </c>
      <c r="B11" s="83">
        <f ca="1">Plantilla!Y13++Plantilla!J13+Plantilla!P13</f>
        <v>4.412415063359644</v>
      </c>
      <c r="C11" s="83">
        <f ca="1">Plantilla!AB13+Plantilla!J13+Plantilla!P13</f>
        <v>4.412415063359644</v>
      </c>
      <c r="D11" s="126">
        <f t="shared" ca="1" si="1"/>
        <v>1.6546556487598665</v>
      </c>
      <c r="E11" s="83">
        <f ca="1">D11*Plantilla!R13</f>
        <v>1.398439261659975</v>
      </c>
      <c r="F11" s="83">
        <f ca="1">D11*Plantilla!S13</f>
        <v>1.5306363309177693</v>
      </c>
      <c r="M11" t="str">
        <f>Plantilla!D13</f>
        <v>I. Vanags</v>
      </c>
      <c r="N11" s="48">
        <f>Plantilla!J13</f>
        <v>0.19483738090431735</v>
      </c>
      <c r="O11" s="83">
        <f>Plantilla!AC13</f>
        <v>7</v>
      </c>
      <c r="P11" s="83">
        <f>Plantilla!AD13</f>
        <v>6</v>
      </c>
      <c r="Q11" s="48">
        <f ca="1">Plantilla!AI13</f>
        <v>6.9568342481954408</v>
      </c>
      <c r="R11" s="48">
        <f ca="1">Plantilla!AJ13</f>
        <v>5.6730261503021877</v>
      </c>
      <c r="S11" s="48">
        <f ca="1">Plantilla!AK13</f>
        <v>0.5629932050687716</v>
      </c>
      <c r="T11" s="48">
        <f ca="1">Plantilla!AL13</f>
        <v>0.36886905443517504</v>
      </c>
      <c r="W11" t="str">
        <f>M11</f>
        <v>I. Vanags</v>
      </c>
      <c r="X11" s="141">
        <f t="shared" si="2"/>
        <v>0.98715025265899181</v>
      </c>
      <c r="Y11" s="141">
        <f t="shared" si="2"/>
        <v>2.95</v>
      </c>
      <c r="Z11" s="141">
        <f t="shared" si="2"/>
        <v>12.847222222222223</v>
      </c>
      <c r="AA11" s="141"/>
    </row>
    <row r="12" spans="1:27" x14ac:dyDescent="0.25">
      <c r="A12" t="str">
        <f>Plantilla!D14</f>
        <v>I. Stone</v>
      </c>
      <c r="B12" s="83">
        <f ca="1">Plantilla!Y14++Plantilla!J14+Plantilla!P14</f>
        <v>3.64126832143265</v>
      </c>
      <c r="C12" s="83">
        <f ca="1">Plantilla!AB14+Plantilla!J14+Plantilla!P14</f>
        <v>6.6412683214326504</v>
      </c>
      <c r="D12" s="126">
        <f t="shared" ca="1" si="1"/>
        <v>2.1154756205372438</v>
      </c>
      <c r="E12" s="83">
        <f ca="1">D12*Plantilla!R14</f>
        <v>1.5991492561604546</v>
      </c>
      <c r="F12" s="83">
        <f ca="1">D12*Plantilla!S14</f>
        <v>1.7861144234033477</v>
      </c>
      <c r="M12" t="str">
        <f>Plantilla!D14</f>
        <v>I. Stone</v>
      </c>
      <c r="N12" s="48">
        <f>Plantilla!J14</f>
        <v>0.45656357442960838</v>
      </c>
      <c r="O12" s="83">
        <f>Plantilla!AC14</f>
        <v>9</v>
      </c>
      <c r="P12" s="83">
        <f>Plantilla!AD14</f>
        <v>2</v>
      </c>
      <c r="Q12" s="48">
        <f ca="1">Plantilla!AI14</f>
        <v>7.4513450671974457</v>
      </c>
      <c r="R12" s="48">
        <f ca="1">Plantilla!AJ14</f>
        <v>3.5840619650112688</v>
      </c>
      <c r="S12" s="48">
        <f ca="1">Plantilla!AK14</f>
        <v>0.56130146571461192</v>
      </c>
      <c r="T12" s="48">
        <f ca="1">Plantilla!AL14</f>
        <v>0.22488878250028552</v>
      </c>
      <c r="Y12" s="239">
        <f>AVERAGE(Y2:Y11)</f>
        <v>2.0599999999999996</v>
      </c>
      <c r="Z12" s="239">
        <f>AVERAGE(Z2:Z11)</f>
        <v>16.06411111111111</v>
      </c>
      <c r="AA12" s="240">
        <f>1.66*(Y12+1.5)+0.55*(Z12+1.5)-7.6</f>
        <v>7.9698611111111113</v>
      </c>
    </row>
    <row r="13" spans="1:27" x14ac:dyDescent="0.25">
      <c r="A13" t="str">
        <f>Plantilla!D15</f>
        <v>G. Piscaer</v>
      </c>
      <c r="B13" s="83">
        <f ca="1">Plantilla!Y15++Plantilla!J15+Plantilla!P15</f>
        <v>4.7953769241525572</v>
      </c>
      <c r="C13" s="83">
        <f ca="1">Plantilla!AB15+Plantilla!J15+Plantilla!P15</f>
        <v>2.7953769241525572</v>
      </c>
      <c r="D13" s="126">
        <f t="shared" ca="1" si="1"/>
        <v>1.2982663465572091</v>
      </c>
      <c r="E13" s="83">
        <f ca="1">D13*Plantilla!R15</f>
        <v>1.0972353265636721</v>
      </c>
      <c r="F13" s="83">
        <f ca="1">D13*Plantilla!S15</f>
        <v>1.200959026573108</v>
      </c>
      <c r="M13" t="str">
        <f>Plantilla!D15</f>
        <v>G. Piscaer</v>
      </c>
      <c r="N13" s="48">
        <f>Plantilla!J15</f>
        <v>0.59621070845629232</v>
      </c>
      <c r="O13" s="83">
        <f>Plantilla!AC15</f>
        <v>8</v>
      </c>
      <c r="P13" s="83">
        <f>Plantilla!AD15</f>
        <v>0</v>
      </c>
      <c r="Q13" s="48">
        <f ca="1">Plantilla!AI15</f>
        <v>6.2860739502064886</v>
      </c>
      <c r="R13" s="48">
        <f ca="1">Plantilla!AJ15</f>
        <v>2.7005864029088542</v>
      </c>
      <c r="S13" s="48">
        <f ca="1">Plantilla!AK15</f>
        <v>0.46363015393220453</v>
      </c>
      <c r="T13" s="48">
        <f ca="1">Plantilla!AL15</f>
        <v>0.21567638469067901</v>
      </c>
    </row>
    <row r="14" spans="1:27" x14ac:dyDescent="0.25">
      <c r="A14" t="str">
        <f>Plantilla!D16</f>
        <v>M. Bondarewski</v>
      </c>
      <c r="B14" s="83">
        <f ca="1">Plantilla!Y16++Plantilla!J16+Plantilla!P16</f>
        <v>2.7663570824125108</v>
      </c>
      <c r="C14" s="83">
        <f ca="1">Plantilla!AB16+Plantilla!J16+Plantilla!P16</f>
        <v>4.7663570824125108</v>
      </c>
      <c r="D14" s="126">
        <f t="shared" ca="1" si="1"/>
        <v>1.5373839059046914</v>
      </c>
      <c r="E14" s="83">
        <f ca="1">D14*Plantilla!R16</f>
        <v>1.2993265492264954</v>
      </c>
      <c r="F14" s="83">
        <f ca="1">D14*Plantilla!S16</f>
        <v>1.4221543090912283</v>
      </c>
      <c r="M14" t="str">
        <f>Plantilla!D16</f>
        <v>M. Bondarewski</v>
      </c>
      <c r="N14" s="48">
        <f>Plantilla!J16</f>
        <v>0.55329779729442397</v>
      </c>
      <c r="O14" s="83">
        <f>Plantilla!AC16</f>
        <v>8</v>
      </c>
      <c r="P14" s="83">
        <f>Plantilla!AD16</f>
        <v>6</v>
      </c>
      <c r="Q14" s="48">
        <f ca="1">Plantilla!AI16</f>
        <v>9.0208799944034848</v>
      </c>
      <c r="R14" s="48">
        <f ca="1">Plantilla!AJ16</f>
        <v>6.2257080300504741</v>
      </c>
      <c r="S14" s="48">
        <f ca="1">Plantilla!AK16</f>
        <v>0.64130856659300084</v>
      </c>
      <c r="T14" s="48">
        <f ca="1">Plantilla!AL16</f>
        <v>0.31364499576887572</v>
      </c>
    </row>
    <row r="15" spans="1:27" x14ac:dyDescent="0.25">
      <c r="A15" t="str">
        <f>Plantilla!D17</f>
        <v>J. Vartiainen</v>
      </c>
      <c r="B15" s="83">
        <f ca="1">Plantilla!Y17++Plantilla!J17+Plantilla!P17</f>
        <v>7.36041079812808</v>
      </c>
      <c r="C15" s="83">
        <f ca="1">Plantilla!AB17+Plantilla!J17+Plantilla!P17</f>
        <v>1.3604107981280806</v>
      </c>
      <c r="D15" s="126">
        <f t="shared" ca="1" si="1"/>
        <v>1.2601540492980301</v>
      </c>
      <c r="E15" s="83">
        <f ca="1">D15*Plantilla!R17</f>
        <v>1.0650245563775989</v>
      </c>
      <c r="F15" s="83">
        <f ca="1">D15*Plantilla!S17</f>
        <v>1.1657033122597649</v>
      </c>
      <c r="M15" t="str">
        <f>Plantilla!D17</f>
        <v>J. Vartiainen</v>
      </c>
      <c r="N15" s="48">
        <f>Plantilla!J17</f>
        <v>0.15192446974244905</v>
      </c>
      <c r="O15" s="83">
        <f>Plantilla!AC17</f>
        <v>6</v>
      </c>
      <c r="P15" s="83">
        <f>Plantilla!AD17</f>
        <v>1</v>
      </c>
      <c r="Q15" s="48">
        <f ca="1">Plantilla!AI17</f>
        <v>3.1325708913285673</v>
      </c>
      <c r="R15" s="48">
        <f ca="1">Plantilla!AJ17</f>
        <v>2.417488356309339</v>
      </c>
      <c r="S15" s="48">
        <f ca="1">Plantilla!AK17</f>
        <v>0.35883286385024638</v>
      </c>
      <c r="T15" s="48">
        <f ca="1">Plantilla!AL17</f>
        <v>0.33522875586896561</v>
      </c>
    </row>
    <row r="16" spans="1:27" x14ac:dyDescent="0.25">
      <c r="A16" t="str">
        <f>Plantilla!D18</f>
        <v>R. Forsyth</v>
      </c>
      <c r="B16" s="83">
        <f ca="1">Plantilla!Y18++Plantilla!J18+Plantilla!P18</f>
        <v>7.8137883909116184</v>
      </c>
      <c r="C16" s="83">
        <f ca="1">Plantilla!AB18+Plantilla!J18+Plantilla!P18</f>
        <v>4.8137883909116184</v>
      </c>
      <c r="D16" s="126">
        <f t="shared" ca="1" si="1"/>
        <v>2.1801706465918569</v>
      </c>
      <c r="E16" s="83">
        <f ca="1">D16*Plantilla!R18</f>
        <v>1.8425804980013289</v>
      </c>
      <c r="F16" s="83">
        <f ca="1">D16*Plantilla!S18</f>
        <v>2.0167630659436822</v>
      </c>
      <c r="M16" t="str">
        <f>Plantilla!D18</f>
        <v>R. Forsyth</v>
      </c>
      <c r="N16" s="48">
        <f>Plantilla!J18</f>
        <v>0.59621070845629232</v>
      </c>
      <c r="O16" s="83">
        <f>Plantilla!AC18</f>
        <v>6</v>
      </c>
      <c r="P16" s="83">
        <f>Plantilla!AD18</f>
        <v>2</v>
      </c>
      <c r="Q16" s="48">
        <f ca="1">Plantilla!AI18</f>
        <v>4.444220274831725</v>
      </c>
      <c r="R16" s="48">
        <f ca="1">Plantilla!AJ18</f>
        <v>3.3922703361588806</v>
      </c>
      <c r="S16" s="48">
        <f ca="1">Plantilla!AK18</f>
        <v>0.42510307127292951</v>
      </c>
      <c r="T16" s="48">
        <f ca="1">Plantilla!AL18</f>
        <v>0.39696518736381331</v>
      </c>
    </row>
    <row r="17" spans="1:20" x14ac:dyDescent="0.25">
      <c r="A17" t="str">
        <f>Plantilla!D19</f>
        <v>M. Grupinski</v>
      </c>
      <c r="B17" s="83">
        <f ca="1">Plantilla!Y19++Plantilla!J19+Plantilla!P19</f>
        <v>3.6372448799548045</v>
      </c>
      <c r="C17" s="83">
        <f ca="1">Plantilla!AB19+Plantilla!J19+Plantilla!P19</f>
        <v>6.6372448799548041</v>
      </c>
      <c r="D17" s="126">
        <f t="shared" ca="1" si="1"/>
        <v>2.1139668299830516</v>
      </c>
      <c r="E17" s="83">
        <f ca="1">D17*Plantilla!R19</f>
        <v>1.9571529814507731</v>
      </c>
      <c r="F17" s="83">
        <f ca="1">D17*Plantilla!S19</f>
        <v>2.1124563140131261</v>
      </c>
      <c r="M17" t="str">
        <f>Plantilla!D19</f>
        <v>M. Grupinski</v>
      </c>
      <c r="N17" s="48">
        <f>Plantilla!J19</f>
        <v>0.55329779729442397</v>
      </c>
      <c r="O17" s="83">
        <f>Plantilla!AC19</f>
        <v>3</v>
      </c>
      <c r="P17" s="83">
        <f>Plantilla!AD19</f>
        <v>3</v>
      </c>
      <c r="Q17" s="48">
        <f ca="1">Plantilla!AI19</f>
        <v>0.40579730475048764</v>
      </c>
      <c r="R17" s="48">
        <f ca="1">Plantilla!AJ19</f>
        <v>3.3674344176569586</v>
      </c>
      <c r="S17" s="48">
        <f ca="1">Plantilla!AK19</f>
        <v>0.29097959039638432</v>
      </c>
      <c r="T17" s="48">
        <f ca="1">Plantilla!AL19</f>
        <v>0.25460714159683634</v>
      </c>
    </row>
    <row r="18" spans="1:20" x14ac:dyDescent="0.25">
      <c r="A18" t="str">
        <f>Plantilla!D20</f>
        <v>V. Godoi</v>
      </c>
      <c r="B18" s="83">
        <f ca="1">Plantilla!Y20++Plantilla!J20+Plantilla!P20</f>
        <v>4.1407948401384882</v>
      </c>
      <c r="C18" s="83">
        <f ca="1">Plantilla!AB20+Plantilla!J20+Plantilla!P20</f>
        <v>6.1407948401384882</v>
      </c>
      <c r="D18" s="126">
        <f t="shared" ca="1" si="1"/>
        <v>2.0527980650519329</v>
      </c>
      <c r="E18" s="83">
        <f ca="1">D18*Plantilla!R20</f>
        <v>2.0527980650519329</v>
      </c>
      <c r="F18" s="83">
        <f ca="1">D18*Plantilla!S20</f>
        <v>2.0527980650519329</v>
      </c>
      <c r="M18" t="str">
        <f>Plantilla!D20</f>
        <v>V. Godoi</v>
      </c>
      <c r="N18" s="48">
        <f>Plantilla!J20</f>
        <v>0.98715025265899181</v>
      </c>
      <c r="O18" s="83">
        <f>Plantilla!AC20</f>
        <v>5</v>
      </c>
      <c r="P18" s="83">
        <f>Plantilla!AD20</f>
        <v>1</v>
      </c>
      <c r="Q18" s="48">
        <f ca="1">Plantilla!AI20</f>
        <v>3.7711565967060583</v>
      </c>
      <c r="R18" s="48">
        <f ca="1">Plantilla!AJ20</f>
        <v>3.3407948401384884</v>
      </c>
      <c r="S18" s="48">
        <f ca="1">Plantilla!AK20</f>
        <v>0.37126358721107905</v>
      </c>
      <c r="T18" s="48">
        <f ca="1">Plantilla!AL20</f>
        <v>0.22985563880969417</v>
      </c>
    </row>
    <row r="19" spans="1:20" x14ac:dyDescent="0.25">
      <c r="A19" t="str">
        <f>Plantilla!D21</f>
        <v>P. Tuderek</v>
      </c>
      <c r="B19" s="83">
        <f ca="1">Plantilla!Y21++Plantilla!J21+Plantilla!P21</f>
        <v>6.4897376593298928</v>
      </c>
      <c r="C19" s="83">
        <f ca="1">Plantilla!AB21+Plantilla!J21+Plantilla!P21</f>
        <v>3.4897376593298932</v>
      </c>
      <c r="D19" s="126">
        <f t="shared" ca="1" si="1"/>
        <v>1.6836516222487099</v>
      </c>
      <c r="E19" s="83">
        <f ca="1">D19*Plantilla!R21</f>
        <v>1.4229453320240664</v>
      </c>
      <c r="F19" s="83">
        <f ca="1">D19*Plantilla!S21</f>
        <v>1.5574590057780135</v>
      </c>
      <c r="M19" t="str">
        <f>Plantilla!D21</f>
        <v>P. Tuderek</v>
      </c>
      <c r="N19" s="48">
        <f>Plantilla!J21</f>
        <v>0.27215997687456639</v>
      </c>
      <c r="O19" s="83">
        <f>Plantilla!AC21</f>
        <v>6</v>
      </c>
      <c r="P19" s="83">
        <f>Plantilla!AD21</f>
        <v>8</v>
      </c>
      <c r="Q19" s="48">
        <f ca="1">Plantilla!AI21</f>
        <v>6.6279703068931832</v>
      </c>
      <c r="R19" s="48">
        <f ca="1">Plantilla!AJ21</f>
        <v>6.6680453514744658</v>
      </c>
      <c r="S19" s="48">
        <f ca="1">Plantilla!AK21</f>
        <v>0.57917901274639139</v>
      </c>
      <c r="T19" s="48">
        <f ca="1">Plantilla!AL21</f>
        <v>0.51428163615309253</v>
      </c>
    </row>
    <row r="20" spans="1:20" x14ac:dyDescent="0.25">
      <c r="A20" t="str">
        <f>Plantilla!D22</f>
        <v>G. Stoychev</v>
      </c>
      <c r="B20" s="83">
        <f ca="1">Plantilla!Y22++Plantilla!J22+Plantilla!P22</f>
        <v>9.980077559908004</v>
      </c>
      <c r="C20" s="83">
        <f ca="1">Plantilla!AB22+Plantilla!J22+Plantilla!P22</f>
        <v>5.9800775599080032</v>
      </c>
      <c r="D20" s="126">
        <f t="shared" ca="1" si="1"/>
        <v>2.7425290849655015</v>
      </c>
      <c r="E20" s="83">
        <f ca="1">D20*Plantilla!R22</f>
        <v>2.5390885510718846</v>
      </c>
      <c r="F20" s="83">
        <f ca="1">D20*Plantilla!S22</f>
        <v>2.7405694354941521</v>
      </c>
      <c r="M20" t="str">
        <f>Plantilla!D22</f>
        <v>G. Stoychev</v>
      </c>
      <c r="N20" s="48">
        <f>Plantilla!J22</f>
        <v>0.8961304772476234</v>
      </c>
      <c r="O20" s="83">
        <f>Plantilla!AC22</f>
        <v>5</v>
      </c>
      <c r="P20" s="83">
        <f>Plantilla!AD22</f>
        <v>3</v>
      </c>
      <c r="Q20" s="48">
        <f ca="1">Plantilla!AI22</f>
        <v>4.1809770989659905</v>
      </c>
      <c r="R20" s="48">
        <f ca="1">Plantilla!AJ22</f>
        <v>4.2403278634800516</v>
      </c>
      <c r="S20" s="48">
        <f ca="1">Plantilla!AK22</f>
        <v>0.41840620479264035</v>
      </c>
      <c r="T20" s="48">
        <f ca="1">Plantilla!AL22</f>
        <v>0.51860542919356034</v>
      </c>
    </row>
    <row r="21" spans="1:20" x14ac:dyDescent="0.25">
      <c r="A21" t="str">
        <f>Plantilla!D23</f>
        <v>K. Helms</v>
      </c>
      <c r="B21" s="83">
        <f>Plantilla!Y23++Plantilla!J23+Plantilla!P23</f>
        <v>10.298793699949664</v>
      </c>
      <c r="C21" s="83">
        <f>Plantilla!AB23+Plantilla!J23+Plantilla!P23</f>
        <v>12.998490669646632</v>
      </c>
      <c r="D21" s="126">
        <f t="shared" si="1"/>
        <v>4.5369718799053658</v>
      </c>
      <c r="E21" s="83">
        <f>D21*Plantilla!R23</f>
        <v>4.5369718799053658</v>
      </c>
      <c r="F21" s="83">
        <f>D21*Plantilla!S23</f>
        <v>4.5369718799053658</v>
      </c>
      <c r="M21" t="str">
        <f>Plantilla!D23</f>
        <v>K. Helms</v>
      </c>
      <c r="N21" s="48">
        <f>Plantilla!J23</f>
        <v>1.5484906696466332</v>
      </c>
      <c r="O21" s="83">
        <f>Plantilla!AC23</f>
        <v>3.95</v>
      </c>
      <c r="P21" s="83">
        <f>Plantilla!AD23</f>
        <v>18</v>
      </c>
      <c r="Q21" s="48">
        <f>Plantilla!AI23</f>
        <v>15.594164379919059</v>
      </c>
      <c r="R21" s="48">
        <f>Plantilla!AJ23</f>
        <v>16.833490669646633</v>
      </c>
      <c r="S21" s="48">
        <f>Plantilla!AK23</f>
        <v>0.98137925357173061</v>
      </c>
      <c r="T21" s="48">
        <f>Plantilla!AL23</f>
        <v>1.0434064680873854</v>
      </c>
    </row>
    <row r="22" spans="1:20" x14ac:dyDescent="0.25">
      <c r="A22" t="str">
        <f>Plantilla!D24</f>
        <v>S. Zobbe</v>
      </c>
      <c r="B22" s="83">
        <f>Plantilla!Y24++Plantilla!J24+Plantilla!P24</f>
        <v>11.388170714237649</v>
      </c>
      <c r="C22" s="83">
        <f>Plantilla!AB24+Plantilla!J24+Plantilla!P24</f>
        <v>13.268170714237652</v>
      </c>
      <c r="D22" s="126">
        <f t="shared" si="1"/>
        <v>4.7405640178391195</v>
      </c>
      <c r="E22" s="83">
        <f>D22*Plantilla!R24</f>
        <v>4.0065078494896431</v>
      </c>
      <c r="F22" s="83">
        <f>D22*Plantilla!S24</f>
        <v>4.3852505022325126</v>
      </c>
      <c r="M22" t="str">
        <f>Plantilla!D24</f>
        <v>S. Zobbe</v>
      </c>
      <c r="N22" s="48">
        <f>Plantilla!J24</f>
        <v>1.5281707142376506</v>
      </c>
      <c r="O22" s="83">
        <f>Plantilla!AC24</f>
        <v>6.95</v>
      </c>
      <c r="P22" s="83">
        <f>Plantilla!AD24</f>
        <v>16</v>
      </c>
      <c r="Q22" s="48">
        <f>Plantilla!AI24</f>
        <v>16.420719455109868</v>
      </c>
      <c r="R22" s="48">
        <f>Plantilla!AJ24</f>
        <v>13.787145637250584</v>
      </c>
      <c r="S22" s="48">
        <f>Plantilla!AK24</f>
        <v>1.069753657139012</v>
      </c>
      <c r="T22" s="48">
        <f>Plantilla!AL24</f>
        <v>1.0263719499966355</v>
      </c>
    </row>
    <row r="23" spans="1:20" x14ac:dyDescent="0.25">
      <c r="A23" t="str">
        <f>Plantilla!D25</f>
        <v>L. Bauman</v>
      </c>
      <c r="B23" s="83">
        <f>Plantilla!Y25++Plantilla!J25+Plantilla!P25</f>
        <v>8.9352578030757819</v>
      </c>
      <c r="C23" s="83">
        <f>Plantilla!AB25+Plantilla!J25+Plantilla!P25</f>
        <v>11.935257803075782</v>
      </c>
      <c r="D23" s="126">
        <f t="shared" si="1"/>
        <v>4.1007216761534178</v>
      </c>
      <c r="E23" s="83">
        <f>D23*Plantilla!R25</f>
        <v>3.4657423720585152</v>
      </c>
      <c r="F23" s="83">
        <f>D23*Plantilla!S25</f>
        <v>3.7933654565569048</v>
      </c>
      <c r="M23" t="str">
        <f>Plantilla!D25</f>
        <v>L. Bauman</v>
      </c>
      <c r="N23" s="48">
        <f>Plantilla!J25</f>
        <v>1.4852578030757824</v>
      </c>
      <c r="O23" s="83">
        <f>Plantilla!AC25</f>
        <v>5.95</v>
      </c>
      <c r="P23" s="83">
        <f>Plantilla!AD25</f>
        <v>16.95</v>
      </c>
      <c r="Q23" s="48">
        <f>Plantilla!AI25</f>
        <v>15.37920414526894</v>
      </c>
      <c r="R23" s="48">
        <f>Plantilla!AJ25</f>
        <v>14.059358910775252</v>
      </c>
      <c r="S23" s="48">
        <f>Plantilla!AK25</f>
        <v>1.0448206242460625</v>
      </c>
      <c r="T23" s="48">
        <f>Plantilla!AL25</f>
        <v>0.95546804621530479</v>
      </c>
    </row>
    <row r="24" spans="1:20" x14ac:dyDescent="0.25">
      <c r="A24" t="str">
        <f>Plantilla!D26</f>
        <v>J. Limon</v>
      </c>
      <c r="B24" s="83">
        <f>Plantilla!Y26++Plantilla!J26+Plantilla!P26</f>
        <v>9.9172076220425147</v>
      </c>
      <c r="C24" s="83">
        <f>Plantilla!AB26+Plantilla!J26+Plantilla!P26</f>
        <v>13.029588574423464</v>
      </c>
      <c r="D24" s="126">
        <f t="shared" si="1"/>
        <v>4.4970480963611799</v>
      </c>
      <c r="E24" s="83">
        <f>D24*Plantilla!R26</f>
        <v>3.8006993323584273</v>
      </c>
      <c r="F24" s="83">
        <f>D24*Plantilla!S26</f>
        <v>4.1599865224730923</v>
      </c>
      <c r="M24" t="str">
        <f>Plantilla!D26</f>
        <v>J. Limon</v>
      </c>
      <c r="N24" s="48">
        <f>Plantilla!J26</f>
        <v>1.5795885744234652</v>
      </c>
      <c r="O24" s="83">
        <f>Plantilla!AC26</f>
        <v>6.95</v>
      </c>
      <c r="P24" s="83">
        <f>Plantilla!AD26</f>
        <v>18.999999999999993</v>
      </c>
      <c r="Q24" s="48">
        <f>Plantilla!AI26</f>
        <v>17.911261786916143</v>
      </c>
      <c r="R24" s="48">
        <f>Plantilla!AJ26</f>
        <v>15.60542559548554</v>
      </c>
      <c r="S24" s="48">
        <f>Plantilla!AK26</f>
        <v>1.1638670859538771</v>
      </c>
      <c r="T24" s="48">
        <f>Plantilla!AL26</f>
        <v>1.0590759621144044</v>
      </c>
    </row>
    <row r="25" spans="1:20" x14ac:dyDescent="0.25">
      <c r="A25" t="str">
        <f>Plantilla!D27</f>
        <v>P .Trivadi</v>
      </c>
      <c r="B25" s="83">
        <f>Plantilla!Y27++Plantilla!J27+Plantilla!P27</f>
        <v>6.6631099952416912</v>
      </c>
      <c r="C25" s="83">
        <f>Plantilla!AB27+Plantilla!J27+Plantilla!P27</f>
        <v>13.59310999524169</v>
      </c>
      <c r="D25" s="126">
        <f t="shared" si="1"/>
        <v>4.2311662482156338</v>
      </c>
      <c r="E25" s="83">
        <f>D25*Plantilla!R27</f>
        <v>3.5759881571431378</v>
      </c>
      <c r="F25" s="83">
        <f>D25*Plantilla!S27</f>
        <v>3.9140329811376797</v>
      </c>
      <c r="M25" t="str">
        <f>Plantilla!D27</f>
        <v>P .Trivadi</v>
      </c>
      <c r="N25" s="48">
        <f>Plantilla!J27</f>
        <v>1.1431099952416914</v>
      </c>
      <c r="O25" s="83">
        <f>Plantilla!AC27</f>
        <v>7.95</v>
      </c>
      <c r="P25" s="83">
        <f>Plantilla!AD27</f>
        <v>14</v>
      </c>
      <c r="Q25" s="48">
        <f>Plantilla!AI27</f>
        <v>16.17479292973379</v>
      </c>
      <c r="R25" s="48">
        <f>Plantilla!AJ27</f>
        <v>12.532040252060957</v>
      </c>
      <c r="S25" s="48">
        <f>Plantilla!AK27</f>
        <v>1.0289487996193352</v>
      </c>
      <c r="T25" s="48">
        <f>Plantilla!AL27</f>
        <v>0.76581769966691837</v>
      </c>
    </row>
    <row r="26" spans="1:20" x14ac:dyDescent="0.25">
      <c r="B26" s="83"/>
      <c r="C26" s="83"/>
      <c r="D26" s="126"/>
      <c r="E26" s="83"/>
      <c r="F26" s="83"/>
    </row>
    <row r="27" spans="1:20" ht="18.75" x14ac:dyDescent="0.3">
      <c r="A27" s="688" t="s">
        <v>443</v>
      </c>
      <c r="B27" s="688"/>
      <c r="C27" s="688"/>
      <c r="D27" s="688"/>
      <c r="E27" s="688"/>
      <c r="F27" s="688"/>
      <c r="G27" s="688"/>
      <c r="H27" s="688"/>
      <c r="I27" s="688"/>
      <c r="J27" s="688"/>
    </row>
    <row r="28" spans="1:20" x14ac:dyDescent="0.25">
      <c r="A28" s="140" t="s">
        <v>214</v>
      </c>
      <c r="B28" s="140" t="str">
        <f>D1</f>
        <v>N_CA</v>
      </c>
      <c r="C28" s="113" t="s">
        <v>231</v>
      </c>
      <c r="D28" s="113" t="s">
        <v>232</v>
      </c>
      <c r="G28" s="140" t="s">
        <v>214</v>
      </c>
      <c r="H28" s="140" t="str">
        <f>B28</f>
        <v>N_CA</v>
      </c>
      <c r="I28" s="113" t="s">
        <v>231</v>
      </c>
      <c r="J28" s="113" t="s">
        <v>232</v>
      </c>
    </row>
    <row r="29" spans="1:20" x14ac:dyDescent="0.25">
      <c r="A29" s="48" t="str">
        <f>A7</f>
        <v>E. Romweber</v>
      </c>
      <c r="B29" s="48">
        <f>D7</f>
        <v>5.172589287434592</v>
      </c>
      <c r="C29" s="48">
        <f>E7</f>
        <v>4.7888871301751248</v>
      </c>
      <c r="D29" s="48">
        <f>F7</f>
        <v>5.1688932603192566</v>
      </c>
      <c r="G29" s="48" t="str">
        <f>A29</f>
        <v>E. Romweber</v>
      </c>
      <c r="H29" s="48">
        <f>B29</f>
        <v>5.172589287434592</v>
      </c>
      <c r="I29" s="48">
        <f t="shared" ref="I29:J32" si="3">C29</f>
        <v>4.7888871301751248</v>
      </c>
      <c r="J29" s="48">
        <f t="shared" si="3"/>
        <v>5.1688932603192566</v>
      </c>
    </row>
    <row r="30" spans="1:20" x14ac:dyDescent="0.25">
      <c r="A30" s="48" t="str">
        <f>A4</f>
        <v>E. Toney</v>
      </c>
      <c r="B30" s="48">
        <f>D4</f>
        <v>4.9331268004764146</v>
      </c>
      <c r="C30" s="48">
        <f>E4</f>
        <v>4.5671879466077216</v>
      </c>
      <c r="D30" s="48">
        <f>F4</f>
        <v>4.9296018791256628</v>
      </c>
      <c r="G30" s="48" t="str">
        <f>A30</f>
        <v>E. Toney</v>
      </c>
      <c r="H30" s="48">
        <f>B30</f>
        <v>4.9331268004764146</v>
      </c>
      <c r="I30" s="48">
        <f t="shared" si="3"/>
        <v>4.5671879466077216</v>
      </c>
      <c r="J30" s="48">
        <f t="shared" si="3"/>
        <v>4.9296018791256628</v>
      </c>
    </row>
    <row r="31" spans="1:20" x14ac:dyDescent="0.25">
      <c r="A31" t="str">
        <f>A8</f>
        <v>S. Buschelman</v>
      </c>
      <c r="B31" s="48">
        <f t="shared" ref="B31:D32" si="4">D8</f>
        <v>4.8122868768105445</v>
      </c>
      <c r="C31" s="48">
        <f t="shared" si="4"/>
        <v>4.455311916422878</v>
      </c>
      <c r="D31" s="48">
        <f t="shared" si="4"/>
        <v>4.8088483005395322</v>
      </c>
      <c r="G31" s="48" t="str">
        <f>A31</f>
        <v>S. Buschelman</v>
      </c>
      <c r="H31" s="48">
        <f>B31</f>
        <v>4.8122868768105445</v>
      </c>
      <c r="I31" s="48">
        <f t="shared" si="3"/>
        <v>4.455311916422878</v>
      </c>
      <c r="J31" s="48">
        <f t="shared" si="3"/>
        <v>4.8088483005395322</v>
      </c>
    </row>
    <row r="32" spans="1:20" x14ac:dyDescent="0.25">
      <c r="A32" s="48" t="str">
        <f>A9</f>
        <v>E. Gross</v>
      </c>
      <c r="B32" s="48">
        <f t="shared" si="4"/>
        <v>4.6933595563276889</v>
      </c>
      <c r="C32" s="48">
        <f t="shared" si="4"/>
        <v>4.6933595563276889</v>
      </c>
      <c r="D32" s="48">
        <f t="shared" si="4"/>
        <v>4.6933595563276889</v>
      </c>
      <c r="G32" s="48" t="str">
        <f>A32</f>
        <v>E. Gross</v>
      </c>
      <c r="H32" s="48">
        <f>B32</f>
        <v>4.6933595563276889</v>
      </c>
      <c r="I32" s="48">
        <f t="shared" si="3"/>
        <v>4.6933595563276889</v>
      </c>
      <c r="J32" s="48">
        <f t="shared" si="3"/>
        <v>4.6933595563276889</v>
      </c>
    </row>
    <row r="33" spans="1:10" x14ac:dyDescent="0.25">
      <c r="A33" t="str">
        <f>A5</f>
        <v>B. Bartolache</v>
      </c>
      <c r="B33" s="48">
        <f>D5</f>
        <v>4.5973549848239337</v>
      </c>
      <c r="C33" s="48">
        <f>E5</f>
        <v>4.5973549848239337</v>
      </c>
      <c r="D33" s="48">
        <f>F5</f>
        <v>4.5973549848239337</v>
      </c>
      <c r="H33" s="48"/>
      <c r="I33" s="83"/>
      <c r="J33" s="83"/>
    </row>
    <row r="34" spans="1:10" x14ac:dyDescent="0.25">
      <c r="B34" s="155">
        <f>SUM(B29:B33)</f>
        <v>24.208717505873171</v>
      </c>
      <c r="C34" s="311">
        <f t="shared" ref="C34:D34" si="5">SUM(C29:C33)</f>
        <v>23.102101534357349</v>
      </c>
      <c r="D34" s="311">
        <f t="shared" si="5"/>
        <v>24.198057981136074</v>
      </c>
      <c r="E34" s="155"/>
      <c r="G34" s="155"/>
      <c r="H34" s="155">
        <f>SUM(H29:H33)</f>
        <v>19.611362521049237</v>
      </c>
      <c r="I34" s="311">
        <f t="shared" ref="I34:J34" si="6">SUM(I29:I33)</f>
        <v>18.504746549533415</v>
      </c>
      <c r="J34" s="311">
        <f t="shared" si="6"/>
        <v>19.60070299631214</v>
      </c>
    </row>
  </sheetData>
  <sortState ref="A2:F18">
    <sortCondition descending="1" ref="E2:E18"/>
  </sortState>
  <mergeCells count="2">
    <mergeCell ref="A27:J27"/>
    <mergeCell ref="W1:AA1"/>
  </mergeCells>
  <conditionalFormatting sqref="D2:D26">
    <cfRule type="colorScale" priority="3499">
      <colorScale>
        <cfvo type="min"/>
        <cfvo type="percentile" val="50"/>
        <cfvo type="max"/>
        <color rgb="FFF8696B"/>
        <color rgb="FFFCFCFF"/>
        <color rgb="FF63BE7B"/>
      </colorScale>
    </cfRule>
  </conditionalFormatting>
  <conditionalFormatting sqref="Q2:Q25">
    <cfRule type="cellIs" dxfId="21" priority="1" operator="lessThan">
      <formula>11</formula>
    </cfRule>
    <cfRule type="cellIs" dxfId="20" priority="2" operator="between">
      <formula>11</formula>
      <formula>15</formula>
    </cfRule>
    <cfRule type="cellIs" dxfId="19" priority="3" operator="greaterThan">
      <formula>15</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7" tint="0.79998168889431442"/>
  </sheetPr>
  <dimension ref="A1:Z27"/>
  <sheetViews>
    <sheetView workbookViewId="0">
      <selection activeCell="F30" sqref="F30"/>
    </sheetView>
  </sheetViews>
  <sheetFormatPr baseColWidth="10" defaultColWidth="11.42578125" defaultRowHeight="15" x14ac:dyDescent="0.25"/>
  <cols>
    <col min="1" max="1" width="13.7109375" bestFit="1" customWidth="1"/>
    <col min="2" max="8" width="6.5703125" bestFit="1" customWidth="1"/>
    <col min="9" max="10" width="7.7109375" bestFit="1" customWidth="1"/>
    <col min="12" max="12" width="32.7109375" customWidth="1"/>
    <col min="14" max="14" width="7.7109375" bestFit="1" customWidth="1"/>
    <col min="15" max="15" width="23.28515625" bestFit="1" customWidth="1"/>
    <col min="16" max="17" width="6.5703125" bestFit="1" customWidth="1"/>
    <col min="18" max="18" width="7.42578125" customWidth="1"/>
    <col min="19" max="19" width="4.5703125" bestFit="1" customWidth="1"/>
    <col min="21" max="21" width="7.7109375" bestFit="1" customWidth="1"/>
    <col min="22" max="22" width="21.7109375" style="55" bestFit="1" customWidth="1"/>
    <col min="23" max="24" width="5.5703125" bestFit="1" customWidth="1"/>
    <col min="25" max="26" width="4.5703125" bestFit="1" customWidth="1"/>
  </cols>
  <sheetData>
    <row r="1" spans="1:26" x14ac:dyDescent="0.25">
      <c r="A1" s="87">
        <v>41900</v>
      </c>
      <c r="E1" s="119" t="s">
        <v>231</v>
      </c>
      <c r="F1" s="120" t="s">
        <v>232</v>
      </c>
      <c r="G1" s="8"/>
      <c r="H1" s="8"/>
      <c r="I1" s="121" t="s">
        <v>231</v>
      </c>
      <c r="J1" s="122" t="s">
        <v>232</v>
      </c>
      <c r="K1" s="7"/>
      <c r="P1" s="119" t="s">
        <v>231</v>
      </c>
      <c r="Q1" s="120" t="s">
        <v>232</v>
      </c>
      <c r="R1" s="119"/>
      <c r="S1" s="120"/>
      <c r="W1" s="119" t="s">
        <v>231</v>
      </c>
      <c r="X1" s="120" t="s">
        <v>232</v>
      </c>
      <c r="Y1" s="119"/>
      <c r="Z1" s="120"/>
    </row>
    <row r="2" spans="1:26" x14ac:dyDescent="0.25">
      <c r="A2" s="118" t="s">
        <v>71</v>
      </c>
      <c r="B2" s="118" t="s">
        <v>233</v>
      </c>
      <c r="C2" s="118" t="s">
        <v>234</v>
      </c>
      <c r="D2" s="118" t="s">
        <v>79</v>
      </c>
      <c r="E2" s="119" t="s">
        <v>68</v>
      </c>
      <c r="F2" s="120" t="s">
        <v>68</v>
      </c>
      <c r="G2" s="8" t="s">
        <v>75</v>
      </c>
      <c r="H2" s="8" t="s">
        <v>75</v>
      </c>
      <c r="I2" s="121" t="s">
        <v>235</v>
      </c>
      <c r="J2" s="122" t="s">
        <v>235</v>
      </c>
      <c r="K2" s="7"/>
      <c r="P2" s="119" t="s">
        <v>68</v>
      </c>
      <c r="Q2" s="120" t="s">
        <v>68</v>
      </c>
      <c r="R2" s="119" t="s">
        <v>75</v>
      </c>
      <c r="S2" s="120" t="s">
        <v>75</v>
      </c>
      <c r="W2" s="119" t="s">
        <v>68</v>
      </c>
      <c r="X2" s="120" t="s">
        <v>68</v>
      </c>
      <c r="Y2" s="119" t="s">
        <v>75</v>
      </c>
      <c r="Z2" s="120" t="s">
        <v>75</v>
      </c>
    </row>
    <row r="3" spans="1:26" x14ac:dyDescent="0.25">
      <c r="A3" s="128" t="str">
        <f>Plantilla!D4</f>
        <v>D. Gehmacher</v>
      </c>
      <c r="B3" s="50">
        <f>Plantilla!E4</f>
        <v>35</v>
      </c>
      <c r="C3" s="50">
        <f>Plantilla!H4</f>
        <v>6</v>
      </c>
      <c r="D3" s="129">
        <f>Plantilla!I4</f>
        <v>23.7</v>
      </c>
      <c r="E3" s="123">
        <f>D3</f>
        <v>23.7</v>
      </c>
      <c r="F3" s="123">
        <f>E3+0.1</f>
        <v>23.8</v>
      </c>
      <c r="G3" s="123">
        <f>C3</f>
        <v>6</v>
      </c>
      <c r="H3" s="123">
        <f t="shared" ref="H3" si="0">G3+0.99</f>
        <v>6.99</v>
      </c>
      <c r="I3" s="127">
        <f t="shared" ref="I3:J3" si="1">G3*G3*E3</f>
        <v>853.19999999999993</v>
      </c>
      <c r="J3" s="127">
        <f t="shared" si="1"/>
        <v>1162.8703800000001</v>
      </c>
      <c r="K3" s="124"/>
      <c r="N3" s="2" t="s">
        <v>235</v>
      </c>
      <c r="O3" t="str">
        <f>A3</f>
        <v>D. Gehmacher</v>
      </c>
      <c r="P3" s="125">
        <f>E3</f>
        <v>23.7</v>
      </c>
      <c r="Q3" s="125">
        <f t="shared" ref="Q3:S3" si="2">F3</f>
        <v>23.8</v>
      </c>
      <c r="R3" s="125">
        <f t="shared" si="2"/>
        <v>6</v>
      </c>
      <c r="S3" s="125">
        <f t="shared" si="2"/>
        <v>6.99</v>
      </c>
      <c r="U3" s="2" t="s">
        <v>235</v>
      </c>
      <c r="V3" s="55" t="str">
        <f>O3</f>
        <v>D. Gehmacher</v>
      </c>
      <c r="W3" s="125">
        <f>P3</f>
        <v>23.7</v>
      </c>
      <c r="X3" s="125">
        <f t="shared" ref="X3:Z3" si="3">Q3</f>
        <v>23.8</v>
      </c>
      <c r="Y3" s="125">
        <f t="shared" si="3"/>
        <v>6</v>
      </c>
      <c r="Z3" s="125">
        <f t="shared" si="3"/>
        <v>6.99</v>
      </c>
    </row>
    <row r="4" spans="1:26" x14ac:dyDescent="0.25">
      <c r="A4" s="128" t="str">
        <f>Plantilla!D5</f>
        <v>T. Hammond</v>
      </c>
      <c r="B4" s="50">
        <f>Plantilla!E5</f>
        <v>39</v>
      </c>
      <c r="C4" s="50">
        <f>Plantilla!H5</f>
        <v>3</v>
      </c>
      <c r="D4" s="129">
        <f>Plantilla!I5</f>
        <v>8.4</v>
      </c>
      <c r="E4" s="123">
        <f t="shared" ref="E4:E26" si="4">D4</f>
        <v>8.4</v>
      </c>
      <c r="F4" s="123">
        <f t="shared" ref="F4:F26" si="5">E4+0.1</f>
        <v>8.5</v>
      </c>
      <c r="G4" s="123">
        <f t="shared" ref="G4:G26" si="6">C4</f>
        <v>3</v>
      </c>
      <c r="H4" s="123">
        <f t="shared" ref="H4:H26" si="7">G4+0.99</f>
        <v>3.99</v>
      </c>
      <c r="I4" s="127">
        <f t="shared" ref="I4:I26" si="8">G4*G4*E4</f>
        <v>75.600000000000009</v>
      </c>
      <c r="J4" s="127">
        <f t="shared" ref="J4:J26" si="9">H4*H4*F4</f>
        <v>135.32085000000001</v>
      </c>
      <c r="K4" s="124"/>
      <c r="O4" t="str">
        <f>A7</f>
        <v>F. Lasprilla</v>
      </c>
      <c r="P4" s="125">
        <f>E7</f>
        <v>6.3</v>
      </c>
      <c r="Q4" s="125">
        <f t="shared" ref="Q4:S4" si="10">F7</f>
        <v>6.3999999999999995</v>
      </c>
      <c r="R4" s="125">
        <f t="shared" si="10"/>
        <v>4</v>
      </c>
      <c r="S4" s="125">
        <f t="shared" si="10"/>
        <v>4.99</v>
      </c>
      <c r="V4" s="55" t="str">
        <f t="shared" ref="V4:V13" si="11">O4</f>
        <v>F. Lasprilla</v>
      </c>
      <c r="W4" s="125">
        <f t="shared" ref="W4:W13" si="12">P4</f>
        <v>6.3</v>
      </c>
      <c r="X4" s="125">
        <f t="shared" ref="X4:X13" si="13">Q4</f>
        <v>6.3999999999999995</v>
      </c>
      <c r="Y4" s="125">
        <f t="shared" ref="Y4:Y13" si="14">R4</f>
        <v>4</v>
      </c>
      <c r="Z4" s="125">
        <f t="shared" ref="Z4:Z13" si="15">S4</f>
        <v>4.99</v>
      </c>
    </row>
    <row r="5" spans="1:26" x14ac:dyDescent="0.25">
      <c r="A5" s="128" t="str">
        <f>Plantilla!D6</f>
        <v>E. Toney</v>
      </c>
      <c r="B5" s="50">
        <f>Plantilla!E6</f>
        <v>36</v>
      </c>
      <c r="C5" s="50">
        <f>Plantilla!H6</f>
        <v>4</v>
      </c>
      <c r="D5" s="129">
        <f>Plantilla!I6</f>
        <v>18</v>
      </c>
      <c r="E5" s="123">
        <f t="shared" si="4"/>
        <v>18</v>
      </c>
      <c r="F5" s="123">
        <f t="shared" si="5"/>
        <v>18.100000000000001</v>
      </c>
      <c r="G5" s="123">
        <f t="shared" si="6"/>
        <v>4</v>
      </c>
      <c r="H5" s="123">
        <f t="shared" si="7"/>
        <v>4.99</v>
      </c>
      <c r="I5" s="127">
        <f t="shared" si="8"/>
        <v>288</v>
      </c>
      <c r="J5" s="127">
        <f t="shared" si="9"/>
        <v>450.69181000000009</v>
      </c>
      <c r="K5" s="124"/>
      <c r="L5" s="54"/>
      <c r="O5" t="str">
        <f>A14</f>
        <v>G. Piscaer</v>
      </c>
      <c r="P5" s="125">
        <f>E14</f>
        <v>1.8</v>
      </c>
      <c r="Q5" s="125">
        <f t="shared" ref="Q5:S5" si="16">F14</f>
        <v>1.9000000000000001</v>
      </c>
      <c r="R5" s="125">
        <f t="shared" si="16"/>
        <v>1</v>
      </c>
      <c r="S5" s="125">
        <f t="shared" si="16"/>
        <v>1.99</v>
      </c>
      <c r="V5" s="55" t="str">
        <f t="shared" si="11"/>
        <v>G. Piscaer</v>
      </c>
      <c r="W5" s="125">
        <f t="shared" si="12"/>
        <v>1.8</v>
      </c>
      <c r="X5" s="125">
        <f t="shared" si="13"/>
        <v>1.9000000000000001</v>
      </c>
      <c r="Y5" s="125">
        <f t="shared" si="14"/>
        <v>1</v>
      </c>
      <c r="Z5" s="125">
        <f t="shared" si="15"/>
        <v>1.99</v>
      </c>
    </row>
    <row r="6" spans="1:26" x14ac:dyDescent="0.25">
      <c r="A6" s="128" t="str">
        <f>Plantilla!D7</f>
        <v>B. Bartolache</v>
      </c>
      <c r="B6" s="50">
        <f>Plantilla!E7</f>
        <v>36</v>
      </c>
      <c r="C6" s="50">
        <f>Plantilla!H7</f>
        <v>3</v>
      </c>
      <c r="D6" s="129">
        <f>Plantilla!I7</f>
        <v>11.8</v>
      </c>
      <c r="E6" s="123">
        <f t="shared" si="4"/>
        <v>11.8</v>
      </c>
      <c r="F6" s="123">
        <f t="shared" si="5"/>
        <v>11.9</v>
      </c>
      <c r="G6" s="123">
        <f t="shared" si="6"/>
        <v>3</v>
      </c>
      <c r="H6" s="123">
        <f t="shared" si="7"/>
        <v>3.99</v>
      </c>
      <c r="I6" s="127">
        <f t="shared" si="8"/>
        <v>106.2</v>
      </c>
      <c r="J6" s="127">
        <f t="shared" si="9"/>
        <v>189.44919000000002</v>
      </c>
      <c r="K6" s="124"/>
      <c r="O6" t="str">
        <f>A5</f>
        <v>E. Toney</v>
      </c>
      <c r="P6" s="125">
        <f>E5</f>
        <v>18</v>
      </c>
      <c r="Q6" s="125">
        <f t="shared" ref="Q6:S6" si="17">F5</f>
        <v>18.100000000000001</v>
      </c>
      <c r="R6" s="125">
        <f t="shared" si="17"/>
        <v>4</v>
      </c>
      <c r="S6" s="125">
        <f t="shared" si="17"/>
        <v>4.99</v>
      </c>
      <c r="V6" s="55" t="str">
        <f t="shared" si="11"/>
        <v>E. Toney</v>
      </c>
      <c r="W6" s="125">
        <f t="shared" si="12"/>
        <v>18</v>
      </c>
      <c r="X6" s="125">
        <f t="shared" si="13"/>
        <v>18.100000000000001</v>
      </c>
      <c r="Y6" s="125">
        <f t="shared" si="14"/>
        <v>4</v>
      </c>
      <c r="Z6" s="125">
        <f t="shared" si="15"/>
        <v>4.99</v>
      </c>
    </row>
    <row r="7" spans="1:26" x14ac:dyDescent="0.25">
      <c r="A7" s="128" t="str">
        <f>Plantilla!D8</f>
        <v>F. Lasprilla</v>
      </c>
      <c r="B7" s="50">
        <f>Plantilla!E8</f>
        <v>32</v>
      </c>
      <c r="C7" s="50">
        <f>Plantilla!H8</f>
        <v>4</v>
      </c>
      <c r="D7" s="129">
        <f>Plantilla!I8</f>
        <v>6.3</v>
      </c>
      <c r="E7" s="123">
        <f t="shared" si="4"/>
        <v>6.3</v>
      </c>
      <c r="F7" s="123">
        <f t="shared" si="5"/>
        <v>6.3999999999999995</v>
      </c>
      <c r="G7" s="123">
        <f t="shared" si="6"/>
        <v>4</v>
      </c>
      <c r="H7" s="123">
        <f t="shared" si="7"/>
        <v>4.99</v>
      </c>
      <c r="I7" s="127">
        <f t="shared" si="8"/>
        <v>100.8</v>
      </c>
      <c r="J7" s="127">
        <f t="shared" si="9"/>
        <v>159.36063999999999</v>
      </c>
      <c r="K7" s="124"/>
      <c r="O7" t="str">
        <f>A6</f>
        <v>B. Bartolache</v>
      </c>
      <c r="P7" s="125">
        <f>E6</f>
        <v>11.8</v>
      </c>
      <c r="Q7" s="125">
        <f t="shared" ref="Q7" si="18">F6</f>
        <v>11.9</v>
      </c>
      <c r="R7" s="125">
        <f t="shared" ref="R7" si="19">G6</f>
        <v>3</v>
      </c>
      <c r="S7" s="125">
        <f t="shared" ref="S7" si="20">H6</f>
        <v>3.99</v>
      </c>
      <c r="V7" s="55" t="str">
        <f t="shared" si="11"/>
        <v>B. Bartolache</v>
      </c>
      <c r="W7" s="125">
        <f t="shared" si="12"/>
        <v>11.8</v>
      </c>
      <c r="X7" s="125">
        <f t="shared" si="13"/>
        <v>11.9</v>
      </c>
      <c r="Y7" s="125">
        <f t="shared" si="14"/>
        <v>3</v>
      </c>
      <c r="Z7" s="125">
        <f t="shared" si="15"/>
        <v>3.99</v>
      </c>
    </row>
    <row r="8" spans="1:26" x14ac:dyDescent="0.25">
      <c r="A8" s="128" t="str">
        <f>Plantilla!D9</f>
        <v>E. Romweber</v>
      </c>
      <c r="B8" s="50">
        <f>Plantilla!E9</f>
        <v>35</v>
      </c>
      <c r="C8" s="50">
        <f>Plantilla!H9</f>
        <v>0</v>
      </c>
      <c r="D8" s="129">
        <f>Plantilla!I9</f>
        <v>17.100000000000001</v>
      </c>
      <c r="E8" s="123">
        <f t="shared" si="4"/>
        <v>17.100000000000001</v>
      </c>
      <c r="F8" s="123">
        <f t="shared" si="5"/>
        <v>17.200000000000003</v>
      </c>
      <c r="G8" s="123">
        <f t="shared" si="6"/>
        <v>0</v>
      </c>
      <c r="H8" s="123">
        <f t="shared" si="7"/>
        <v>0.99</v>
      </c>
      <c r="I8" s="127">
        <f t="shared" si="8"/>
        <v>0</v>
      </c>
      <c r="J8" s="127">
        <f t="shared" si="9"/>
        <v>16.857720000000004</v>
      </c>
      <c r="K8" s="124"/>
      <c r="O8" t="str">
        <f>A12</f>
        <v>I. Vanags</v>
      </c>
      <c r="P8" s="125">
        <f>E12</f>
        <v>0.4</v>
      </c>
      <c r="Q8" s="125">
        <f t="shared" ref="Q8:S8" si="21">F12</f>
        <v>0.5</v>
      </c>
      <c r="R8" s="125">
        <f t="shared" si="21"/>
        <v>4</v>
      </c>
      <c r="S8" s="125">
        <f t="shared" si="21"/>
        <v>4.99</v>
      </c>
      <c r="V8" s="55" t="str">
        <f t="shared" si="11"/>
        <v>I. Vanags</v>
      </c>
      <c r="W8" s="125">
        <f t="shared" si="12"/>
        <v>0.4</v>
      </c>
      <c r="X8" s="125">
        <f t="shared" si="13"/>
        <v>0.5</v>
      </c>
      <c r="Y8" s="125">
        <f t="shared" si="14"/>
        <v>4</v>
      </c>
      <c r="Z8" s="125">
        <f t="shared" si="15"/>
        <v>4.99</v>
      </c>
    </row>
    <row r="9" spans="1:26" x14ac:dyDescent="0.25">
      <c r="A9" s="128" t="str">
        <f>Plantilla!D10</f>
        <v>S. Buschelman</v>
      </c>
      <c r="B9" s="50">
        <f>Plantilla!E10</f>
        <v>34</v>
      </c>
      <c r="C9" s="50">
        <f>Plantilla!H10</f>
        <v>3</v>
      </c>
      <c r="D9" s="129">
        <f>Plantilla!I10</f>
        <v>14.8</v>
      </c>
      <c r="E9" s="123">
        <f t="shared" si="4"/>
        <v>14.8</v>
      </c>
      <c r="F9" s="123">
        <f t="shared" si="5"/>
        <v>14.9</v>
      </c>
      <c r="G9" s="123">
        <f t="shared" si="6"/>
        <v>3</v>
      </c>
      <c r="H9" s="123">
        <f t="shared" si="7"/>
        <v>3.99</v>
      </c>
      <c r="I9" s="127">
        <f t="shared" si="8"/>
        <v>133.20000000000002</v>
      </c>
      <c r="J9" s="127">
        <f t="shared" si="9"/>
        <v>237.20949000000002</v>
      </c>
      <c r="K9" s="124"/>
      <c r="O9" t="str">
        <f>A15</f>
        <v>M. Bondarewski</v>
      </c>
      <c r="P9" s="125">
        <f>E15</f>
        <v>1.6</v>
      </c>
      <c r="Q9" s="125">
        <f t="shared" ref="Q9:S9" si="22">F15</f>
        <v>1.7000000000000002</v>
      </c>
      <c r="R9" s="125">
        <f t="shared" si="22"/>
        <v>1</v>
      </c>
      <c r="S9" s="125">
        <f t="shared" si="22"/>
        <v>1.99</v>
      </c>
      <c r="V9" s="55" t="str">
        <f t="shared" si="11"/>
        <v>M. Bondarewski</v>
      </c>
      <c r="W9" s="125">
        <f t="shared" si="12"/>
        <v>1.6</v>
      </c>
      <c r="X9" s="125">
        <f t="shared" si="13"/>
        <v>1.7000000000000002</v>
      </c>
      <c r="Y9" s="125">
        <f t="shared" si="14"/>
        <v>1</v>
      </c>
      <c r="Z9" s="125">
        <f t="shared" si="15"/>
        <v>1.99</v>
      </c>
    </row>
    <row r="10" spans="1:26" x14ac:dyDescent="0.25">
      <c r="A10" s="128" t="str">
        <f>Plantilla!D11</f>
        <v>E. Gross</v>
      </c>
      <c r="B10" s="50">
        <f>Plantilla!E11</f>
        <v>35</v>
      </c>
      <c r="C10" s="50">
        <f>Plantilla!H11</f>
        <v>3</v>
      </c>
      <c r="D10" s="129">
        <f>Plantilla!I11</f>
        <v>13.1</v>
      </c>
      <c r="E10" s="123">
        <f t="shared" si="4"/>
        <v>13.1</v>
      </c>
      <c r="F10" s="123">
        <f t="shared" si="5"/>
        <v>13.2</v>
      </c>
      <c r="G10" s="123">
        <f t="shared" si="6"/>
        <v>3</v>
      </c>
      <c r="H10" s="123">
        <f t="shared" si="7"/>
        <v>3.99</v>
      </c>
      <c r="I10" s="127">
        <f t="shared" si="8"/>
        <v>117.89999999999999</v>
      </c>
      <c r="J10" s="127">
        <f t="shared" si="9"/>
        <v>210.14532</v>
      </c>
      <c r="K10" s="124"/>
      <c r="O10" t="str">
        <f>A13</f>
        <v>I. Stone</v>
      </c>
      <c r="P10" s="125">
        <f>E13</f>
        <v>1.2</v>
      </c>
      <c r="Q10" s="125">
        <f t="shared" ref="Q10:S10" si="23">F13</f>
        <v>1.3</v>
      </c>
      <c r="R10" s="125">
        <f t="shared" si="23"/>
        <v>6</v>
      </c>
      <c r="S10" s="125">
        <f t="shared" si="23"/>
        <v>6.99</v>
      </c>
      <c r="V10" s="55" t="str">
        <f t="shared" si="11"/>
        <v>I. Stone</v>
      </c>
      <c r="W10" s="125">
        <f t="shared" si="12"/>
        <v>1.2</v>
      </c>
      <c r="X10" s="125">
        <f t="shared" si="13"/>
        <v>1.3</v>
      </c>
      <c r="Y10" s="125">
        <f t="shared" si="14"/>
        <v>6</v>
      </c>
      <c r="Z10" s="125">
        <f t="shared" si="15"/>
        <v>6.99</v>
      </c>
    </row>
    <row r="11" spans="1:26" x14ac:dyDescent="0.25">
      <c r="A11" s="128" t="str">
        <f>Plantilla!D12</f>
        <v>W. Gelifini</v>
      </c>
      <c r="B11" s="50">
        <f>Plantilla!E12</f>
        <v>34</v>
      </c>
      <c r="C11" s="50">
        <f>Plantilla!H12</f>
        <v>2</v>
      </c>
      <c r="D11" s="129">
        <f>Plantilla!I12</f>
        <v>4.5</v>
      </c>
      <c r="E11" s="123">
        <f t="shared" si="4"/>
        <v>4.5</v>
      </c>
      <c r="F11" s="123">
        <f t="shared" si="5"/>
        <v>4.5999999999999996</v>
      </c>
      <c r="G11" s="123">
        <f t="shared" si="6"/>
        <v>2</v>
      </c>
      <c r="H11" s="123">
        <f t="shared" si="7"/>
        <v>2.99</v>
      </c>
      <c r="I11" s="127">
        <f t="shared" si="8"/>
        <v>18</v>
      </c>
      <c r="J11" s="127">
        <f t="shared" si="9"/>
        <v>41.124459999999999</v>
      </c>
      <c r="K11" s="124"/>
      <c r="O11" t="str">
        <f>A10</f>
        <v>E. Gross</v>
      </c>
      <c r="P11" s="125">
        <f>E10</f>
        <v>13.1</v>
      </c>
      <c r="Q11" s="125">
        <f t="shared" ref="Q11:S11" si="24">F10</f>
        <v>13.2</v>
      </c>
      <c r="R11" s="125">
        <f t="shared" si="24"/>
        <v>3</v>
      </c>
      <c r="S11" s="125">
        <f t="shared" si="24"/>
        <v>3.99</v>
      </c>
      <c r="V11" s="55" t="str">
        <f t="shared" si="11"/>
        <v>E. Gross</v>
      </c>
      <c r="W11" s="125">
        <f t="shared" si="12"/>
        <v>13.1</v>
      </c>
      <c r="X11" s="125">
        <f t="shared" si="13"/>
        <v>13.2</v>
      </c>
      <c r="Y11" s="125">
        <f t="shared" si="14"/>
        <v>3</v>
      </c>
      <c r="Z11" s="125">
        <f t="shared" si="15"/>
        <v>3.99</v>
      </c>
    </row>
    <row r="12" spans="1:26" x14ac:dyDescent="0.25">
      <c r="A12" s="128" t="str">
        <f>Plantilla!D13</f>
        <v>I. Vanags</v>
      </c>
      <c r="B12" s="50">
        <f>Plantilla!E13</f>
        <v>18</v>
      </c>
      <c r="C12" s="50">
        <f>Plantilla!H13</f>
        <v>4</v>
      </c>
      <c r="D12" s="129">
        <f>Plantilla!I13</f>
        <v>0.4</v>
      </c>
      <c r="E12" s="123">
        <f t="shared" si="4"/>
        <v>0.4</v>
      </c>
      <c r="F12" s="123">
        <f t="shared" si="5"/>
        <v>0.5</v>
      </c>
      <c r="G12" s="123">
        <f t="shared" si="6"/>
        <v>4</v>
      </c>
      <c r="H12" s="123">
        <f t="shared" si="7"/>
        <v>4.99</v>
      </c>
      <c r="I12" s="127">
        <f t="shared" si="8"/>
        <v>6.4</v>
      </c>
      <c r="J12" s="127">
        <f t="shared" si="9"/>
        <v>12.450050000000001</v>
      </c>
      <c r="K12" s="124"/>
      <c r="O12" t="str">
        <f>A20</f>
        <v>P. Tuderek</v>
      </c>
      <c r="P12" s="125">
        <f>E20</f>
        <v>0.6</v>
      </c>
      <c r="Q12" s="125">
        <f t="shared" ref="Q12:S12" si="25">F20</f>
        <v>0.7</v>
      </c>
      <c r="R12" s="125">
        <f t="shared" si="25"/>
        <v>4</v>
      </c>
      <c r="S12" s="125">
        <f t="shared" si="25"/>
        <v>4.99</v>
      </c>
      <c r="V12" s="55" t="str">
        <f t="shared" si="11"/>
        <v>P. Tuderek</v>
      </c>
      <c r="W12" s="125">
        <f t="shared" si="12"/>
        <v>0.6</v>
      </c>
      <c r="X12" s="125">
        <f t="shared" si="13"/>
        <v>0.7</v>
      </c>
      <c r="Y12" s="125">
        <f t="shared" si="14"/>
        <v>4</v>
      </c>
      <c r="Z12" s="125">
        <f t="shared" si="15"/>
        <v>4.99</v>
      </c>
    </row>
    <row r="13" spans="1:26" x14ac:dyDescent="0.25">
      <c r="A13" s="322" t="str">
        <f>Plantilla!D14</f>
        <v>I. Stone</v>
      </c>
      <c r="B13" s="323">
        <f>Plantilla!E14</f>
        <v>18</v>
      </c>
      <c r="C13" s="323">
        <f>Plantilla!H14</f>
        <v>6</v>
      </c>
      <c r="D13" s="324">
        <f>Plantilla!I14</f>
        <v>1.2</v>
      </c>
      <c r="E13" s="325">
        <f t="shared" si="4"/>
        <v>1.2</v>
      </c>
      <c r="F13" s="325">
        <f t="shared" si="5"/>
        <v>1.3</v>
      </c>
      <c r="G13" s="325">
        <f t="shared" si="6"/>
        <v>6</v>
      </c>
      <c r="H13" s="325">
        <f t="shared" si="7"/>
        <v>6.99</v>
      </c>
      <c r="I13" s="326">
        <f t="shared" si="8"/>
        <v>43.199999999999996</v>
      </c>
      <c r="J13" s="326">
        <f t="shared" si="9"/>
        <v>63.518130000000006</v>
      </c>
      <c r="K13" s="124"/>
      <c r="O13" t="str">
        <f>A19</f>
        <v>V. Godoi</v>
      </c>
      <c r="P13" s="125">
        <f>E19</f>
        <v>4.5</v>
      </c>
      <c r="Q13" s="125">
        <f t="shared" ref="Q13:S13" si="26">F19</f>
        <v>4.5999999999999996</v>
      </c>
      <c r="R13" s="125">
        <f t="shared" si="26"/>
        <v>5</v>
      </c>
      <c r="S13" s="125">
        <f t="shared" si="26"/>
        <v>5.99</v>
      </c>
      <c r="V13" s="55" t="str">
        <f t="shared" si="11"/>
        <v>V. Godoi</v>
      </c>
      <c r="W13" s="125">
        <f t="shared" si="12"/>
        <v>4.5</v>
      </c>
      <c r="X13" s="125">
        <f t="shared" si="13"/>
        <v>4.5999999999999996</v>
      </c>
      <c r="Y13" s="125">
        <f t="shared" si="14"/>
        <v>5</v>
      </c>
      <c r="Z13" s="125">
        <f t="shared" si="15"/>
        <v>5.99</v>
      </c>
    </row>
    <row r="14" spans="1:26" x14ac:dyDescent="0.25">
      <c r="A14" s="128" t="str">
        <f>Plantilla!D15</f>
        <v>G. Piscaer</v>
      </c>
      <c r="B14" s="50">
        <f>Plantilla!E15</f>
        <v>18</v>
      </c>
      <c r="C14" s="50">
        <f>Plantilla!H15</f>
        <v>1</v>
      </c>
      <c r="D14" s="129">
        <f>Plantilla!I15</f>
        <v>1.8</v>
      </c>
      <c r="E14" s="123">
        <f t="shared" si="4"/>
        <v>1.8</v>
      </c>
      <c r="F14" s="123">
        <f t="shared" si="5"/>
        <v>1.9000000000000001</v>
      </c>
      <c r="G14" s="123">
        <f t="shared" si="6"/>
        <v>1</v>
      </c>
      <c r="H14" s="123">
        <f t="shared" si="7"/>
        <v>1.99</v>
      </c>
      <c r="I14" s="127">
        <f t="shared" si="8"/>
        <v>1.8</v>
      </c>
      <c r="J14" s="127">
        <f t="shared" si="9"/>
        <v>7.5241900000000008</v>
      </c>
      <c r="K14" s="124"/>
      <c r="P14" s="48">
        <f>SUM(P4:P13)/10</f>
        <v>5.9300000000000015</v>
      </c>
      <c r="Q14" s="48">
        <f>SUM(Q4:Q13)/10</f>
        <v>6.03</v>
      </c>
      <c r="R14" s="48"/>
      <c r="S14" s="48"/>
      <c r="W14" s="48">
        <f>SUM(W4:W13)/10</f>
        <v>5.9300000000000015</v>
      </c>
      <c r="X14" s="48">
        <f>SUM(X4:X13)/10</f>
        <v>6.03</v>
      </c>
      <c r="Y14" s="48"/>
      <c r="Z14" s="48"/>
    </row>
    <row r="15" spans="1:26" x14ac:dyDescent="0.25">
      <c r="A15" s="128" t="str">
        <f>Plantilla!D16</f>
        <v>M. Bondarewski</v>
      </c>
      <c r="B15" s="50">
        <f>Plantilla!E16</f>
        <v>18</v>
      </c>
      <c r="C15" s="50">
        <f>Plantilla!H16</f>
        <v>1</v>
      </c>
      <c r="D15" s="129">
        <f>Plantilla!I16</f>
        <v>1.6</v>
      </c>
      <c r="E15" s="123">
        <f t="shared" si="4"/>
        <v>1.6</v>
      </c>
      <c r="F15" s="123">
        <f t="shared" si="5"/>
        <v>1.7000000000000002</v>
      </c>
      <c r="G15" s="123">
        <f t="shared" si="6"/>
        <v>1</v>
      </c>
      <c r="H15" s="123">
        <f t="shared" si="7"/>
        <v>1.99</v>
      </c>
      <c r="I15" s="127">
        <f t="shared" si="8"/>
        <v>1.6</v>
      </c>
      <c r="J15" s="127">
        <f t="shared" si="9"/>
        <v>6.7321700000000009</v>
      </c>
      <c r="K15" s="124"/>
    </row>
    <row r="16" spans="1:26" x14ac:dyDescent="0.25">
      <c r="A16" s="128" t="str">
        <f>Plantilla!D17</f>
        <v>J. Vartiainen</v>
      </c>
      <c r="B16" s="50">
        <f>Plantilla!E17</f>
        <v>19</v>
      </c>
      <c r="C16" s="50">
        <f>Plantilla!H17</f>
        <v>4</v>
      </c>
      <c r="D16" s="129">
        <f>Plantilla!I17</f>
        <v>0.3</v>
      </c>
      <c r="E16" s="123">
        <f t="shared" si="4"/>
        <v>0.3</v>
      </c>
      <c r="F16" s="123">
        <f t="shared" si="5"/>
        <v>0.4</v>
      </c>
      <c r="G16" s="123">
        <f t="shared" si="6"/>
        <v>4</v>
      </c>
      <c r="H16" s="123">
        <f t="shared" si="7"/>
        <v>4.99</v>
      </c>
      <c r="I16" s="127">
        <f t="shared" si="8"/>
        <v>4.8</v>
      </c>
      <c r="J16" s="127">
        <f t="shared" si="9"/>
        <v>9.9600400000000011</v>
      </c>
      <c r="K16" s="124"/>
      <c r="L16" s="56" t="s">
        <v>236</v>
      </c>
      <c r="O16" t="s">
        <v>237</v>
      </c>
      <c r="P16" s="83">
        <f>SUM(P3:P13)</f>
        <v>82.999999999999986</v>
      </c>
      <c r="Q16" s="83">
        <f>SUM(Q3:Q13)</f>
        <v>84.1</v>
      </c>
      <c r="R16" s="83"/>
      <c r="V16" s="55" t="s">
        <v>237</v>
      </c>
      <c r="W16" s="83">
        <f>SUM(W3:W13)</f>
        <v>82.999999999999986</v>
      </c>
      <c r="X16" s="83">
        <f>SUM(X3:X13)</f>
        <v>84.1</v>
      </c>
      <c r="Y16" s="83"/>
    </row>
    <row r="17" spans="1:25" x14ac:dyDescent="0.25">
      <c r="A17" s="128" t="str">
        <f>Plantilla!D18</f>
        <v>R. Forsyth</v>
      </c>
      <c r="B17" s="50">
        <f>Plantilla!E18</f>
        <v>19</v>
      </c>
      <c r="C17" s="50">
        <f>Plantilla!H18</f>
        <v>4</v>
      </c>
      <c r="D17" s="129">
        <f>Plantilla!I18</f>
        <v>1.8</v>
      </c>
      <c r="E17" s="123">
        <f t="shared" si="4"/>
        <v>1.8</v>
      </c>
      <c r="F17" s="123">
        <f t="shared" si="5"/>
        <v>1.9000000000000001</v>
      </c>
      <c r="G17" s="123">
        <f t="shared" si="6"/>
        <v>4</v>
      </c>
      <c r="H17" s="123">
        <f t="shared" si="7"/>
        <v>4.99</v>
      </c>
      <c r="I17" s="127">
        <f t="shared" si="8"/>
        <v>28.8</v>
      </c>
      <c r="J17" s="127">
        <f t="shared" si="9"/>
        <v>47.310190000000006</v>
      </c>
      <c r="K17" s="124"/>
      <c r="O17" s="110" t="s">
        <v>393</v>
      </c>
      <c r="P17" s="48">
        <f>P16/16.5</f>
        <v>5.0303030303030294</v>
      </c>
      <c r="Q17" s="48">
        <f>Q16/16.5</f>
        <v>5.0969696969696967</v>
      </c>
      <c r="R17" s="48"/>
      <c r="V17" s="55" t="s">
        <v>238</v>
      </c>
      <c r="W17" s="48">
        <f>W16/17</f>
        <v>4.8823529411764701</v>
      </c>
      <c r="X17" s="48">
        <f>X16/17</f>
        <v>4.9470588235294111</v>
      </c>
      <c r="Y17" s="48"/>
    </row>
    <row r="18" spans="1:25" x14ac:dyDescent="0.25">
      <c r="A18" s="128" t="str">
        <f>Plantilla!D19</f>
        <v>M. Grupinski</v>
      </c>
      <c r="B18" s="50">
        <f>Plantilla!E19</f>
        <v>22</v>
      </c>
      <c r="C18" s="50">
        <f>Plantilla!H19</f>
        <v>5</v>
      </c>
      <c r="D18" s="129">
        <f>Plantilla!I19</f>
        <v>1.6</v>
      </c>
      <c r="E18" s="123">
        <f t="shared" si="4"/>
        <v>1.6</v>
      </c>
      <c r="F18" s="123">
        <f t="shared" si="5"/>
        <v>1.7000000000000002</v>
      </c>
      <c r="G18" s="123">
        <f t="shared" si="6"/>
        <v>5</v>
      </c>
      <c r="H18" s="123">
        <f t="shared" si="7"/>
        <v>5.99</v>
      </c>
      <c r="I18" s="127">
        <f t="shared" si="8"/>
        <v>40</v>
      </c>
      <c r="J18" s="127">
        <f t="shared" si="9"/>
        <v>60.996170000000014</v>
      </c>
      <c r="K18" s="124"/>
      <c r="L18" s="56" t="s">
        <v>239</v>
      </c>
      <c r="O18" s="69" t="s">
        <v>240</v>
      </c>
      <c r="P18" s="83">
        <f>R3^2</f>
        <v>36</v>
      </c>
      <c r="Q18" s="83">
        <f>S3^2</f>
        <v>48.860100000000003</v>
      </c>
      <c r="R18" s="83"/>
      <c r="V18" s="55" t="s">
        <v>240</v>
      </c>
      <c r="W18" s="83">
        <f>Y3^2</f>
        <v>36</v>
      </c>
      <c r="X18" s="83">
        <f>Z3^2</f>
        <v>48.860100000000003</v>
      </c>
      <c r="Y18" s="83"/>
    </row>
    <row r="19" spans="1:25" x14ac:dyDescent="0.25">
      <c r="A19" s="128" t="str">
        <f>Plantilla!D20</f>
        <v>V. Godoi</v>
      </c>
      <c r="B19" s="50">
        <f>Plantilla!E20</f>
        <v>25</v>
      </c>
      <c r="C19" s="50">
        <f>Plantilla!H20</f>
        <v>5</v>
      </c>
      <c r="D19" s="129">
        <f>Plantilla!I20</f>
        <v>4.5</v>
      </c>
      <c r="E19" s="123">
        <f t="shared" si="4"/>
        <v>4.5</v>
      </c>
      <c r="F19" s="123">
        <f t="shared" si="5"/>
        <v>4.5999999999999996</v>
      </c>
      <c r="G19" s="123">
        <f t="shared" si="6"/>
        <v>5</v>
      </c>
      <c r="H19" s="123">
        <f t="shared" si="7"/>
        <v>5.99</v>
      </c>
      <c r="I19" s="127">
        <f t="shared" si="8"/>
        <v>112.5</v>
      </c>
      <c r="J19" s="127">
        <f t="shared" si="9"/>
        <v>165.04846000000001</v>
      </c>
      <c r="K19" s="124"/>
      <c r="L19" s="56" t="s">
        <v>241</v>
      </c>
      <c r="O19" s="69" t="s">
        <v>242</v>
      </c>
      <c r="P19" s="83">
        <f>P18*P3</f>
        <v>853.19999999999993</v>
      </c>
      <c r="Q19" s="83">
        <f>Q18*Q3</f>
        <v>1162.8703800000001</v>
      </c>
      <c r="R19" s="83"/>
      <c r="V19" s="55" t="s">
        <v>242</v>
      </c>
      <c r="W19" s="83">
        <f>W18*W3</f>
        <v>853.19999999999993</v>
      </c>
      <c r="X19" s="83">
        <f>X18*X3</f>
        <v>1162.8703800000001</v>
      </c>
      <c r="Y19" s="83"/>
    </row>
    <row r="20" spans="1:25" x14ac:dyDescent="0.25">
      <c r="A20" s="128" t="str">
        <f>Plantilla!D21</f>
        <v>P. Tuderek</v>
      </c>
      <c r="B20" s="50">
        <f>Plantilla!E21</f>
        <v>18</v>
      </c>
      <c r="C20" s="50">
        <f>Plantilla!H21</f>
        <v>4</v>
      </c>
      <c r="D20" s="129">
        <f>Plantilla!I21</f>
        <v>0.6</v>
      </c>
      <c r="E20" s="123">
        <f t="shared" si="4"/>
        <v>0.6</v>
      </c>
      <c r="F20" s="123">
        <f t="shared" si="5"/>
        <v>0.7</v>
      </c>
      <c r="G20" s="123">
        <f t="shared" si="6"/>
        <v>4</v>
      </c>
      <c r="H20" s="123">
        <f t="shared" si="7"/>
        <v>4.99</v>
      </c>
      <c r="I20" s="127">
        <f t="shared" si="8"/>
        <v>9.6</v>
      </c>
      <c r="J20" s="127">
        <f t="shared" si="9"/>
        <v>17.430070000000001</v>
      </c>
      <c r="K20" s="124"/>
      <c r="L20" s="56" t="s">
        <v>243</v>
      </c>
      <c r="O20" s="110" t="s">
        <v>394</v>
      </c>
      <c r="P20" s="48">
        <f>(P19^(2/3))/27</f>
        <v>3.331732564718342</v>
      </c>
      <c r="Q20" s="48">
        <f>(Q19^(2/3))/27</f>
        <v>4.0956588516953847</v>
      </c>
      <c r="R20" s="48"/>
      <c r="V20" s="55" t="s">
        <v>244</v>
      </c>
      <c r="W20" s="48">
        <f>(W19^(2/3))/30</f>
        <v>2.9985593082465076</v>
      </c>
      <c r="X20" s="48">
        <f>(X19^(2/3))/30</f>
        <v>3.6860929665258464</v>
      </c>
      <c r="Y20" s="48"/>
    </row>
    <row r="21" spans="1:25" x14ac:dyDescent="0.25">
      <c r="A21" s="128" t="str">
        <f>Plantilla!D22</f>
        <v>G. Stoychev</v>
      </c>
      <c r="B21" s="50">
        <f>Plantilla!E22</f>
        <v>23</v>
      </c>
      <c r="C21" s="50">
        <f>Plantilla!H22</f>
        <v>3</v>
      </c>
      <c r="D21" s="129">
        <f>Plantilla!I22</f>
        <v>3.7</v>
      </c>
      <c r="E21" s="123">
        <f t="shared" si="4"/>
        <v>3.7</v>
      </c>
      <c r="F21" s="123">
        <f t="shared" si="5"/>
        <v>3.8000000000000003</v>
      </c>
      <c r="G21" s="123">
        <f t="shared" si="6"/>
        <v>3</v>
      </c>
      <c r="H21" s="123">
        <f t="shared" si="7"/>
        <v>3.99</v>
      </c>
      <c r="I21" s="127">
        <f t="shared" si="8"/>
        <v>33.300000000000004</v>
      </c>
      <c r="J21" s="127">
        <f t="shared" si="9"/>
        <v>60.496380000000009</v>
      </c>
      <c r="K21" s="124"/>
      <c r="L21" s="56" t="s">
        <v>245</v>
      </c>
      <c r="O21" s="55" t="s">
        <v>246</v>
      </c>
      <c r="P21" s="300">
        <f>P17+P20</f>
        <v>8.3620355950213714</v>
      </c>
      <c r="Q21" s="300">
        <f>Q17+Q20</f>
        <v>9.1926285486650805</v>
      </c>
      <c r="V21" s="55" t="s">
        <v>246</v>
      </c>
      <c r="W21" s="300">
        <f>W17+W20</f>
        <v>7.8809122494229777</v>
      </c>
      <c r="X21" s="300">
        <f>X17+X20</f>
        <v>8.6331517900552583</v>
      </c>
    </row>
    <row r="22" spans="1:25" x14ac:dyDescent="0.25">
      <c r="A22" s="128" t="str">
        <f>Plantilla!D23</f>
        <v>K. Helms</v>
      </c>
      <c r="B22" s="50">
        <f>Plantilla!E23</f>
        <v>35</v>
      </c>
      <c r="C22" s="50">
        <f>Plantilla!H23</f>
        <v>2</v>
      </c>
      <c r="D22" s="129">
        <f>Plantilla!I23</f>
        <v>13.5</v>
      </c>
      <c r="E22" s="123">
        <f t="shared" si="4"/>
        <v>13.5</v>
      </c>
      <c r="F22" s="123">
        <f t="shared" si="5"/>
        <v>13.6</v>
      </c>
      <c r="G22" s="123">
        <f t="shared" si="6"/>
        <v>2</v>
      </c>
      <c r="H22" s="123">
        <f t="shared" si="7"/>
        <v>2.99</v>
      </c>
      <c r="I22" s="127">
        <f t="shared" si="8"/>
        <v>54</v>
      </c>
      <c r="J22" s="127">
        <f t="shared" si="9"/>
        <v>121.58536000000001</v>
      </c>
      <c r="K22" s="124"/>
      <c r="L22" t="s">
        <v>247</v>
      </c>
    </row>
    <row r="23" spans="1:25" x14ac:dyDescent="0.25">
      <c r="A23" s="128" t="str">
        <f>Plantilla!D24</f>
        <v>S. Zobbe</v>
      </c>
      <c r="B23" s="50">
        <f>Plantilla!E24</f>
        <v>32</v>
      </c>
      <c r="C23" s="50">
        <f>Plantilla!H24</f>
        <v>2</v>
      </c>
      <c r="D23" s="129">
        <f>Plantilla!I24</f>
        <v>13</v>
      </c>
      <c r="E23" s="123">
        <f t="shared" si="4"/>
        <v>13</v>
      </c>
      <c r="F23" s="123">
        <f t="shared" si="5"/>
        <v>13.1</v>
      </c>
      <c r="G23" s="123">
        <f t="shared" si="6"/>
        <v>2</v>
      </c>
      <c r="H23" s="123">
        <f t="shared" si="7"/>
        <v>2.99</v>
      </c>
      <c r="I23" s="127">
        <f t="shared" si="8"/>
        <v>52</v>
      </c>
      <c r="J23" s="127">
        <f t="shared" si="9"/>
        <v>117.11531000000001</v>
      </c>
      <c r="K23" s="124"/>
      <c r="O23" s="87">
        <v>42576</v>
      </c>
      <c r="P23">
        <v>6.76</v>
      </c>
      <c r="Q23">
        <v>6.99</v>
      </c>
      <c r="R23" t="s">
        <v>368</v>
      </c>
      <c r="W23" s="48"/>
    </row>
    <row r="24" spans="1:25" x14ac:dyDescent="0.25">
      <c r="A24" s="128" t="str">
        <f>Plantilla!D25</f>
        <v>L. Bauman</v>
      </c>
      <c r="B24" s="50">
        <f>Plantilla!E25</f>
        <v>35</v>
      </c>
      <c r="C24" s="50">
        <f>Plantilla!H25</f>
        <v>0</v>
      </c>
      <c r="D24" s="129">
        <f>Plantilla!I25</f>
        <v>12</v>
      </c>
      <c r="E24" s="123">
        <f t="shared" si="4"/>
        <v>12</v>
      </c>
      <c r="F24" s="123">
        <f t="shared" si="5"/>
        <v>12.1</v>
      </c>
      <c r="G24" s="123">
        <f t="shared" si="6"/>
        <v>0</v>
      </c>
      <c r="H24" s="123">
        <f t="shared" si="7"/>
        <v>0.99</v>
      </c>
      <c r="I24" s="127">
        <f t="shared" si="8"/>
        <v>0</v>
      </c>
      <c r="J24" s="127">
        <f t="shared" si="9"/>
        <v>11.859209999999999</v>
      </c>
    </row>
    <row r="25" spans="1:25" x14ac:dyDescent="0.25">
      <c r="A25" s="128" t="str">
        <f>Plantilla!D26</f>
        <v>J. Limon</v>
      </c>
      <c r="B25" s="50">
        <f>Plantilla!E26</f>
        <v>34</v>
      </c>
      <c r="C25" s="50">
        <f>Plantilla!H26</f>
        <v>3</v>
      </c>
      <c r="D25" s="129">
        <f>Plantilla!I26</f>
        <v>14.3</v>
      </c>
      <c r="E25" s="123">
        <f t="shared" si="4"/>
        <v>14.3</v>
      </c>
      <c r="F25" s="123">
        <f t="shared" si="5"/>
        <v>14.4</v>
      </c>
      <c r="G25" s="123">
        <f t="shared" si="6"/>
        <v>3</v>
      </c>
      <c r="H25" s="123">
        <f t="shared" si="7"/>
        <v>3.99</v>
      </c>
      <c r="I25" s="127">
        <f t="shared" si="8"/>
        <v>128.70000000000002</v>
      </c>
      <c r="J25" s="127">
        <f t="shared" si="9"/>
        <v>229.24944000000002</v>
      </c>
      <c r="V25"/>
    </row>
    <row r="26" spans="1:25" x14ac:dyDescent="0.25">
      <c r="A26" s="128" t="str">
        <f>Plantilla!D27</f>
        <v>P .Trivadi</v>
      </c>
      <c r="B26" s="50">
        <f>Plantilla!E27</f>
        <v>32</v>
      </c>
      <c r="C26" s="50">
        <f>Plantilla!H27</f>
        <v>5</v>
      </c>
      <c r="D26" s="129">
        <f>Plantilla!I27</f>
        <v>6.2</v>
      </c>
      <c r="E26" s="123">
        <f t="shared" si="4"/>
        <v>6.2</v>
      </c>
      <c r="F26" s="123">
        <f t="shared" si="5"/>
        <v>6.3</v>
      </c>
      <c r="G26" s="123">
        <f t="shared" si="6"/>
        <v>5</v>
      </c>
      <c r="H26" s="123">
        <f t="shared" si="7"/>
        <v>5.99</v>
      </c>
      <c r="I26" s="127">
        <f t="shared" si="8"/>
        <v>155</v>
      </c>
      <c r="J26" s="127">
        <f t="shared" si="9"/>
        <v>226.04463000000004</v>
      </c>
      <c r="V26"/>
    </row>
    <row r="27" spans="1:25" x14ac:dyDescent="0.25">
      <c r="V27"/>
    </row>
  </sheetData>
  <conditionalFormatting sqref="I3:J26">
    <cfRule type="cellIs" dxfId="18" priority="1" operator="between">
      <formula>70</formula>
      <formula>100</formula>
    </cfRule>
    <cfRule type="cellIs" dxfId="17" priority="2" operator="greaterThan">
      <formula>100</formula>
    </cfRule>
  </conditionalFormatting>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7" tint="0.79998168889431442"/>
  </sheetPr>
  <dimension ref="A1:V45"/>
  <sheetViews>
    <sheetView workbookViewId="0">
      <selection activeCell="M38" sqref="M38"/>
    </sheetView>
  </sheetViews>
  <sheetFormatPr baseColWidth="10" defaultColWidth="11.42578125" defaultRowHeight="15" x14ac:dyDescent="0.25"/>
  <cols>
    <col min="1" max="1" width="17.140625" bestFit="1" customWidth="1"/>
    <col min="2" max="3" width="17.7109375" bestFit="1" customWidth="1"/>
    <col min="4" max="4" width="22.42578125" bestFit="1" customWidth="1"/>
    <col min="5" max="5" width="5.5703125" bestFit="1" customWidth="1"/>
    <col min="6" max="6" width="4.5703125" bestFit="1" customWidth="1"/>
    <col min="7" max="7" width="3.7109375" bestFit="1" customWidth="1"/>
    <col min="8" max="8" width="4.5703125" bestFit="1" customWidth="1"/>
    <col min="9" max="9" width="5.28515625" bestFit="1" customWidth="1"/>
    <col min="10" max="10" width="5.85546875" bestFit="1" customWidth="1"/>
    <col min="11" max="11" width="6" bestFit="1" customWidth="1"/>
    <col min="12" max="12" width="5" bestFit="1" customWidth="1"/>
    <col min="13" max="13" width="13.42578125" style="150" bestFit="1" customWidth="1"/>
    <col min="14" max="14" width="21.5703125" style="150" bestFit="1" customWidth="1"/>
    <col min="15" max="15" width="14" style="182" bestFit="1" customWidth="1"/>
    <col min="16" max="16" width="13" style="150" bestFit="1" customWidth="1"/>
    <col min="17" max="17" width="10.42578125" style="150" bestFit="1" customWidth="1"/>
    <col min="18" max="18" width="10.28515625" style="150" bestFit="1" customWidth="1"/>
    <col min="19" max="19" width="21" style="150" bestFit="1" customWidth="1"/>
    <col min="20" max="20" width="12" style="150" bestFit="1" customWidth="1"/>
    <col min="21" max="21" width="16.85546875" style="150" bestFit="1" customWidth="1"/>
    <col min="22" max="22" width="16.7109375" bestFit="1" customWidth="1"/>
  </cols>
  <sheetData>
    <row r="1" spans="1:22" x14ac:dyDescent="0.25">
      <c r="A1" s="94" t="s">
        <v>180</v>
      </c>
      <c r="B1" s="94" t="s">
        <v>100</v>
      </c>
      <c r="C1" s="95" t="s">
        <v>195</v>
      </c>
      <c r="D1" s="96" t="s">
        <v>71</v>
      </c>
      <c r="E1" s="94" t="s">
        <v>72</v>
      </c>
      <c r="F1" s="94" t="s">
        <v>74</v>
      </c>
      <c r="G1" s="94" t="s">
        <v>75</v>
      </c>
      <c r="H1" s="94" t="s">
        <v>68</v>
      </c>
      <c r="I1" s="97" t="s">
        <v>103</v>
      </c>
      <c r="J1" s="97" t="s">
        <v>104</v>
      </c>
      <c r="K1" s="94" t="s">
        <v>73</v>
      </c>
      <c r="L1" s="94" t="s">
        <v>90</v>
      </c>
      <c r="M1" s="151" t="s">
        <v>270</v>
      </c>
      <c r="N1" s="151" t="s">
        <v>271</v>
      </c>
      <c r="O1" s="151" t="s">
        <v>302</v>
      </c>
      <c r="P1" s="151" t="s">
        <v>268</v>
      </c>
      <c r="Q1" s="151" t="s">
        <v>274</v>
      </c>
      <c r="R1" s="151" t="s">
        <v>275</v>
      </c>
      <c r="S1" s="151" t="s">
        <v>269</v>
      </c>
      <c r="T1" s="151" t="s">
        <v>249</v>
      </c>
      <c r="U1" s="151" t="s">
        <v>272</v>
      </c>
      <c r="V1" s="151" t="s">
        <v>273</v>
      </c>
    </row>
    <row r="2" spans="1:22" x14ac:dyDescent="0.25">
      <c r="A2" s="93"/>
      <c r="B2" s="93" t="s">
        <v>182</v>
      </c>
      <c r="C2" s="93"/>
      <c r="D2" s="90" t="s">
        <v>168</v>
      </c>
      <c r="E2" s="57">
        <v>42</v>
      </c>
      <c r="F2" s="80" t="s">
        <v>220</v>
      </c>
      <c r="G2" s="130">
        <v>3</v>
      </c>
      <c r="H2" s="59">
        <v>16.004000000000001</v>
      </c>
      <c r="I2" s="98">
        <f>(G2)*(G2)*(H2)</f>
        <v>144.036</v>
      </c>
      <c r="J2" s="98">
        <f>(G2+1)*(G2+1)*H2</f>
        <v>256.06400000000002</v>
      </c>
      <c r="K2" s="91">
        <v>0</v>
      </c>
      <c r="L2" s="91">
        <v>300</v>
      </c>
      <c r="M2" s="152">
        <v>41576</v>
      </c>
      <c r="N2" s="152">
        <v>41731</v>
      </c>
      <c r="O2" s="152">
        <v>42305</v>
      </c>
      <c r="P2" s="63">
        <v>772000</v>
      </c>
      <c r="Q2" s="63">
        <f>((N2-M2)/7)*L2</f>
        <v>6642.8571428571431</v>
      </c>
      <c r="R2" s="63">
        <f ca="1">((TODAY()-N2)/7)*L2</f>
        <v>82542.857142857145</v>
      </c>
      <c r="S2" s="63">
        <v>2068800</v>
      </c>
      <c r="T2" s="63">
        <f ca="1">S2+Q2+P2+R2</f>
        <v>2929985.7142857146</v>
      </c>
      <c r="U2" s="67">
        <f ca="1">T2/((O2-N2)/112)</f>
        <v>571704.52961672482</v>
      </c>
      <c r="V2" s="49">
        <f>(O2-N2)/112</f>
        <v>5.125</v>
      </c>
    </row>
    <row r="3" spans="1:22" x14ac:dyDescent="0.25">
      <c r="A3" s="94" t="s">
        <v>180</v>
      </c>
      <c r="B3" s="94" t="s">
        <v>100</v>
      </c>
      <c r="C3" s="95" t="s">
        <v>195</v>
      </c>
      <c r="D3" s="96" t="s">
        <v>71</v>
      </c>
      <c r="E3" s="94" t="s">
        <v>72</v>
      </c>
      <c r="F3" s="94" t="s">
        <v>74</v>
      </c>
      <c r="G3" s="94" t="s">
        <v>75</v>
      </c>
      <c r="H3" s="94" t="s">
        <v>68</v>
      </c>
      <c r="I3" s="97" t="s">
        <v>103</v>
      </c>
      <c r="J3" s="97" t="s">
        <v>104</v>
      </c>
      <c r="K3" s="94" t="s">
        <v>73</v>
      </c>
      <c r="L3" s="94" t="s">
        <v>90</v>
      </c>
      <c r="M3" s="151" t="s">
        <v>270</v>
      </c>
      <c r="N3" s="151" t="s">
        <v>271</v>
      </c>
      <c r="O3" s="151" t="s">
        <v>302</v>
      </c>
      <c r="P3" s="151" t="s">
        <v>268</v>
      </c>
      <c r="Q3" s="151" t="s">
        <v>274</v>
      </c>
      <c r="R3" s="151" t="s">
        <v>275</v>
      </c>
      <c r="S3" s="151" t="s">
        <v>269</v>
      </c>
      <c r="T3" s="151" t="s">
        <v>249</v>
      </c>
      <c r="U3" s="151" t="s">
        <v>272</v>
      </c>
      <c r="V3" s="151" t="s">
        <v>273</v>
      </c>
    </row>
    <row r="4" spans="1:22" x14ac:dyDescent="0.25">
      <c r="A4" s="93"/>
      <c r="B4" s="93" t="s">
        <v>182</v>
      </c>
      <c r="C4" s="93"/>
      <c r="D4" s="90" t="s">
        <v>252</v>
      </c>
      <c r="E4" s="57">
        <v>44</v>
      </c>
      <c r="F4" s="80" t="s">
        <v>220</v>
      </c>
      <c r="G4" s="130">
        <v>5</v>
      </c>
      <c r="H4" s="59">
        <v>16.109000000000002</v>
      </c>
      <c r="I4" s="98">
        <f t="shared" ref="I4" si="0">(G4)*(G4)*(H4)</f>
        <v>402.72500000000002</v>
      </c>
      <c r="J4" s="98">
        <f t="shared" ref="J4" si="1">(G4+1)*(G4+1)*H4</f>
        <v>579.92400000000009</v>
      </c>
      <c r="K4" s="91">
        <v>0</v>
      </c>
      <c r="L4" s="91">
        <v>300</v>
      </c>
      <c r="M4" s="152">
        <v>41976</v>
      </c>
      <c r="N4" s="152">
        <v>42305</v>
      </c>
      <c r="O4" s="152">
        <v>42908</v>
      </c>
      <c r="P4" s="63">
        <v>1052640</v>
      </c>
      <c r="Q4" s="63">
        <f>((N4-M4)/7)*L4</f>
        <v>14100</v>
      </c>
      <c r="R4" s="63">
        <f ca="1">((TODAY()-N4)/7)*L4</f>
        <v>57942.857142857145</v>
      </c>
      <c r="S4" s="63">
        <v>2059800</v>
      </c>
      <c r="T4" s="63">
        <f>S4+Q4+P4</f>
        <v>3126540</v>
      </c>
      <c r="U4" s="67">
        <f>T4/((O4-N4)/112)</f>
        <v>580717.21393034828</v>
      </c>
      <c r="V4" s="49">
        <f ca="1">(A7-N4)/112</f>
        <v>12.071428571428571</v>
      </c>
    </row>
    <row r="5" spans="1:22" x14ac:dyDescent="0.25">
      <c r="M5" s="182"/>
      <c r="N5" s="182"/>
      <c r="O5" s="265"/>
      <c r="P5" s="182"/>
      <c r="Q5" s="182"/>
      <c r="R5" s="182"/>
      <c r="S5" s="182"/>
      <c r="T5" s="182"/>
      <c r="U5" s="182"/>
    </row>
    <row r="6" spans="1:22" x14ac:dyDescent="0.25">
      <c r="M6" s="182"/>
      <c r="N6" s="182"/>
      <c r="P6" s="182"/>
      <c r="Q6" s="182"/>
      <c r="R6" s="182"/>
      <c r="S6" s="182"/>
      <c r="T6" s="182"/>
      <c r="U6" s="182"/>
    </row>
    <row r="7" spans="1:22" x14ac:dyDescent="0.25">
      <c r="A7" s="53">
        <f ca="1">TODAY()</f>
        <v>43657</v>
      </c>
    </row>
    <row r="8" spans="1:22" x14ac:dyDescent="0.25">
      <c r="A8" s="53">
        <v>41757</v>
      </c>
    </row>
    <row r="9" spans="1:22" x14ac:dyDescent="0.25">
      <c r="A9" s="55">
        <f ca="1">A7-A8</f>
        <v>1900</v>
      </c>
    </row>
    <row r="10" spans="1:22" x14ac:dyDescent="0.25">
      <c r="A10" s="149">
        <f ca="1">A9/112</f>
        <v>16.964285714285715</v>
      </c>
    </row>
    <row r="12" spans="1:22" x14ac:dyDescent="0.25">
      <c r="A12" s="94" t="s">
        <v>180</v>
      </c>
      <c r="B12" s="94" t="s">
        <v>100</v>
      </c>
      <c r="C12" s="95" t="s">
        <v>195</v>
      </c>
      <c r="D12" s="96" t="s">
        <v>71</v>
      </c>
      <c r="E12" s="94" t="s">
        <v>72</v>
      </c>
      <c r="F12" s="94" t="s">
        <v>74</v>
      </c>
      <c r="G12" s="94" t="s">
        <v>75</v>
      </c>
      <c r="H12" s="94" t="s">
        <v>68</v>
      </c>
      <c r="I12" s="97" t="s">
        <v>103</v>
      </c>
      <c r="J12" s="97" t="s">
        <v>104</v>
      </c>
      <c r="K12" s="94" t="s">
        <v>73</v>
      </c>
      <c r="L12" s="94" t="s">
        <v>90</v>
      </c>
      <c r="M12" s="151" t="s">
        <v>270</v>
      </c>
      <c r="N12" s="151" t="s">
        <v>271</v>
      </c>
      <c r="O12" s="151" t="s">
        <v>302</v>
      </c>
      <c r="P12" s="151" t="s">
        <v>268</v>
      </c>
      <c r="Q12" s="151" t="s">
        <v>274</v>
      </c>
      <c r="R12" s="151" t="s">
        <v>275</v>
      </c>
      <c r="S12" s="151" t="s">
        <v>269</v>
      </c>
      <c r="T12" s="151" t="s">
        <v>249</v>
      </c>
      <c r="U12" s="151" t="s">
        <v>272</v>
      </c>
      <c r="V12" s="151" t="s">
        <v>273</v>
      </c>
    </row>
    <row r="13" spans="1:22" x14ac:dyDescent="0.25">
      <c r="D13" s="90" t="s">
        <v>379</v>
      </c>
      <c r="E13" s="57">
        <v>39</v>
      </c>
      <c r="F13" s="80"/>
      <c r="G13" s="130">
        <v>6</v>
      </c>
      <c r="H13" s="59">
        <v>13</v>
      </c>
      <c r="I13" s="98">
        <f t="shared" ref="I13" si="2">(G13)*(G13)*(H13)</f>
        <v>468</v>
      </c>
      <c r="J13" s="98">
        <f t="shared" ref="J13" si="3">(G13+1)*(G13+1)*H13</f>
        <v>637</v>
      </c>
      <c r="K13" s="91">
        <v>1130</v>
      </c>
      <c r="L13" s="91">
        <v>864</v>
      </c>
      <c r="M13" s="152">
        <v>42628</v>
      </c>
      <c r="N13" s="152">
        <f>O4</f>
        <v>42908</v>
      </c>
      <c r="O13" s="152">
        <f ca="1">TODAY()</f>
        <v>43657</v>
      </c>
      <c r="P13" s="267">
        <v>1800000</v>
      </c>
      <c r="Q13" s="63">
        <v>372</v>
      </c>
      <c r="R13" s="63">
        <f t="shared" ref="R13" ca="1" si="4">((TODAY()-N13)/7)*L13</f>
        <v>92448</v>
      </c>
      <c r="S13" s="267">
        <v>2553000</v>
      </c>
      <c r="T13" s="63">
        <f t="shared" ref="T13" si="5">S13+Q13+P13</f>
        <v>4353372</v>
      </c>
      <c r="U13" s="67">
        <f t="shared" ref="U13" ca="1" si="6">T13/((O13-N13)/112)</f>
        <v>650971.51401869161</v>
      </c>
      <c r="V13" s="49">
        <v>7</v>
      </c>
    </row>
    <row r="16" spans="1:22" x14ac:dyDescent="0.25">
      <c r="N16" s="305"/>
    </row>
    <row r="17" spans="1:22" ht="18" x14ac:dyDescent="0.25">
      <c r="A17" s="253">
        <v>42908</v>
      </c>
      <c r="B17" s="87"/>
      <c r="C17">
        <v>112</v>
      </c>
      <c r="D17">
        <v>0</v>
      </c>
    </row>
    <row r="18" spans="1:22" x14ac:dyDescent="0.25">
      <c r="A18" s="87">
        <f ca="1">TODAY()</f>
        <v>43657</v>
      </c>
      <c r="B18" s="87"/>
      <c r="C18">
        <v>400</v>
      </c>
      <c r="D18">
        <v>1</v>
      </c>
    </row>
    <row r="19" spans="1:22" x14ac:dyDescent="0.25">
      <c r="A19">
        <f ca="1">A18-A17</f>
        <v>749</v>
      </c>
      <c r="C19">
        <f>C18-C17</f>
        <v>288</v>
      </c>
      <c r="D19" s="254">
        <f ca="1">(A19-C17)/C19</f>
        <v>2.2118055555555554</v>
      </c>
    </row>
    <row r="20" spans="1:22" x14ac:dyDescent="0.25">
      <c r="D20" t="s">
        <v>388</v>
      </c>
    </row>
    <row r="24" spans="1:22" x14ac:dyDescent="0.25">
      <c r="A24" s="94" t="s">
        <v>180</v>
      </c>
      <c r="B24" s="94" t="s">
        <v>100</v>
      </c>
      <c r="C24" s="95" t="s">
        <v>195</v>
      </c>
      <c r="D24" s="96" t="s">
        <v>71</v>
      </c>
      <c r="E24" s="94" t="s">
        <v>72</v>
      </c>
      <c r="F24" s="94" t="s">
        <v>74</v>
      </c>
      <c r="G24" s="94" t="s">
        <v>75</v>
      </c>
      <c r="H24" s="94" t="s">
        <v>68</v>
      </c>
      <c r="I24" s="97" t="s">
        <v>103</v>
      </c>
      <c r="J24" s="97" t="s">
        <v>104</v>
      </c>
      <c r="K24" s="94" t="s">
        <v>73</v>
      </c>
      <c r="L24" s="94" t="s">
        <v>90</v>
      </c>
      <c r="M24" s="151" t="s">
        <v>270</v>
      </c>
      <c r="N24" s="151" t="s">
        <v>271</v>
      </c>
      <c r="O24" s="151" t="s">
        <v>302</v>
      </c>
      <c r="P24" s="151" t="s">
        <v>268</v>
      </c>
      <c r="Q24" s="151" t="s">
        <v>274</v>
      </c>
      <c r="R24" s="151" t="s">
        <v>275</v>
      </c>
      <c r="S24" s="151" t="s">
        <v>269</v>
      </c>
      <c r="T24" s="151" t="s">
        <v>249</v>
      </c>
      <c r="U24" s="151" t="s">
        <v>272</v>
      </c>
      <c r="V24" s="151" t="s">
        <v>273</v>
      </c>
    </row>
    <row r="28" spans="1:22" ht="19.5" x14ac:dyDescent="0.25">
      <c r="A28" s="689" t="s">
        <v>108</v>
      </c>
      <c r="B28" s="689"/>
      <c r="C28" s="689"/>
      <c r="D28" s="689"/>
    </row>
    <row r="29" spans="1:22" x14ac:dyDescent="0.25">
      <c r="A29" s="690" t="s">
        <v>92</v>
      </c>
      <c r="B29" s="691" t="s">
        <v>109</v>
      </c>
      <c r="C29" s="691" t="s">
        <v>110</v>
      </c>
      <c r="D29" s="691" t="s">
        <v>111</v>
      </c>
    </row>
    <row r="30" spans="1:22" x14ac:dyDescent="0.25">
      <c r="A30" s="690"/>
      <c r="B30" s="691"/>
      <c r="C30" s="691"/>
      <c r="D30" s="691"/>
    </row>
    <row r="31" spans="1:22" x14ac:dyDescent="0.25">
      <c r="A31" s="64" t="s">
        <v>109</v>
      </c>
      <c r="B31" s="65" t="s">
        <v>112</v>
      </c>
      <c r="C31" s="65" t="s">
        <v>113</v>
      </c>
      <c r="D31" s="65" t="s">
        <v>113</v>
      </c>
    </row>
    <row r="32" spans="1:22" x14ac:dyDescent="0.25">
      <c r="A32" s="266" t="s">
        <v>110</v>
      </c>
      <c r="B32" s="66" t="s">
        <v>114</v>
      </c>
      <c r="C32" s="66" t="s">
        <v>115</v>
      </c>
      <c r="D32" s="66" t="s">
        <v>113</v>
      </c>
    </row>
    <row r="33" spans="1:4" x14ac:dyDescent="0.25">
      <c r="A33" s="64" t="s">
        <v>111</v>
      </c>
      <c r="B33" s="65" t="s">
        <v>116</v>
      </c>
      <c r="C33" s="65" t="s">
        <v>117</v>
      </c>
      <c r="D33" s="65" t="s">
        <v>118</v>
      </c>
    </row>
    <row r="34" spans="1:4" x14ac:dyDescent="0.25">
      <c r="A34" s="266" t="s">
        <v>119</v>
      </c>
      <c r="B34" s="66" t="s">
        <v>120</v>
      </c>
      <c r="C34" s="66" t="s">
        <v>121</v>
      </c>
      <c r="D34" s="66" t="s">
        <v>122</v>
      </c>
    </row>
    <row r="35" spans="1:4" x14ac:dyDescent="0.25">
      <c r="A35" s="64" t="s">
        <v>123</v>
      </c>
      <c r="B35" s="65" t="s">
        <v>124</v>
      </c>
      <c r="C35" s="65" t="s">
        <v>125</v>
      </c>
      <c r="D35" s="65" t="s">
        <v>126</v>
      </c>
    </row>
    <row r="36" spans="1:4" x14ac:dyDescent="0.25">
      <c r="A36" s="266" t="s">
        <v>127</v>
      </c>
      <c r="B36" s="66" t="s">
        <v>128</v>
      </c>
      <c r="C36" s="66" t="s">
        <v>129</v>
      </c>
      <c r="D36" s="66" t="s">
        <v>130</v>
      </c>
    </row>
    <row r="37" spans="1:4" x14ac:dyDescent="0.25">
      <c r="A37" s="64" t="s">
        <v>131</v>
      </c>
      <c r="B37" s="65" t="s">
        <v>132</v>
      </c>
      <c r="C37" s="65" t="s">
        <v>133</v>
      </c>
      <c r="D37" s="65" t="s">
        <v>134</v>
      </c>
    </row>
    <row r="38" spans="1:4" x14ac:dyDescent="0.25">
      <c r="A38" s="266" t="s">
        <v>135</v>
      </c>
      <c r="B38" s="66" t="s">
        <v>136</v>
      </c>
      <c r="C38" s="66" t="s">
        <v>137</v>
      </c>
      <c r="D38" s="66" t="s">
        <v>138</v>
      </c>
    </row>
    <row r="39" spans="1:4" x14ac:dyDescent="0.25">
      <c r="A39" s="64" t="s">
        <v>139</v>
      </c>
      <c r="B39" s="65" t="s">
        <v>140</v>
      </c>
      <c r="C39" s="65" t="s">
        <v>141</v>
      </c>
      <c r="D39" s="65" t="s">
        <v>142</v>
      </c>
    </row>
    <row r="40" spans="1:4" x14ac:dyDescent="0.25">
      <c r="A40" s="266" t="s">
        <v>143</v>
      </c>
      <c r="B40" s="66" t="s">
        <v>144</v>
      </c>
      <c r="C40" s="66" t="s">
        <v>145</v>
      </c>
      <c r="D40" s="66" t="s">
        <v>146</v>
      </c>
    </row>
    <row r="41" spans="1:4" x14ac:dyDescent="0.25">
      <c r="A41" s="64" t="s">
        <v>147</v>
      </c>
      <c r="B41" s="65" t="s">
        <v>148</v>
      </c>
      <c r="C41" s="65" t="s">
        <v>149</v>
      </c>
      <c r="D41" s="65" t="s">
        <v>150</v>
      </c>
    </row>
    <row r="42" spans="1:4" x14ac:dyDescent="0.25">
      <c r="A42" s="266" t="s">
        <v>151</v>
      </c>
      <c r="B42" s="66" t="s">
        <v>152</v>
      </c>
      <c r="C42" s="66" t="s">
        <v>153</v>
      </c>
      <c r="D42" s="66" t="s">
        <v>154</v>
      </c>
    </row>
    <row r="43" spans="1:4" x14ac:dyDescent="0.25">
      <c r="A43" s="64" t="s">
        <v>155</v>
      </c>
      <c r="B43" s="65" t="s">
        <v>156</v>
      </c>
      <c r="C43" s="65" t="s">
        <v>157</v>
      </c>
      <c r="D43" s="65" t="s">
        <v>158</v>
      </c>
    </row>
    <row r="44" spans="1:4" x14ac:dyDescent="0.25">
      <c r="A44" s="266" t="s">
        <v>159</v>
      </c>
      <c r="B44" s="66" t="s">
        <v>160</v>
      </c>
      <c r="C44" s="66" t="s">
        <v>161</v>
      </c>
      <c r="D44" s="66" t="s">
        <v>162</v>
      </c>
    </row>
    <row r="45" spans="1:4" x14ac:dyDescent="0.25">
      <c r="A45" s="64" t="s">
        <v>163</v>
      </c>
      <c r="B45" s="65" t="s">
        <v>164</v>
      </c>
      <c r="C45" s="65" t="s">
        <v>165</v>
      </c>
      <c r="D45" s="65" t="s">
        <v>166</v>
      </c>
    </row>
  </sheetData>
  <mergeCells count="5">
    <mergeCell ref="A28:D28"/>
    <mergeCell ref="A29:A30"/>
    <mergeCell ref="B29:B30"/>
    <mergeCell ref="C29:C30"/>
    <mergeCell ref="D29:D30"/>
  </mergeCells>
  <conditionalFormatting sqref="C4">
    <cfRule type="colorScale" priority="32">
      <colorScale>
        <cfvo type="min"/>
        <cfvo type="max"/>
        <color rgb="FFFFEF9C"/>
        <color rgb="FF63BE7B"/>
      </colorScale>
    </cfRule>
  </conditionalFormatting>
  <conditionalFormatting sqref="L4">
    <cfRule type="dataBar" priority="34">
      <dataBar>
        <cfvo type="min"/>
        <cfvo type="max"/>
        <color rgb="FFFF555A"/>
      </dataBar>
    </cfRule>
  </conditionalFormatting>
  <conditionalFormatting sqref="K4">
    <cfRule type="dataBar" priority="35">
      <dataBar>
        <cfvo type="min"/>
        <cfvo type="max"/>
        <color rgb="FF63C384"/>
      </dataBar>
    </cfRule>
  </conditionalFormatting>
  <conditionalFormatting sqref="C2">
    <cfRule type="colorScale" priority="151">
      <colorScale>
        <cfvo type="min"/>
        <cfvo type="max"/>
        <color rgb="FFFFEF9C"/>
        <color rgb="FF63BE7B"/>
      </colorScale>
    </cfRule>
  </conditionalFormatting>
  <conditionalFormatting sqref="L2">
    <cfRule type="dataBar" priority="153">
      <dataBar>
        <cfvo type="min"/>
        <cfvo type="max"/>
        <color rgb="FFFF555A"/>
      </dataBar>
    </cfRule>
  </conditionalFormatting>
  <conditionalFormatting sqref="K2">
    <cfRule type="dataBar" priority="154">
      <dataBar>
        <cfvo type="min"/>
        <cfvo type="max"/>
        <color rgb="FF63C384"/>
      </dataBar>
    </cfRule>
  </conditionalFormatting>
  <conditionalFormatting sqref="M2:O2">
    <cfRule type="colorScale" priority="157">
      <colorScale>
        <cfvo type="min"/>
        <cfvo type="max"/>
        <color rgb="FFFFEF9C"/>
        <color rgb="FFFF7128"/>
      </colorScale>
    </cfRule>
  </conditionalFormatting>
  <conditionalFormatting sqref="M4:O4">
    <cfRule type="colorScale" priority="30">
      <colorScale>
        <cfvo type="min"/>
        <cfvo type="max"/>
        <color rgb="FFFFEF9C"/>
        <color rgb="FFFF7128"/>
      </colorScale>
    </cfRule>
  </conditionalFormatting>
  <conditionalFormatting sqref="L13">
    <cfRule type="dataBar" priority="1312">
      <dataBar>
        <cfvo type="min"/>
        <cfvo type="max"/>
        <color rgb="FFFF555A"/>
      </dataBar>
    </cfRule>
  </conditionalFormatting>
  <conditionalFormatting sqref="K13">
    <cfRule type="dataBar" priority="1313">
      <dataBar>
        <cfvo type="min"/>
        <cfvo type="max"/>
        <color rgb="FF63C384"/>
      </dataBar>
    </cfRule>
  </conditionalFormatting>
  <conditionalFormatting sqref="M13:O13">
    <cfRule type="colorScale" priority="1314">
      <colorScale>
        <cfvo type="min"/>
        <cfvo type="max"/>
        <color rgb="FFFFEF9C"/>
        <color rgb="FFFF7128"/>
      </colorScale>
    </cfRule>
  </conditionalFormatting>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9B7A7-5252-42E9-8EE0-58005B86D58A}">
  <sheetPr>
    <tabColor rgb="FFFF0000"/>
  </sheetPr>
  <dimension ref="A2:AI34"/>
  <sheetViews>
    <sheetView workbookViewId="0">
      <selection activeCell="U14" sqref="U14"/>
    </sheetView>
  </sheetViews>
  <sheetFormatPr baseColWidth="10" defaultRowHeight="15" x14ac:dyDescent="0.25"/>
  <cols>
    <col min="1" max="1" width="5.140625" bestFit="1" customWidth="1"/>
    <col min="2" max="2" width="6.5703125" bestFit="1" customWidth="1"/>
    <col min="3" max="3" width="15.140625" bestFit="1" customWidth="1"/>
    <col min="4" max="4" width="12.28515625" bestFit="1" customWidth="1"/>
    <col min="5" max="5" width="5.5703125" bestFit="1" customWidth="1"/>
    <col min="6" max="6" width="5" bestFit="1" customWidth="1"/>
    <col min="7" max="9" width="4.5703125" bestFit="1" customWidth="1"/>
    <col min="10" max="11" width="3.5703125" bestFit="1" customWidth="1"/>
    <col min="12" max="13" width="4.5703125" bestFit="1" customWidth="1"/>
    <col min="14" max="14" width="7.28515625" bestFit="1" customWidth="1"/>
    <col min="15" max="15" width="7.7109375" bestFit="1" customWidth="1"/>
    <col min="16" max="16" width="11.28515625" customWidth="1"/>
    <col min="17" max="17" width="5.140625" bestFit="1" customWidth="1"/>
    <col min="18" max="18" width="6.5703125" bestFit="1" customWidth="1"/>
    <col min="19" max="19" width="12.28515625" bestFit="1" customWidth="1"/>
    <col min="20" max="20" width="5.5703125" bestFit="1" customWidth="1"/>
    <col min="21" max="21" width="5" bestFit="1" customWidth="1"/>
    <col min="22" max="24" width="4.5703125" bestFit="1" customWidth="1"/>
    <col min="25" max="26" width="3.5703125" bestFit="1" customWidth="1"/>
    <col min="27" max="28" width="4.5703125" bestFit="1" customWidth="1"/>
    <col min="29" max="29" width="7.28515625" bestFit="1" customWidth="1"/>
    <col min="30" max="30" width="7.7109375" bestFit="1" customWidth="1"/>
    <col min="31" max="31" width="11.28515625" customWidth="1"/>
    <col min="32" max="32" width="22.85546875" bestFit="1" customWidth="1"/>
    <col min="33" max="33" width="3.5703125" bestFit="1" customWidth="1"/>
    <col min="34" max="34" width="11.28515625" customWidth="1"/>
  </cols>
  <sheetData>
    <row r="2" spans="1:35" x14ac:dyDescent="0.25">
      <c r="B2" s="320"/>
      <c r="N2" s="51">
        <f>SUM(N4:N17)</f>
        <v>5960</v>
      </c>
      <c r="O2" s="51">
        <f>SUM(O4:O17)</f>
        <v>7201.2000000000007</v>
      </c>
      <c r="R2" s="320"/>
      <c r="AC2" s="51">
        <f>SUM(AC4:AC17)</f>
        <v>135443.92000000001</v>
      </c>
      <c r="AD2" s="51">
        <f>SUM(AD4:AD17)</f>
        <v>154644.09599999999</v>
      </c>
    </row>
    <row r="3" spans="1:35" x14ac:dyDescent="0.25">
      <c r="A3" s="96" t="s">
        <v>435</v>
      </c>
      <c r="B3" s="94" t="s">
        <v>100</v>
      </c>
      <c r="C3" s="94" t="s">
        <v>436</v>
      </c>
      <c r="D3" s="94" t="s">
        <v>314</v>
      </c>
      <c r="E3" s="94" t="s">
        <v>313</v>
      </c>
      <c r="F3" s="94" t="s">
        <v>61</v>
      </c>
      <c r="G3" s="94" t="s">
        <v>106</v>
      </c>
      <c r="H3" s="94" t="s">
        <v>77</v>
      </c>
      <c r="I3" s="94" t="s">
        <v>78</v>
      </c>
      <c r="J3" s="94" t="s">
        <v>79</v>
      </c>
      <c r="K3" s="94" t="s">
        <v>80</v>
      </c>
      <c r="L3" s="94" t="s">
        <v>81</v>
      </c>
      <c r="M3" s="94" t="s">
        <v>74</v>
      </c>
      <c r="N3" s="94" t="s">
        <v>65</v>
      </c>
      <c r="O3" s="151" t="s">
        <v>437</v>
      </c>
      <c r="Q3" s="96" t="s">
        <v>435</v>
      </c>
      <c r="R3" s="94" t="s">
        <v>100</v>
      </c>
      <c r="S3" s="94" t="s">
        <v>314</v>
      </c>
      <c r="T3" s="94" t="s">
        <v>313</v>
      </c>
      <c r="U3" s="94" t="s">
        <v>61</v>
      </c>
      <c r="V3" s="94" t="s">
        <v>106</v>
      </c>
      <c r="W3" s="94" t="s">
        <v>77</v>
      </c>
      <c r="X3" s="94" t="s">
        <v>78</v>
      </c>
      <c r="Y3" s="94" t="s">
        <v>79</v>
      </c>
      <c r="Z3" s="94" t="s">
        <v>80</v>
      </c>
      <c r="AA3" s="94" t="s">
        <v>81</v>
      </c>
      <c r="AB3" s="94" t="s">
        <v>74</v>
      </c>
      <c r="AC3" s="94" t="s">
        <v>65</v>
      </c>
      <c r="AD3" s="151" t="s">
        <v>437</v>
      </c>
      <c r="AF3" s="329" t="s">
        <v>304</v>
      </c>
      <c r="AG3">
        <v>0</v>
      </c>
      <c r="AI3" s="2" t="s">
        <v>430</v>
      </c>
    </row>
    <row r="4" spans="1:35" x14ac:dyDescent="0.25">
      <c r="A4" s="330" t="s">
        <v>170</v>
      </c>
      <c r="B4" s="331" t="s">
        <v>1</v>
      </c>
      <c r="C4" s="134"/>
      <c r="D4" s="134"/>
      <c r="E4" s="134"/>
      <c r="F4" s="134"/>
      <c r="G4" s="332">
        <v>2</v>
      </c>
      <c r="H4" s="135">
        <v>2</v>
      </c>
      <c r="I4" s="332">
        <v>2</v>
      </c>
      <c r="J4" s="135">
        <v>0</v>
      </c>
      <c r="K4" s="332">
        <v>0</v>
      </c>
      <c r="L4" s="135">
        <v>0</v>
      </c>
      <c r="M4" s="332">
        <v>2</v>
      </c>
      <c r="N4" s="115"/>
      <c r="O4" s="51"/>
      <c r="Q4" s="330" t="s">
        <v>170</v>
      </c>
      <c r="R4" s="331" t="str">
        <f t="shared" ref="R4:R17" si="0">B4</f>
        <v>POR</v>
      </c>
      <c r="S4" s="134"/>
      <c r="T4" s="134"/>
      <c r="U4" s="134"/>
      <c r="V4" s="332">
        <f t="shared" ref="V4:AC4" si="1">G4</f>
        <v>2</v>
      </c>
      <c r="W4" s="332">
        <f t="shared" si="1"/>
        <v>2</v>
      </c>
      <c r="X4" s="332">
        <f t="shared" si="1"/>
        <v>2</v>
      </c>
      <c r="Y4" s="332">
        <f t="shared" si="1"/>
        <v>0</v>
      </c>
      <c r="Z4" s="332">
        <f t="shared" si="1"/>
        <v>0</v>
      </c>
      <c r="AA4" s="332">
        <f t="shared" si="1"/>
        <v>0</v>
      </c>
      <c r="AB4" s="332">
        <f t="shared" si="1"/>
        <v>2</v>
      </c>
      <c r="AC4" s="115">
        <f t="shared" si="1"/>
        <v>0</v>
      </c>
      <c r="AD4" s="51">
        <f>AC4*1.2</f>
        <v>0</v>
      </c>
      <c r="AF4" s="329" t="s">
        <v>303</v>
      </c>
      <c r="AG4">
        <v>40</v>
      </c>
      <c r="AI4" t="s">
        <v>431</v>
      </c>
    </row>
    <row r="5" spans="1:35" x14ac:dyDescent="0.25">
      <c r="A5" s="330" t="s">
        <v>222</v>
      </c>
      <c r="B5" s="331" t="s">
        <v>2</v>
      </c>
      <c r="C5" s="80"/>
      <c r="D5" s="80" t="s">
        <v>438</v>
      </c>
      <c r="E5" s="80"/>
      <c r="F5" s="80"/>
      <c r="G5" s="101">
        <v>0</v>
      </c>
      <c r="H5" s="92">
        <v>2</v>
      </c>
      <c r="I5" s="92">
        <v>2</v>
      </c>
      <c r="J5" s="135">
        <v>2</v>
      </c>
      <c r="K5" s="101">
        <v>2</v>
      </c>
      <c r="L5" s="92">
        <v>2</v>
      </c>
      <c r="M5" s="101">
        <v>2</v>
      </c>
      <c r="N5" s="115"/>
      <c r="O5" s="51"/>
      <c r="Q5" s="330" t="s">
        <v>222</v>
      </c>
      <c r="R5" s="331" t="str">
        <f t="shared" si="0"/>
        <v>DEF</v>
      </c>
      <c r="S5" s="134" t="str">
        <f t="shared" ref="S5:S17" si="2">D5</f>
        <v>IMP/CAB</v>
      </c>
      <c r="T5" s="134"/>
      <c r="U5" s="134"/>
      <c r="V5" s="332">
        <f t="shared" ref="V5:V17" si="3">G5</f>
        <v>0</v>
      </c>
      <c r="W5" s="332">
        <f t="shared" ref="W5:W17" si="4">H5</f>
        <v>2</v>
      </c>
      <c r="X5" s="332">
        <f t="shared" ref="X5:X17" si="5">I5</f>
        <v>2</v>
      </c>
      <c r="Y5" s="332">
        <f t="shared" ref="Y5:Y17" si="6">J5</f>
        <v>2</v>
      </c>
      <c r="Z5" s="332">
        <f t="shared" ref="Z5:Z17" si="7">K5</f>
        <v>2</v>
      </c>
      <c r="AA5" s="332">
        <f t="shared" ref="AA5:AA17" si="8">L5</f>
        <v>2</v>
      </c>
      <c r="AB5" s="332">
        <f t="shared" ref="AB5:AB17" si="9">M5</f>
        <v>2</v>
      </c>
      <c r="AC5" s="115">
        <f>N5</f>
        <v>0</v>
      </c>
      <c r="AD5" s="51">
        <f t="shared" ref="AD5:AD17" si="10">AC5*1.2</f>
        <v>0</v>
      </c>
      <c r="AF5" s="329" t="s">
        <v>0</v>
      </c>
      <c r="AG5">
        <v>0</v>
      </c>
      <c r="AI5" t="s">
        <v>432</v>
      </c>
    </row>
    <row r="6" spans="1:35" x14ac:dyDescent="0.25">
      <c r="A6" s="330" t="s">
        <v>172</v>
      </c>
      <c r="B6" s="331" t="s">
        <v>2</v>
      </c>
      <c r="C6" s="80"/>
      <c r="D6" s="80" t="s">
        <v>438</v>
      </c>
      <c r="E6" s="80"/>
      <c r="F6" s="80"/>
      <c r="G6" s="101">
        <v>0</v>
      </c>
      <c r="H6" s="92">
        <v>2</v>
      </c>
      <c r="I6" s="92">
        <v>2</v>
      </c>
      <c r="J6" s="135">
        <v>2</v>
      </c>
      <c r="K6" s="101">
        <v>2</v>
      </c>
      <c r="L6" s="92">
        <v>2</v>
      </c>
      <c r="M6" s="101">
        <v>2</v>
      </c>
      <c r="N6" s="115"/>
      <c r="O6" s="51"/>
      <c r="Q6" s="330" t="s">
        <v>172</v>
      </c>
      <c r="R6" s="331" t="str">
        <f t="shared" si="0"/>
        <v>DEF</v>
      </c>
      <c r="S6" s="134" t="str">
        <f t="shared" si="2"/>
        <v>IMP/CAB</v>
      </c>
      <c r="T6" s="134"/>
      <c r="U6" s="134"/>
      <c r="V6" s="332">
        <f t="shared" si="3"/>
        <v>0</v>
      </c>
      <c r="W6" s="332">
        <f t="shared" si="4"/>
        <v>2</v>
      </c>
      <c r="X6" s="332">
        <f t="shared" si="5"/>
        <v>2</v>
      </c>
      <c r="Y6" s="332">
        <f t="shared" si="6"/>
        <v>2</v>
      </c>
      <c r="Z6" s="332">
        <f t="shared" si="7"/>
        <v>2</v>
      </c>
      <c r="AA6" s="332">
        <f t="shared" si="8"/>
        <v>2</v>
      </c>
      <c r="AB6" s="332">
        <f t="shared" si="9"/>
        <v>2</v>
      </c>
      <c r="AC6" s="115">
        <f>N6</f>
        <v>0</v>
      </c>
      <c r="AD6" s="51">
        <f t="shared" si="10"/>
        <v>0</v>
      </c>
      <c r="AF6" s="329" t="s">
        <v>322</v>
      </c>
      <c r="AG6">
        <v>17</v>
      </c>
      <c r="AI6" t="s">
        <v>433</v>
      </c>
    </row>
    <row r="7" spans="1:35" x14ac:dyDescent="0.25">
      <c r="A7" s="330" t="s">
        <v>174</v>
      </c>
      <c r="B7" s="331" t="s">
        <v>2</v>
      </c>
      <c r="C7" s="80"/>
      <c r="D7" s="80" t="s">
        <v>438</v>
      </c>
      <c r="E7" s="80"/>
      <c r="F7" s="80"/>
      <c r="G7" s="101">
        <v>0</v>
      </c>
      <c r="H7" s="92">
        <v>2</v>
      </c>
      <c r="I7" s="92">
        <v>2</v>
      </c>
      <c r="J7" s="135">
        <v>2</v>
      </c>
      <c r="K7" s="101">
        <v>2</v>
      </c>
      <c r="L7" s="92">
        <v>2</v>
      </c>
      <c r="M7" s="101">
        <v>2</v>
      </c>
      <c r="N7" s="115"/>
      <c r="O7" s="51"/>
      <c r="Q7" s="330" t="s">
        <v>174</v>
      </c>
      <c r="R7" s="331" t="str">
        <f t="shared" si="0"/>
        <v>DEF</v>
      </c>
      <c r="S7" s="134" t="str">
        <f t="shared" si="2"/>
        <v>IMP/CAB</v>
      </c>
      <c r="T7" s="134"/>
      <c r="U7" s="134"/>
      <c r="V7" s="332">
        <f t="shared" si="3"/>
        <v>0</v>
      </c>
      <c r="W7" s="332">
        <f t="shared" si="4"/>
        <v>2</v>
      </c>
      <c r="X7" s="332">
        <f t="shared" si="5"/>
        <v>2</v>
      </c>
      <c r="Y7" s="332">
        <f t="shared" si="6"/>
        <v>2</v>
      </c>
      <c r="Z7" s="332">
        <f t="shared" si="7"/>
        <v>2</v>
      </c>
      <c r="AA7" s="332">
        <f t="shared" si="8"/>
        <v>2</v>
      </c>
      <c r="AB7" s="332">
        <f t="shared" si="9"/>
        <v>2</v>
      </c>
      <c r="AC7" s="115">
        <f>N7</f>
        <v>0</v>
      </c>
      <c r="AD7" s="51">
        <f t="shared" si="10"/>
        <v>0</v>
      </c>
      <c r="AF7" s="329" t="s">
        <v>246</v>
      </c>
      <c r="AG7">
        <f>AG5+AG4+AG3+AG6</f>
        <v>57</v>
      </c>
      <c r="AI7" t="s">
        <v>434</v>
      </c>
    </row>
    <row r="8" spans="1:35" x14ac:dyDescent="0.25">
      <c r="A8" s="330" t="s">
        <v>178</v>
      </c>
      <c r="B8" s="331" t="s">
        <v>2</v>
      </c>
      <c r="C8" s="80"/>
      <c r="D8" s="80" t="s">
        <v>438</v>
      </c>
      <c r="E8" s="80"/>
      <c r="F8" s="80"/>
      <c r="G8" s="101">
        <v>0</v>
      </c>
      <c r="H8" s="92">
        <v>2</v>
      </c>
      <c r="I8" s="92">
        <v>2</v>
      </c>
      <c r="J8" s="135">
        <v>2</v>
      </c>
      <c r="K8" s="101">
        <v>2</v>
      </c>
      <c r="L8" s="92">
        <v>2</v>
      </c>
      <c r="M8" s="101">
        <v>2</v>
      </c>
      <c r="N8" s="115"/>
      <c r="O8" s="51"/>
      <c r="Q8" s="330" t="s">
        <v>178</v>
      </c>
      <c r="R8" s="331" t="str">
        <f t="shared" si="0"/>
        <v>DEF</v>
      </c>
      <c r="S8" s="134" t="str">
        <f t="shared" si="2"/>
        <v>IMP/CAB</v>
      </c>
      <c r="T8" s="134"/>
      <c r="U8" s="134"/>
      <c r="V8" s="332">
        <f t="shared" si="3"/>
        <v>0</v>
      </c>
      <c r="W8" s="332">
        <f t="shared" si="4"/>
        <v>2</v>
      </c>
      <c r="X8" s="332">
        <f t="shared" si="5"/>
        <v>2</v>
      </c>
      <c r="Y8" s="332">
        <f t="shared" si="6"/>
        <v>2</v>
      </c>
      <c r="Z8" s="332">
        <f t="shared" si="7"/>
        <v>2</v>
      </c>
      <c r="AA8" s="332">
        <f t="shared" si="8"/>
        <v>2</v>
      </c>
      <c r="AB8" s="332">
        <f t="shared" si="9"/>
        <v>2</v>
      </c>
      <c r="AC8" s="115">
        <f>N8</f>
        <v>0</v>
      </c>
      <c r="AD8" s="51">
        <f t="shared" si="10"/>
        <v>0</v>
      </c>
      <c r="AF8" s="329" t="s">
        <v>60</v>
      </c>
      <c r="AG8" s="83">
        <f>AG7/16</f>
        <v>3.5625</v>
      </c>
    </row>
    <row r="9" spans="1:35" x14ac:dyDescent="0.25">
      <c r="A9" s="330" t="s">
        <v>173</v>
      </c>
      <c r="B9" s="331" t="s">
        <v>2</v>
      </c>
      <c r="C9" s="80"/>
      <c r="D9" s="80" t="s">
        <v>438</v>
      </c>
      <c r="E9" s="80"/>
      <c r="F9" s="80"/>
      <c r="G9" s="101">
        <v>0</v>
      </c>
      <c r="H9" s="92">
        <v>2</v>
      </c>
      <c r="I9" s="92">
        <v>2</v>
      </c>
      <c r="J9" s="135">
        <v>2</v>
      </c>
      <c r="K9" s="101">
        <v>2</v>
      </c>
      <c r="L9" s="92">
        <v>2</v>
      </c>
      <c r="M9" s="101">
        <v>2</v>
      </c>
      <c r="N9" s="115"/>
      <c r="O9" s="51"/>
      <c r="Q9" s="330" t="s">
        <v>173</v>
      </c>
      <c r="R9" s="331" t="str">
        <f t="shared" si="0"/>
        <v>DEF</v>
      </c>
      <c r="S9" s="134" t="str">
        <f t="shared" si="2"/>
        <v>IMP/CAB</v>
      </c>
      <c r="T9" s="134"/>
      <c r="U9" s="134"/>
      <c r="V9" s="332">
        <f t="shared" si="3"/>
        <v>0</v>
      </c>
      <c r="W9" s="332">
        <f t="shared" si="4"/>
        <v>2</v>
      </c>
      <c r="X9" s="332">
        <f t="shared" si="5"/>
        <v>2</v>
      </c>
      <c r="Y9" s="332">
        <f t="shared" si="6"/>
        <v>2</v>
      </c>
      <c r="Z9" s="332">
        <f t="shared" si="7"/>
        <v>2</v>
      </c>
      <c r="AA9" s="332">
        <f t="shared" si="8"/>
        <v>2</v>
      </c>
      <c r="AB9" s="332">
        <f t="shared" si="9"/>
        <v>2</v>
      </c>
      <c r="AC9" s="115">
        <f>N9</f>
        <v>0</v>
      </c>
      <c r="AD9" s="51">
        <f t="shared" si="10"/>
        <v>0</v>
      </c>
    </row>
    <row r="10" spans="1:35" x14ac:dyDescent="0.25">
      <c r="A10" s="330" t="s">
        <v>175</v>
      </c>
      <c r="B10" s="331" t="s">
        <v>439</v>
      </c>
      <c r="C10" s="294" t="str">
        <f>Plantilla!D13</f>
        <v>I. Vanags</v>
      </c>
      <c r="D10" s="80" t="str">
        <f>Plantilla!G13</f>
        <v>CAB</v>
      </c>
      <c r="E10" s="80">
        <v>18</v>
      </c>
      <c r="F10" s="80">
        <v>64</v>
      </c>
      <c r="G10" s="101">
        <f>Plantilla!X13</f>
        <v>0</v>
      </c>
      <c r="H10" s="101">
        <f>Plantilla!Y13</f>
        <v>4</v>
      </c>
      <c r="I10" s="101">
        <f>Plantilla!Z13</f>
        <v>7.8</v>
      </c>
      <c r="J10" s="101">
        <f>Plantilla!AA13</f>
        <v>3</v>
      </c>
      <c r="K10" s="101">
        <f>Plantilla!AB13</f>
        <v>4</v>
      </c>
      <c r="L10" s="101">
        <f>Plantilla!AC13</f>
        <v>7</v>
      </c>
      <c r="M10" s="101">
        <f>Plantilla!AD13</f>
        <v>6</v>
      </c>
      <c r="N10" s="115">
        <f>Plantilla!V13</f>
        <v>684</v>
      </c>
      <c r="O10" s="51">
        <v>870</v>
      </c>
      <c r="Q10" s="330" t="s">
        <v>175</v>
      </c>
      <c r="R10" s="331" t="str">
        <f t="shared" si="0"/>
        <v>Inners</v>
      </c>
      <c r="S10" s="134" t="str">
        <f t="shared" si="2"/>
        <v>CAB</v>
      </c>
      <c r="T10" s="134">
        <f>E10+3+1</f>
        <v>22</v>
      </c>
      <c r="U10" s="134">
        <f>F10+13*7-122</f>
        <v>33</v>
      </c>
      <c r="V10" s="332">
        <f t="shared" si="3"/>
        <v>0</v>
      </c>
      <c r="W10" s="332">
        <f t="shared" si="4"/>
        <v>4</v>
      </c>
      <c r="X10" s="332">
        <f>13+5/10</f>
        <v>13.5</v>
      </c>
      <c r="Y10" s="332">
        <f t="shared" si="6"/>
        <v>3</v>
      </c>
      <c r="Z10" s="332">
        <f t="shared" si="7"/>
        <v>4</v>
      </c>
      <c r="AA10" s="332">
        <f>10+1/6</f>
        <v>10.166666666666666</v>
      </c>
      <c r="AB10" s="332">
        <f t="shared" si="9"/>
        <v>6</v>
      </c>
      <c r="AC10" s="115">
        <f>(20000+1500+125+125)*1.02</f>
        <v>22185</v>
      </c>
      <c r="AD10" s="51">
        <f t="shared" si="10"/>
        <v>26622</v>
      </c>
    </row>
    <row r="11" spans="1:35" x14ac:dyDescent="0.25">
      <c r="A11" s="330" t="s">
        <v>179</v>
      </c>
      <c r="B11" s="331" t="s">
        <v>439</v>
      </c>
      <c r="C11" s="294" t="str">
        <f>Plantilla!D14</f>
        <v>I. Stone</v>
      </c>
      <c r="D11" s="80" t="str">
        <f>Plantilla!G14</f>
        <v>RAP</v>
      </c>
      <c r="E11" s="80">
        <v>18</v>
      </c>
      <c r="F11" s="80">
        <v>7</v>
      </c>
      <c r="G11" s="101">
        <f>Plantilla!X14</f>
        <v>0</v>
      </c>
      <c r="H11" s="101">
        <f>Plantilla!Y14</f>
        <v>3</v>
      </c>
      <c r="I11" s="101">
        <f>Plantilla!Z14</f>
        <v>6.25</v>
      </c>
      <c r="J11" s="101">
        <f>Plantilla!AA14</f>
        <v>2</v>
      </c>
      <c r="K11" s="101">
        <f>Plantilla!AB14</f>
        <v>6</v>
      </c>
      <c r="L11" s="101">
        <f>Plantilla!AC14</f>
        <v>9</v>
      </c>
      <c r="M11" s="101">
        <f>Plantilla!AD14</f>
        <v>2</v>
      </c>
      <c r="N11" s="115">
        <f>Plantilla!V14</f>
        <v>1490</v>
      </c>
      <c r="O11" s="51">
        <f t="shared" ref="O11:O15" si="11">N11*1.2</f>
        <v>1788</v>
      </c>
      <c r="Q11" s="330" t="s">
        <v>179</v>
      </c>
      <c r="R11" s="331" t="str">
        <f t="shared" si="0"/>
        <v>Inners</v>
      </c>
      <c r="S11" s="134" t="str">
        <f t="shared" si="2"/>
        <v>RAP</v>
      </c>
      <c r="T11" s="134">
        <f>E11+3</f>
        <v>21</v>
      </c>
      <c r="U11" s="134">
        <f>F11+13*7</f>
        <v>98</v>
      </c>
      <c r="V11" s="332">
        <f t="shared" si="3"/>
        <v>0</v>
      </c>
      <c r="W11" s="332">
        <f t="shared" si="4"/>
        <v>3</v>
      </c>
      <c r="X11" s="332">
        <v>13</v>
      </c>
      <c r="Y11" s="332">
        <f t="shared" si="6"/>
        <v>2</v>
      </c>
      <c r="Z11" s="332">
        <f t="shared" si="7"/>
        <v>6</v>
      </c>
      <c r="AA11" s="332">
        <f>11+4/7</f>
        <v>11.571428571428571</v>
      </c>
      <c r="AB11" s="332">
        <f t="shared" si="9"/>
        <v>2</v>
      </c>
      <c r="AC11" s="115">
        <f>(14490+3125+145)*1.008</f>
        <v>17902.080000000002</v>
      </c>
      <c r="AD11" s="51">
        <f>AC11</f>
        <v>17902.080000000002</v>
      </c>
    </row>
    <row r="12" spans="1:35" x14ac:dyDescent="0.25">
      <c r="A12" s="330" t="s">
        <v>224</v>
      </c>
      <c r="B12" s="331" t="s">
        <v>439</v>
      </c>
      <c r="C12" s="294" t="str">
        <f>Plantilla!D15</f>
        <v>G. Piscaer</v>
      </c>
      <c r="D12" s="80" t="str">
        <f>Plantilla!G15</f>
        <v>IMP</v>
      </c>
      <c r="E12" s="80">
        <v>18</v>
      </c>
      <c r="F12" s="80">
        <v>80</v>
      </c>
      <c r="G12" s="101">
        <f>Plantilla!X15</f>
        <v>0</v>
      </c>
      <c r="H12" s="101">
        <f>Plantilla!Y15</f>
        <v>4</v>
      </c>
      <c r="I12" s="101">
        <f>Plantilla!Z15</f>
        <v>8.6</v>
      </c>
      <c r="J12" s="101">
        <f>Plantilla!AA15</f>
        <v>3</v>
      </c>
      <c r="K12" s="101">
        <f>Plantilla!AB15</f>
        <v>2</v>
      </c>
      <c r="L12" s="101">
        <f>Plantilla!AC15</f>
        <v>8</v>
      </c>
      <c r="M12" s="101">
        <f>Plantilla!AD15</f>
        <v>0</v>
      </c>
      <c r="N12" s="115">
        <f>Plantilla!V15</f>
        <v>1044</v>
      </c>
      <c r="O12" s="51">
        <f t="shared" si="11"/>
        <v>1252.8</v>
      </c>
      <c r="Q12" s="330" t="s">
        <v>224</v>
      </c>
      <c r="R12" s="331" t="str">
        <f t="shared" si="0"/>
        <v>Inners</v>
      </c>
      <c r="S12" s="134" t="str">
        <f t="shared" si="2"/>
        <v>IMP</v>
      </c>
      <c r="T12" s="134">
        <f t="shared" ref="T12:T13" si="12">E12+3+1</f>
        <v>22</v>
      </c>
      <c r="U12" s="134">
        <f t="shared" ref="U12:U13" si="13">F12+13*7-122</f>
        <v>49</v>
      </c>
      <c r="V12" s="332">
        <f t="shared" si="3"/>
        <v>0</v>
      </c>
      <c r="W12" s="332">
        <f t="shared" si="4"/>
        <v>4</v>
      </c>
      <c r="X12" s="332">
        <f>14</f>
        <v>14</v>
      </c>
      <c r="Y12" s="332">
        <f t="shared" si="6"/>
        <v>3</v>
      </c>
      <c r="Z12" s="332">
        <f t="shared" si="7"/>
        <v>2</v>
      </c>
      <c r="AA12" s="332">
        <f>10+6/7</f>
        <v>10.857142857142858</v>
      </c>
      <c r="AB12" s="332">
        <f t="shared" si="9"/>
        <v>0</v>
      </c>
      <c r="AC12" s="115">
        <f>(23500+2295+125)*1</f>
        <v>25920</v>
      </c>
      <c r="AD12" s="51">
        <f t="shared" si="10"/>
        <v>31104</v>
      </c>
    </row>
    <row r="13" spans="1:35" x14ac:dyDescent="0.25">
      <c r="A13" s="330" t="s">
        <v>176</v>
      </c>
      <c r="B13" s="331" t="s">
        <v>439</v>
      </c>
      <c r="C13" s="294" t="str">
        <f>Plantilla!D16</f>
        <v>M. Bondarewski</v>
      </c>
      <c r="D13" s="80" t="str">
        <f>Plantilla!G16</f>
        <v>RAP</v>
      </c>
      <c r="E13" s="80">
        <v>18</v>
      </c>
      <c r="F13" s="80">
        <v>80</v>
      </c>
      <c r="G13" s="101">
        <f>Plantilla!X16</f>
        <v>0</v>
      </c>
      <c r="H13" s="101">
        <f>Plantilla!Y16</f>
        <v>2</v>
      </c>
      <c r="I13" s="101">
        <f>Plantilla!Z16</f>
        <v>8.8000000000000007</v>
      </c>
      <c r="J13" s="101">
        <f>Plantilla!AA16</f>
        <v>5</v>
      </c>
      <c r="K13" s="101">
        <f>Plantilla!AB16</f>
        <v>4</v>
      </c>
      <c r="L13" s="101">
        <f>Plantilla!AC16</f>
        <v>8</v>
      </c>
      <c r="M13" s="101">
        <f>Plantilla!AD16</f>
        <v>6</v>
      </c>
      <c r="N13" s="115">
        <f>Plantilla!V16</f>
        <v>924</v>
      </c>
      <c r="O13" s="51">
        <f t="shared" si="11"/>
        <v>1108.8</v>
      </c>
      <c r="Q13" s="330" t="s">
        <v>176</v>
      </c>
      <c r="R13" s="331" t="str">
        <f t="shared" si="0"/>
        <v>Inners</v>
      </c>
      <c r="S13" s="134" t="str">
        <f t="shared" si="2"/>
        <v>RAP</v>
      </c>
      <c r="T13" s="134">
        <f t="shared" si="12"/>
        <v>22</v>
      </c>
      <c r="U13" s="134">
        <f t="shared" si="13"/>
        <v>49</v>
      </c>
      <c r="V13" s="332">
        <f t="shared" si="3"/>
        <v>0</v>
      </c>
      <c r="W13" s="332">
        <f t="shared" si="4"/>
        <v>2</v>
      </c>
      <c r="X13" s="332">
        <f>14</f>
        <v>14</v>
      </c>
      <c r="Y13" s="332">
        <f t="shared" si="6"/>
        <v>5</v>
      </c>
      <c r="Z13" s="332">
        <f t="shared" si="7"/>
        <v>4</v>
      </c>
      <c r="AA13" s="332">
        <f>10+6/7</f>
        <v>10.857142857142858</v>
      </c>
      <c r="AB13" s="332">
        <f t="shared" si="9"/>
        <v>6</v>
      </c>
      <c r="AC13" s="115">
        <f>(23500+2295+125+125)*1.02</f>
        <v>26565.9</v>
      </c>
      <c r="AD13" s="51">
        <f t="shared" si="10"/>
        <v>31879.08</v>
      </c>
    </row>
    <row r="14" spans="1:35" x14ac:dyDescent="0.25">
      <c r="A14" s="330" t="s">
        <v>177</v>
      </c>
      <c r="B14" s="331" t="s">
        <v>439</v>
      </c>
      <c r="C14" s="294" t="str">
        <f>Plantilla!D17</f>
        <v>J. Vartiainen</v>
      </c>
      <c r="D14" s="80" t="str">
        <f>Plantilla!G17</f>
        <v>CAB</v>
      </c>
      <c r="E14" s="80">
        <v>19</v>
      </c>
      <c r="F14" s="80">
        <v>14</v>
      </c>
      <c r="G14" s="101">
        <f>Plantilla!X17</f>
        <v>0</v>
      </c>
      <c r="H14" s="101">
        <f>Plantilla!Y17</f>
        <v>7</v>
      </c>
      <c r="I14" s="101">
        <f>Plantilla!Z17</f>
        <v>7.7111111111111104</v>
      </c>
      <c r="J14" s="101">
        <f>Plantilla!AA17</f>
        <v>1</v>
      </c>
      <c r="K14" s="101">
        <f>Plantilla!AB17</f>
        <v>1</v>
      </c>
      <c r="L14" s="101">
        <f>Plantilla!AC17</f>
        <v>6</v>
      </c>
      <c r="M14" s="101">
        <f>Plantilla!AD17</f>
        <v>1</v>
      </c>
      <c r="N14" s="115">
        <f>Plantilla!V17</f>
        <v>948</v>
      </c>
      <c r="O14" s="51">
        <f t="shared" si="11"/>
        <v>1137.5999999999999</v>
      </c>
      <c r="Q14" s="330" t="s">
        <v>177</v>
      </c>
      <c r="R14" s="331" t="str">
        <f t="shared" si="0"/>
        <v>Inners</v>
      </c>
      <c r="S14" s="134" t="str">
        <f t="shared" si="2"/>
        <v>CAB</v>
      </c>
      <c r="T14" s="134">
        <f>E14+3</f>
        <v>22</v>
      </c>
      <c r="U14" s="134">
        <f>F14+13*7</f>
        <v>105</v>
      </c>
      <c r="V14" s="332">
        <f t="shared" si="3"/>
        <v>0</v>
      </c>
      <c r="W14" s="332">
        <f t="shared" si="4"/>
        <v>7</v>
      </c>
      <c r="X14" s="332">
        <f>13+4/9</f>
        <v>13.444444444444445</v>
      </c>
      <c r="Y14" s="332">
        <f t="shared" si="6"/>
        <v>1</v>
      </c>
      <c r="Z14" s="332">
        <f t="shared" si="7"/>
        <v>1</v>
      </c>
      <c r="AA14" s="332">
        <f>9+3/6</f>
        <v>9.5</v>
      </c>
      <c r="AB14" s="332">
        <f t="shared" si="9"/>
        <v>1</v>
      </c>
      <c r="AC14" s="115">
        <f>(20000+1020+225)*1.004</f>
        <v>21329.98</v>
      </c>
      <c r="AD14" s="51">
        <f t="shared" si="10"/>
        <v>25595.975999999999</v>
      </c>
    </row>
    <row r="15" spans="1:35" x14ac:dyDescent="0.25">
      <c r="A15" s="330" t="s">
        <v>171</v>
      </c>
      <c r="B15" s="331" t="s">
        <v>439</v>
      </c>
      <c r="C15" s="294" t="str">
        <f>Plantilla!D18</f>
        <v>R. Forsyth</v>
      </c>
      <c r="D15" s="80" t="str">
        <f>Plantilla!G18</f>
        <v>POT</v>
      </c>
      <c r="E15" s="80">
        <v>19</v>
      </c>
      <c r="F15" s="80">
        <v>9</v>
      </c>
      <c r="G15" s="101">
        <f>Plantilla!X18</f>
        <v>0</v>
      </c>
      <c r="H15" s="101">
        <f>Plantilla!Y18</f>
        <v>7</v>
      </c>
      <c r="I15" s="101">
        <f>Plantilla!Z18</f>
        <v>8</v>
      </c>
      <c r="J15" s="101">
        <f>Plantilla!AA18</f>
        <v>2</v>
      </c>
      <c r="K15" s="101">
        <f>Plantilla!AB18</f>
        <v>4</v>
      </c>
      <c r="L15" s="101">
        <f>Plantilla!AC18</f>
        <v>6</v>
      </c>
      <c r="M15" s="101">
        <f>Plantilla!AD18</f>
        <v>2</v>
      </c>
      <c r="N15" s="115">
        <f>Plantilla!V18</f>
        <v>870</v>
      </c>
      <c r="O15" s="51">
        <f t="shared" si="11"/>
        <v>1044</v>
      </c>
      <c r="Q15" s="330" t="s">
        <v>171</v>
      </c>
      <c r="R15" s="331" t="str">
        <f t="shared" si="0"/>
        <v>Inners</v>
      </c>
      <c r="S15" s="134" t="str">
        <f t="shared" si="2"/>
        <v>POT</v>
      </c>
      <c r="T15" s="134">
        <f>E15+3</f>
        <v>22</v>
      </c>
      <c r="U15" s="134">
        <f>F15+13*7</f>
        <v>100</v>
      </c>
      <c r="V15" s="332">
        <f t="shared" si="3"/>
        <v>0</v>
      </c>
      <c r="W15" s="332">
        <f t="shared" si="4"/>
        <v>7</v>
      </c>
      <c r="X15" s="332">
        <f>13+4/9</f>
        <v>13.444444444444445</v>
      </c>
      <c r="Y15" s="332">
        <f t="shared" si="6"/>
        <v>2</v>
      </c>
      <c r="Z15" s="332">
        <f t="shared" si="7"/>
        <v>4</v>
      </c>
      <c r="AA15" s="332">
        <f>9+3/6</f>
        <v>9.5</v>
      </c>
      <c r="AB15" s="332">
        <f t="shared" si="9"/>
        <v>2</v>
      </c>
      <c r="AC15" s="115">
        <f>(20000+1020+225+125)*1.008</f>
        <v>21540.959999999999</v>
      </c>
      <c r="AD15" s="51">
        <f>AC15</f>
        <v>21540.959999999999</v>
      </c>
    </row>
    <row r="16" spans="1:35" x14ac:dyDescent="0.25">
      <c r="A16" s="330" t="s">
        <v>216</v>
      </c>
      <c r="B16" s="331" t="s">
        <v>277</v>
      </c>
      <c r="C16" s="80"/>
      <c r="D16" s="80" t="s">
        <v>440</v>
      </c>
      <c r="E16" s="80"/>
      <c r="F16" s="80"/>
      <c r="G16" s="101">
        <v>0</v>
      </c>
      <c r="H16" s="92">
        <v>2</v>
      </c>
      <c r="I16" s="92">
        <v>2</v>
      </c>
      <c r="J16" s="135">
        <v>2</v>
      </c>
      <c r="K16" s="101">
        <v>2</v>
      </c>
      <c r="L16" s="92">
        <v>2</v>
      </c>
      <c r="M16" s="101">
        <v>2</v>
      </c>
      <c r="N16" s="115"/>
      <c r="O16" s="51"/>
      <c r="Q16" s="330" t="s">
        <v>216</v>
      </c>
      <c r="R16" s="331" t="str">
        <f t="shared" si="0"/>
        <v>DD</v>
      </c>
      <c r="S16" s="134" t="str">
        <f t="shared" si="2"/>
        <v>RAP/IMP/CAB</v>
      </c>
      <c r="T16" s="134"/>
      <c r="U16" s="134"/>
      <c r="V16" s="332">
        <f t="shared" si="3"/>
        <v>0</v>
      </c>
      <c r="W16" s="332">
        <f t="shared" si="4"/>
        <v>2</v>
      </c>
      <c r="X16" s="332">
        <f t="shared" si="5"/>
        <v>2</v>
      </c>
      <c r="Y16" s="332">
        <f t="shared" si="6"/>
        <v>2</v>
      </c>
      <c r="Z16" s="332">
        <f t="shared" si="7"/>
        <v>2</v>
      </c>
      <c r="AA16" s="332">
        <f t="shared" si="8"/>
        <v>2</v>
      </c>
      <c r="AB16" s="332">
        <f t="shared" si="9"/>
        <v>2</v>
      </c>
      <c r="AC16" s="115">
        <f>N16</f>
        <v>0</v>
      </c>
      <c r="AD16" s="51">
        <f t="shared" si="10"/>
        <v>0</v>
      </c>
    </row>
    <row r="17" spans="1:33" x14ac:dyDescent="0.25">
      <c r="A17" s="330" t="s">
        <v>223</v>
      </c>
      <c r="B17" s="331" t="s">
        <v>277</v>
      </c>
      <c r="C17" s="80"/>
      <c r="D17" s="80" t="s">
        <v>440</v>
      </c>
      <c r="E17" s="80"/>
      <c r="F17" s="80"/>
      <c r="G17" s="101">
        <v>0</v>
      </c>
      <c r="H17" s="92">
        <v>2</v>
      </c>
      <c r="I17" s="92">
        <v>2</v>
      </c>
      <c r="J17" s="135">
        <v>2</v>
      </c>
      <c r="K17" s="101">
        <v>2</v>
      </c>
      <c r="L17" s="92">
        <v>2</v>
      </c>
      <c r="M17" s="101">
        <v>2</v>
      </c>
      <c r="N17" s="115"/>
      <c r="O17" s="51"/>
      <c r="Q17" s="330" t="s">
        <v>223</v>
      </c>
      <c r="R17" s="331" t="str">
        <f t="shared" si="0"/>
        <v>DD</v>
      </c>
      <c r="S17" s="134" t="str">
        <f t="shared" si="2"/>
        <v>RAP/IMP/CAB</v>
      </c>
      <c r="T17" s="134"/>
      <c r="U17" s="134"/>
      <c r="V17" s="332">
        <f t="shared" si="3"/>
        <v>0</v>
      </c>
      <c r="W17" s="332">
        <f t="shared" si="4"/>
        <v>2</v>
      </c>
      <c r="X17" s="332">
        <f t="shared" si="5"/>
        <v>2</v>
      </c>
      <c r="Y17" s="332">
        <f t="shared" si="6"/>
        <v>2</v>
      </c>
      <c r="Z17" s="332">
        <f t="shared" si="7"/>
        <v>2</v>
      </c>
      <c r="AA17" s="332">
        <f t="shared" si="8"/>
        <v>2</v>
      </c>
      <c r="AB17" s="332">
        <f t="shared" si="9"/>
        <v>2</v>
      </c>
      <c r="AC17" s="115">
        <f>N17</f>
        <v>0</v>
      </c>
      <c r="AD17" s="51">
        <f t="shared" si="10"/>
        <v>0</v>
      </c>
    </row>
    <row r="19" spans="1:33" x14ac:dyDescent="0.25">
      <c r="B19" s="320"/>
      <c r="N19" s="51">
        <f>SUM(N21:N34)</f>
        <v>305878.36</v>
      </c>
      <c r="O19" s="51">
        <f>SUM(O21:O34)</f>
        <v>359165.42400000012</v>
      </c>
      <c r="R19" s="320"/>
      <c r="AC19" s="51">
        <f>SUM(AC21:AC34)</f>
        <v>314127.67499999999</v>
      </c>
      <c r="AD19" s="51">
        <f>SUM(AD21:AD34)</f>
        <v>376953.20999999996</v>
      </c>
    </row>
    <row r="20" spans="1:33" x14ac:dyDescent="0.25">
      <c r="A20" s="96" t="s">
        <v>435</v>
      </c>
      <c r="B20" s="94" t="s">
        <v>100</v>
      </c>
      <c r="C20" s="94" t="s">
        <v>436</v>
      </c>
      <c r="D20" s="94" t="s">
        <v>314</v>
      </c>
      <c r="E20" s="94" t="s">
        <v>313</v>
      </c>
      <c r="F20" s="94" t="s">
        <v>61</v>
      </c>
      <c r="G20" s="94" t="s">
        <v>106</v>
      </c>
      <c r="H20" s="94" t="s">
        <v>77</v>
      </c>
      <c r="I20" s="94" t="s">
        <v>78</v>
      </c>
      <c r="J20" s="94" t="s">
        <v>79</v>
      </c>
      <c r="K20" s="94" t="s">
        <v>80</v>
      </c>
      <c r="L20" s="94" t="s">
        <v>81</v>
      </c>
      <c r="M20" s="94" t="s">
        <v>74</v>
      </c>
      <c r="N20" s="94" t="s">
        <v>65</v>
      </c>
      <c r="O20" s="151" t="s">
        <v>437</v>
      </c>
      <c r="Q20" s="96" t="s">
        <v>435</v>
      </c>
      <c r="R20" s="94" t="s">
        <v>100</v>
      </c>
      <c r="S20" s="94" t="s">
        <v>314</v>
      </c>
      <c r="T20" s="94" t="s">
        <v>313</v>
      </c>
      <c r="U20" s="94" t="s">
        <v>61</v>
      </c>
      <c r="V20" s="94" t="s">
        <v>106</v>
      </c>
      <c r="W20" s="94" t="s">
        <v>77</v>
      </c>
      <c r="X20" s="94" t="s">
        <v>78</v>
      </c>
      <c r="Y20" s="94" t="s">
        <v>79</v>
      </c>
      <c r="Z20" s="94" t="s">
        <v>80</v>
      </c>
      <c r="AA20" s="94" t="s">
        <v>81</v>
      </c>
      <c r="AB20" s="94" t="s">
        <v>74</v>
      </c>
      <c r="AC20" s="94" t="s">
        <v>65</v>
      </c>
      <c r="AD20" s="151" t="s">
        <v>437</v>
      </c>
      <c r="AF20" s="329" t="s">
        <v>304</v>
      </c>
      <c r="AG20">
        <v>0</v>
      </c>
    </row>
    <row r="21" spans="1:33" x14ac:dyDescent="0.25">
      <c r="A21" s="330" t="str">
        <f>A4</f>
        <v>#1</v>
      </c>
      <c r="B21" s="331" t="str">
        <f>B4</f>
        <v>POR</v>
      </c>
      <c r="C21" s="134" t="s">
        <v>306</v>
      </c>
      <c r="D21" s="134">
        <f>D4</f>
        <v>0</v>
      </c>
      <c r="E21" s="134">
        <v>22</v>
      </c>
      <c r="F21" s="134">
        <v>50</v>
      </c>
      <c r="G21" s="332">
        <v>15</v>
      </c>
      <c r="H21" s="332">
        <v>4</v>
      </c>
      <c r="I21" s="332">
        <f t="shared" ref="I21:L21" si="14">X4</f>
        <v>2</v>
      </c>
      <c r="J21" s="332">
        <f t="shared" si="14"/>
        <v>0</v>
      </c>
      <c r="K21" s="332">
        <f t="shared" si="14"/>
        <v>0</v>
      </c>
      <c r="L21" s="332">
        <f t="shared" si="14"/>
        <v>0</v>
      </c>
      <c r="M21" s="332">
        <v>4</v>
      </c>
      <c r="N21" s="115">
        <f>(24270+125)*1.012</f>
        <v>24687.74</v>
      </c>
      <c r="O21" s="115">
        <f>N21*1.2</f>
        <v>29625.288</v>
      </c>
      <c r="Q21" s="330" t="s">
        <v>170</v>
      </c>
      <c r="R21" s="331" t="str">
        <f t="shared" ref="R21:R34" si="15">B21</f>
        <v>POR</v>
      </c>
      <c r="S21" s="134"/>
      <c r="T21" s="134"/>
      <c r="U21" s="134"/>
      <c r="V21" s="332">
        <f>G21</f>
        <v>15</v>
      </c>
      <c r="W21" s="332">
        <f t="shared" ref="W21:AA21" si="16">H21</f>
        <v>4</v>
      </c>
      <c r="X21" s="332">
        <f t="shared" si="16"/>
        <v>2</v>
      </c>
      <c r="Y21" s="332">
        <f t="shared" si="16"/>
        <v>0</v>
      </c>
      <c r="Z21" s="332">
        <f t="shared" si="16"/>
        <v>0</v>
      </c>
      <c r="AA21" s="332">
        <f t="shared" si="16"/>
        <v>0</v>
      </c>
      <c r="AB21" s="332">
        <v>17</v>
      </c>
      <c r="AC21" s="115">
        <f>(24270+125)*1.047</f>
        <v>25541.564999999999</v>
      </c>
      <c r="AD21" s="51">
        <f>AC21*1.2</f>
        <v>30649.877999999997</v>
      </c>
      <c r="AF21" s="329" t="s">
        <v>303</v>
      </c>
      <c r="AG21">
        <v>0</v>
      </c>
    </row>
    <row r="22" spans="1:33" x14ac:dyDescent="0.25">
      <c r="A22" s="330" t="str">
        <f t="shared" ref="A22:B22" si="17">A5</f>
        <v>#2</v>
      </c>
      <c r="B22" s="331" t="str">
        <f t="shared" si="17"/>
        <v>DEF</v>
      </c>
      <c r="C22" s="134" t="s">
        <v>66</v>
      </c>
      <c r="D22" s="134" t="s">
        <v>220</v>
      </c>
      <c r="E22" s="134">
        <v>22</v>
      </c>
      <c r="F22" s="134">
        <v>50</v>
      </c>
      <c r="G22" s="332">
        <f t="shared" ref="G22:G33" si="18">V5</f>
        <v>0</v>
      </c>
      <c r="H22" s="332">
        <v>14</v>
      </c>
      <c r="I22" s="332">
        <v>5</v>
      </c>
      <c r="J22" s="332">
        <f t="shared" ref="J22:J33" si="19">Y5</f>
        <v>2</v>
      </c>
      <c r="K22" s="332">
        <f t="shared" ref="K22:K33" si="20">Z5</f>
        <v>2</v>
      </c>
      <c r="L22" s="332">
        <v>7</v>
      </c>
      <c r="M22" s="332">
        <v>3</v>
      </c>
      <c r="N22" s="115">
        <f>(18370+135+245)*1.012</f>
        <v>18975</v>
      </c>
      <c r="O22" s="115">
        <f t="shared" ref="O22:O26" si="21">N22*1.2</f>
        <v>22770</v>
      </c>
      <c r="Q22" s="330" t="s">
        <v>222</v>
      </c>
      <c r="R22" s="331" t="str">
        <f t="shared" si="15"/>
        <v>DEF</v>
      </c>
      <c r="S22" s="134" t="str">
        <f t="shared" ref="S22:S34" si="22">D22</f>
        <v>CAB</v>
      </c>
      <c r="T22" s="134"/>
      <c r="U22" s="134"/>
      <c r="V22" s="332">
        <f t="shared" ref="V22:V34" si="23">G22</f>
        <v>0</v>
      </c>
      <c r="W22" s="332">
        <f t="shared" ref="W22:W34" si="24">H22</f>
        <v>14</v>
      </c>
      <c r="X22" s="332">
        <f t="shared" ref="X22:X34" si="25">I22</f>
        <v>5</v>
      </c>
      <c r="Y22" s="332">
        <f t="shared" ref="Y22:Y34" si="26">J22</f>
        <v>2</v>
      </c>
      <c r="Z22" s="332">
        <f t="shared" ref="Z22:Z34" si="27">K22</f>
        <v>2</v>
      </c>
      <c r="AA22" s="332">
        <f t="shared" ref="AA22:AA34" si="28">L22</f>
        <v>7</v>
      </c>
      <c r="AB22" s="332">
        <v>14</v>
      </c>
      <c r="AC22" s="115">
        <f>(18370+135+245)*1.04</f>
        <v>19500</v>
      </c>
      <c r="AD22" s="51">
        <f t="shared" ref="AD22:AD34" si="29">AC22*1.2</f>
        <v>23400</v>
      </c>
      <c r="AF22" s="329" t="s">
        <v>0</v>
      </c>
      <c r="AG22">
        <v>16</v>
      </c>
    </row>
    <row r="23" spans="1:33" x14ac:dyDescent="0.25">
      <c r="A23" s="330" t="str">
        <f t="shared" ref="A23:B23" si="30">A6</f>
        <v>#3</v>
      </c>
      <c r="B23" s="331" t="str">
        <f t="shared" si="30"/>
        <v>DEF</v>
      </c>
      <c r="C23" s="134" t="s">
        <v>66</v>
      </c>
      <c r="D23" s="134" t="s">
        <v>220</v>
      </c>
      <c r="E23" s="134">
        <v>22</v>
      </c>
      <c r="F23" s="134">
        <v>50</v>
      </c>
      <c r="G23" s="332">
        <f t="shared" ref="G23:G26" si="31">V6</f>
        <v>0</v>
      </c>
      <c r="H23" s="332">
        <v>14</v>
      </c>
      <c r="I23" s="332">
        <v>5</v>
      </c>
      <c r="J23" s="332">
        <f t="shared" ref="J23:J26" si="32">Y6</f>
        <v>2</v>
      </c>
      <c r="K23" s="332">
        <f t="shared" ref="K23:K26" si="33">Z6</f>
        <v>2</v>
      </c>
      <c r="L23" s="332">
        <v>7</v>
      </c>
      <c r="M23" s="332">
        <v>3</v>
      </c>
      <c r="N23" s="115">
        <f>(18370+135+245)*1.012</f>
        <v>18975</v>
      </c>
      <c r="O23" s="115">
        <f t="shared" si="21"/>
        <v>22770</v>
      </c>
      <c r="Q23" s="330" t="s">
        <v>172</v>
      </c>
      <c r="R23" s="331" t="str">
        <f t="shared" si="15"/>
        <v>DEF</v>
      </c>
      <c r="S23" s="134" t="str">
        <f t="shared" si="22"/>
        <v>CAB</v>
      </c>
      <c r="T23" s="134"/>
      <c r="U23" s="134"/>
      <c r="V23" s="332">
        <f t="shared" si="23"/>
        <v>0</v>
      </c>
      <c r="W23" s="332">
        <f t="shared" si="24"/>
        <v>14</v>
      </c>
      <c r="X23" s="332">
        <f t="shared" si="25"/>
        <v>5</v>
      </c>
      <c r="Y23" s="332">
        <f t="shared" si="26"/>
        <v>2</v>
      </c>
      <c r="Z23" s="332">
        <f t="shared" si="27"/>
        <v>2</v>
      </c>
      <c r="AA23" s="332">
        <f t="shared" si="28"/>
        <v>7</v>
      </c>
      <c r="AB23" s="332">
        <v>14</v>
      </c>
      <c r="AC23" s="115">
        <f t="shared" ref="AC23:AC26" si="34">(18370+135+245)*1.04</f>
        <v>19500</v>
      </c>
      <c r="AD23" s="51">
        <f t="shared" si="29"/>
        <v>23400</v>
      </c>
      <c r="AF23" s="329" t="s">
        <v>322</v>
      </c>
      <c r="AG23">
        <v>0</v>
      </c>
    </row>
    <row r="24" spans="1:33" x14ac:dyDescent="0.25">
      <c r="A24" s="330" t="str">
        <f t="shared" ref="A24:B24" si="35">A7</f>
        <v>#4</v>
      </c>
      <c r="B24" s="331" t="str">
        <f t="shared" si="35"/>
        <v>DEF</v>
      </c>
      <c r="C24" s="134" t="s">
        <v>66</v>
      </c>
      <c r="D24" s="134" t="s">
        <v>220</v>
      </c>
      <c r="E24" s="134">
        <v>22</v>
      </c>
      <c r="F24" s="134">
        <v>50</v>
      </c>
      <c r="G24" s="332">
        <f t="shared" si="31"/>
        <v>0</v>
      </c>
      <c r="H24" s="332">
        <v>14</v>
      </c>
      <c r="I24" s="332">
        <v>5</v>
      </c>
      <c r="J24" s="332">
        <f t="shared" si="32"/>
        <v>2</v>
      </c>
      <c r="K24" s="332">
        <f t="shared" si="33"/>
        <v>2</v>
      </c>
      <c r="L24" s="332">
        <v>7</v>
      </c>
      <c r="M24" s="332">
        <v>3</v>
      </c>
      <c r="N24" s="115">
        <f>(18370+135+245)*1.012</f>
        <v>18975</v>
      </c>
      <c r="O24" s="115">
        <f t="shared" si="21"/>
        <v>22770</v>
      </c>
      <c r="Q24" s="330" t="s">
        <v>174</v>
      </c>
      <c r="R24" s="331" t="str">
        <f t="shared" si="15"/>
        <v>DEF</v>
      </c>
      <c r="S24" s="134" t="str">
        <f t="shared" si="22"/>
        <v>CAB</v>
      </c>
      <c r="T24" s="134"/>
      <c r="U24" s="134"/>
      <c r="V24" s="332">
        <f t="shared" si="23"/>
        <v>0</v>
      </c>
      <c r="W24" s="332">
        <f t="shared" si="24"/>
        <v>14</v>
      </c>
      <c r="X24" s="332">
        <f t="shared" si="25"/>
        <v>5</v>
      </c>
      <c r="Y24" s="332">
        <f t="shared" si="26"/>
        <v>2</v>
      </c>
      <c r="Z24" s="332">
        <f t="shared" si="27"/>
        <v>2</v>
      </c>
      <c r="AA24" s="332">
        <f t="shared" si="28"/>
        <v>7</v>
      </c>
      <c r="AB24" s="332">
        <v>14</v>
      </c>
      <c r="AC24" s="115">
        <f t="shared" si="34"/>
        <v>19500</v>
      </c>
      <c r="AD24" s="51">
        <f t="shared" si="29"/>
        <v>23400</v>
      </c>
      <c r="AF24" s="329" t="s">
        <v>246</v>
      </c>
      <c r="AG24">
        <f>AG22+AG21+AG20+AG23</f>
        <v>16</v>
      </c>
    </row>
    <row r="25" spans="1:33" x14ac:dyDescent="0.25">
      <c r="A25" s="330" t="str">
        <f t="shared" ref="A25:B25" si="36">A8</f>
        <v>#5</v>
      </c>
      <c r="B25" s="331" t="str">
        <f t="shared" si="36"/>
        <v>DEF</v>
      </c>
      <c r="C25" s="134" t="s">
        <v>66</v>
      </c>
      <c r="D25" s="134" t="s">
        <v>220</v>
      </c>
      <c r="E25" s="134">
        <v>22</v>
      </c>
      <c r="F25" s="134">
        <v>50</v>
      </c>
      <c r="G25" s="332">
        <f t="shared" si="31"/>
        <v>0</v>
      </c>
      <c r="H25" s="332">
        <v>14</v>
      </c>
      <c r="I25" s="332">
        <v>5</v>
      </c>
      <c r="J25" s="332">
        <f t="shared" si="32"/>
        <v>2</v>
      </c>
      <c r="K25" s="332">
        <f t="shared" si="33"/>
        <v>2</v>
      </c>
      <c r="L25" s="332">
        <v>7</v>
      </c>
      <c r="M25" s="332">
        <v>3</v>
      </c>
      <c r="N25" s="115">
        <f>(18370+135+245)*1.012</f>
        <v>18975</v>
      </c>
      <c r="O25" s="115">
        <f t="shared" si="21"/>
        <v>22770</v>
      </c>
      <c r="Q25" s="330" t="s">
        <v>178</v>
      </c>
      <c r="R25" s="331" t="str">
        <f t="shared" si="15"/>
        <v>DEF</v>
      </c>
      <c r="S25" s="134" t="str">
        <f t="shared" si="22"/>
        <v>CAB</v>
      </c>
      <c r="T25" s="134"/>
      <c r="U25" s="134"/>
      <c r="V25" s="332">
        <f t="shared" si="23"/>
        <v>0</v>
      </c>
      <c r="W25" s="332">
        <f t="shared" si="24"/>
        <v>14</v>
      </c>
      <c r="X25" s="332">
        <f t="shared" si="25"/>
        <v>5</v>
      </c>
      <c r="Y25" s="332">
        <f t="shared" si="26"/>
        <v>2</v>
      </c>
      <c r="Z25" s="332">
        <f t="shared" si="27"/>
        <v>2</v>
      </c>
      <c r="AA25" s="332">
        <f t="shared" si="28"/>
        <v>7</v>
      </c>
      <c r="AB25" s="332">
        <v>14</v>
      </c>
      <c r="AC25" s="115">
        <f t="shared" si="34"/>
        <v>19500</v>
      </c>
      <c r="AD25" s="51">
        <f t="shared" si="29"/>
        <v>23400</v>
      </c>
      <c r="AF25" s="329" t="s">
        <v>60</v>
      </c>
      <c r="AG25" s="83">
        <f>AG24/16</f>
        <v>1</v>
      </c>
    </row>
    <row r="26" spans="1:33" x14ac:dyDescent="0.25">
      <c r="A26" s="330" t="str">
        <f t="shared" ref="A26:B26" si="37">A9</f>
        <v>#6</v>
      </c>
      <c r="B26" s="331" t="str">
        <f t="shared" si="37"/>
        <v>DEF</v>
      </c>
      <c r="C26" s="134" t="s">
        <v>66</v>
      </c>
      <c r="D26" s="134" t="s">
        <v>220</v>
      </c>
      <c r="E26" s="134">
        <v>22</v>
      </c>
      <c r="F26" s="134">
        <v>50</v>
      </c>
      <c r="G26" s="332">
        <f t="shared" si="31"/>
        <v>0</v>
      </c>
      <c r="H26" s="332">
        <v>14</v>
      </c>
      <c r="I26" s="332">
        <v>5</v>
      </c>
      <c r="J26" s="332">
        <f t="shared" si="32"/>
        <v>2</v>
      </c>
      <c r="K26" s="332">
        <f t="shared" si="33"/>
        <v>2</v>
      </c>
      <c r="L26" s="332">
        <v>7</v>
      </c>
      <c r="M26" s="332">
        <v>3</v>
      </c>
      <c r="N26" s="115">
        <f>(18370+135+245)*1.012</f>
        <v>18975</v>
      </c>
      <c r="O26" s="115">
        <f t="shared" si="21"/>
        <v>22770</v>
      </c>
      <c r="Q26" s="330" t="s">
        <v>173</v>
      </c>
      <c r="R26" s="331" t="str">
        <f t="shared" si="15"/>
        <v>DEF</v>
      </c>
      <c r="S26" s="134" t="str">
        <f t="shared" si="22"/>
        <v>CAB</v>
      </c>
      <c r="T26" s="134"/>
      <c r="U26" s="134"/>
      <c r="V26" s="332">
        <f t="shared" si="23"/>
        <v>0</v>
      </c>
      <c r="W26" s="332">
        <f t="shared" si="24"/>
        <v>14</v>
      </c>
      <c r="X26" s="332">
        <f t="shared" si="25"/>
        <v>5</v>
      </c>
      <c r="Y26" s="332">
        <f t="shared" si="26"/>
        <v>2</v>
      </c>
      <c r="Z26" s="332">
        <f t="shared" si="27"/>
        <v>2</v>
      </c>
      <c r="AA26" s="332">
        <f t="shared" si="28"/>
        <v>7</v>
      </c>
      <c r="AB26" s="332">
        <v>14</v>
      </c>
      <c r="AC26" s="115">
        <f t="shared" si="34"/>
        <v>19500</v>
      </c>
      <c r="AD26" s="51">
        <f t="shared" si="29"/>
        <v>23400</v>
      </c>
    </row>
    <row r="27" spans="1:33" x14ac:dyDescent="0.25">
      <c r="A27" s="330" t="str">
        <f t="shared" ref="A27:D27" si="38">A10</f>
        <v>#7</v>
      </c>
      <c r="B27" s="331" t="str">
        <f t="shared" si="38"/>
        <v>Inners</v>
      </c>
      <c r="C27" s="134" t="str">
        <f t="shared" si="38"/>
        <v>I. Vanags</v>
      </c>
      <c r="D27" s="134" t="str">
        <f t="shared" si="38"/>
        <v>CAB</v>
      </c>
      <c r="E27" s="134">
        <f>T10</f>
        <v>22</v>
      </c>
      <c r="F27" s="134">
        <f>U10</f>
        <v>33</v>
      </c>
      <c r="G27" s="332">
        <f t="shared" si="18"/>
        <v>0</v>
      </c>
      <c r="H27" s="332">
        <f t="shared" ref="H27:H33" si="39">W10</f>
        <v>4</v>
      </c>
      <c r="I27" s="332">
        <f t="shared" ref="I27:I32" si="40">X10</f>
        <v>13.5</v>
      </c>
      <c r="J27" s="332">
        <f t="shared" si="19"/>
        <v>3</v>
      </c>
      <c r="K27" s="332">
        <f t="shared" si="20"/>
        <v>4</v>
      </c>
      <c r="L27" s="332">
        <f t="shared" ref="L27:L32" si="41">AA10</f>
        <v>10.166666666666666</v>
      </c>
      <c r="M27" s="332">
        <f t="shared" ref="M27:M32" si="42">AB10</f>
        <v>6</v>
      </c>
      <c r="N27" s="115">
        <f t="shared" ref="N27:O27" si="43">AC10</f>
        <v>22185</v>
      </c>
      <c r="O27" s="115">
        <f t="shared" si="43"/>
        <v>26622</v>
      </c>
      <c r="Q27" s="330" t="s">
        <v>175</v>
      </c>
      <c r="R27" s="331" t="str">
        <f t="shared" si="15"/>
        <v>Inners</v>
      </c>
      <c r="S27" s="134" t="str">
        <f t="shared" si="22"/>
        <v>CAB</v>
      </c>
      <c r="T27" s="134">
        <f>E27+1</f>
        <v>23</v>
      </c>
      <c r="U27" s="134">
        <f>F27</f>
        <v>33</v>
      </c>
      <c r="V27" s="332">
        <f t="shared" si="23"/>
        <v>0</v>
      </c>
      <c r="W27" s="332">
        <f t="shared" si="24"/>
        <v>4</v>
      </c>
      <c r="X27" s="332">
        <f t="shared" si="25"/>
        <v>13.5</v>
      </c>
      <c r="Y27" s="332">
        <f t="shared" si="26"/>
        <v>3</v>
      </c>
      <c r="Z27" s="332">
        <f t="shared" si="27"/>
        <v>4</v>
      </c>
      <c r="AA27" s="332">
        <f t="shared" si="28"/>
        <v>10.166666666666666</v>
      </c>
      <c r="AB27" s="332">
        <v>15</v>
      </c>
      <c r="AC27" s="115">
        <f>(20000+1500+125+125)*1.043</f>
        <v>22685.25</v>
      </c>
      <c r="AD27" s="51">
        <f t="shared" si="29"/>
        <v>27222.3</v>
      </c>
    </row>
    <row r="28" spans="1:33" x14ac:dyDescent="0.25">
      <c r="A28" s="330" t="str">
        <f t="shared" ref="A28:D28" si="44">A11</f>
        <v>#8</v>
      </c>
      <c r="B28" s="331" t="str">
        <f t="shared" si="44"/>
        <v>Inners</v>
      </c>
      <c r="C28" s="134" t="str">
        <f t="shared" si="44"/>
        <v>I. Stone</v>
      </c>
      <c r="D28" s="134" t="str">
        <f t="shared" si="44"/>
        <v>RAP</v>
      </c>
      <c r="E28" s="134">
        <f t="shared" ref="E28:F32" si="45">T11</f>
        <v>21</v>
      </c>
      <c r="F28" s="134">
        <f t="shared" si="45"/>
        <v>98</v>
      </c>
      <c r="G28" s="332">
        <f t="shared" si="18"/>
        <v>0</v>
      </c>
      <c r="H28" s="332">
        <f t="shared" si="39"/>
        <v>3</v>
      </c>
      <c r="I28" s="332">
        <f t="shared" si="40"/>
        <v>13</v>
      </c>
      <c r="J28" s="332">
        <f t="shared" si="19"/>
        <v>2</v>
      </c>
      <c r="K28" s="332">
        <f t="shared" si="20"/>
        <v>6</v>
      </c>
      <c r="L28" s="332">
        <f t="shared" si="41"/>
        <v>11.571428571428571</v>
      </c>
      <c r="M28" s="332">
        <f t="shared" si="42"/>
        <v>2</v>
      </c>
      <c r="N28" s="115">
        <f t="shared" ref="N28:O28" si="46">AC11</f>
        <v>17902.080000000002</v>
      </c>
      <c r="O28" s="115">
        <f t="shared" si="46"/>
        <v>17902.080000000002</v>
      </c>
      <c r="Q28" s="330" t="s">
        <v>179</v>
      </c>
      <c r="R28" s="331" t="str">
        <f t="shared" si="15"/>
        <v>Inners</v>
      </c>
      <c r="S28" s="134" t="str">
        <f t="shared" si="22"/>
        <v>RAP</v>
      </c>
      <c r="T28" s="134">
        <f t="shared" ref="T28:T32" si="47">E28+1</f>
        <v>22</v>
      </c>
      <c r="U28" s="134">
        <f t="shared" ref="U28:U32" si="48">F28</f>
        <v>98</v>
      </c>
      <c r="V28" s="332">
        <f t="shared" si="23"/>
        <v>0</v>
      </c>
      <c r="W28" s="332">
        <f t="shared" si="24"/>
        <v>3</v>
      </c>
      <c r="X28" s="332">
        <f t="shared" si="25"/>
        <v>13</v>
      </c>
      <c r="Y28" s="332">
        <f t="shared" si="26"/>
        <v>2</v>
      </c>
      <c r="Z28" s="332">
        <f t="shared" si="27"/>
        <v>6</v>
      </c>
      <c r="AA28" s="332">
        <f t="shared" si="28"/>
        <v>11.571428571428571</v>
      </c>
      <c r="AB28" s="332">
        <v>13.5</v>
      </c>
      <c r="AC28" s="115">
        <f>(14490+3125+145)*1.038</f>
        <v>18434.88</v>
      </c>
      <c r="AD28" s="51">
        <f t="shared" si="29"/>
        <v>22121.856</v>
      </c>
    </row>
    <row r="29" spans="1:33" x14ac:dyDescent="0.25">
      <c r="A29" s="330" t="str">
        <f t="shared" ref="A29:D29" si="49">A12</f>
        <v>#9</v>
      </c>
      <c r="B29" s="331" t="str">
        <f t="shared" si="49"/>
        <v>Inners</v>
      </c>
      <c r="C29" s="134" t="str">
        <f t="shared" si="49"/>
        <v>G. Piscaer</v>
      </c>
      <c r="D29" s="134" t="str">
        <f t="shared" si="49"/>
        <v>IMP</v>
      </c>
      <c r="E29" s="134">
        <f t="shared" si="45"/>
        <v>22</v>
      </c>
      <c r="F29" s="134">
        <f t="shared" si="45"/>
        <v>49</v>
      </c>
      <c r="G29" s="332">
        <f t="shared" si="18"/>
        <v>0</v>
      </c>
      <c r="H29" s="332">
        <f t="shared" si="39"/>
        <v>4</v>
      </c>
      <c r="I29" s="332">
        <f t="shared" si="40"/>
        <v>14</v>
      </c>
      <c r="J29" s="332">
        <f t="shared" si="19"/>
        <v>3</v>
      </c>
      <c r="K29" s="332">
        <f t="shared" si="20"/>
        <v>2</v>
      </c>
      <c r="L29" s="332">
        <f t="shared" si="41"/>
        <v>10.857142857142858</v>
      </c>
      <c r="M29" s="332">
        <f t="shared" si="42"/>
        <v>0</v>
      </c>
      <c r="N29" s="115">
        <f t="shared" ref="N29:O29" si="50">AC12</f>
        <v>25920</v>
      </c>
      <c r="O29" s="115">
        <f t="shared" si="50"/>
        <v>31104</v>
      </c>
      <c r="Q29" s="330" t="s">
        <v>224</v>
      </c>
      <c r="R29" s="331" t="str">
        <f t="shared" si="15"/>
        <v>Inners</v>
      </c>
      <c r="S29" s="134" t="str">
        <f t="shared" si="22"/>
        <v>IMP</v>
      </c>
      <c r="T29" s="134">
        <f t="shared" si="47"/>
        <v>23</v>
      </c>
      <c r="U29" s="134">
        <f t="shared" si="48"/>
        <v>49</v>
      </c>
      <c r="V29" s="332">
        <f t="shared" si="23"/>
        <v>0</v>
      </c>
      <c r="W29" s="332">
        <f t="shared" si="24"/>
        <v>4</v>
      </c>
      <c r="X29" s="332">
        <f t="shared" si="25"/>
        <v>14</v>
      </c>
      <c r="Y29" s="332">
        <f t="shared" si="26"/>
        <v>3</v>
      </c>
      <c r="Z29" s="332">
        <f t="shared" si="27"/>
        <v>2</v>
      </c>
      <c r="AA29" s="332">
        <f t="shared" si="28"/>
        <v>10.857142857142858</v>
      </c>
      <c r="AB29" s="332">
        <v>12.5</v>
      </c>
      <c r="AC29" s="115">
        <f>(23500+2295+125)*1.035</f>
        <v>26827.199999999997</v>
      </c>
      <c r="AD29" s="51">
        <f t="shared" si="29"/>
        <v>32192.639999999996</v>
      </c>
    </row>
    <row r="30" spans="1:33" x14ac:dyDescent="0.25">
      <c r="A30" s="330" t="str">
        <f t="shared" ref="A30:D30" si="51">A13</f>
        <v>#10</v>
      </c>
      <c r="B30" s="331" t="str">
        <f t="shared" si="51"/>
        <v>Inners</v>
      </c>
      <c r="C30" s="134" t="str">
        <f t="shared" si="51"/>
        <v>M. Bondarewski</v>
      </c>
      <c r="D30" s="134" t="str">
        <f t="shared" si="51"/>
        <v>RAP</v>
      </c>
      <c r="E30" s="134">
        <f t="shared" si="45"/>
        <v>22</v>
      </c>
      <c r="F30" s="134">
        <f t="shared" si="45"/>
        <v>49</v>
      </c>
      <c r="G30" s="332">
        <f t="shared" si="18"/>
        <v>0</v>
      </c>
      <c r="H30" s="332">
        <f t="shared" si="39"/>
        <v>2</v>
      </c>
      <c r="I30" s="332">
        <f t="shared" si="40"/>
        <v>14</v>
      </c>
      <c r="J30" s="332">
        <f t="shared" si="19"/>
        <v>5</v>
      </c>
      <c r="K30" s="332">
        <f t="shared" si="20"/>
        <v>4</v>
      </c>
      <c r="L30" s="332">
        <f t="shared" si="41"/>
        <v>10.857142857142858</v>
      </c>
      <c r="M30" s="332">
        <f t="shared" si="42"/>
        <v>6</v>
      </c>
      <c r="N30" s="115">
        <f t="shared" ref="N30:O30" si="52">AC13</f>
        <v>26565.9</v>
      </c>
      <c r="O30" s="115">
        <f t="shared" si="52"/>
        <v>31879.08</v>
      </c>
      <c r="Q30" s="330" t="s">
        <v>176</v>
      </c>
      <c r="R30" s="331" t="str">
        <f t="shared" si="15"/>
        <v>Inners</v>
      </c>
      <c r="S30" s="134" t="str">
        <f t="shared" si="22"/>
        <v>RAP</v>
      </c>
      <c r="T30" s="134">
        <f t="shared" si="47"/>
        <v>23</v>
      </c>
      <c r="U30" s="134">
        <f t="shared" si="48"/>
        <v>49</v>
      </c>
      <c r="V30" s="332">
        <f t="shared" si="23"/>
        <v>0</v>
      </c>
      <c r="W30" s="332">
        <f t="shared" si="24"/>
        <v>2</v>
      </c>
      <c r="X30" s="332">
        <f t="shared" si="25"/>
        <v>14</v>
      </c>
      <c r="Y30" s="332">
        <f t="shared" si="26"/>
        <v>5</v>
      </c>
      <c r="Z30" s="332">
        <f t="shared" si="27"/>
        <v>4</v>
      </c>
      <c r="AA30" s="332">
        <f t="shared" si="28"/>
        <v>10.857142857142858</v>
      </c>
      <c r="AB30" s="332">
        <v>15</v>
      </c>
      <c r="AC30" s="115">
        <f>(23500+2295+125+125)*1.043</f>
        <v>27164.934999999998</v>
      </c>
      <c r="AD30" s="51">
        <f t="shared" si="29"/>
        <v>32597.921999999995</v>
      </c>
    </row>
    <row r="31" spans="1:33" x14ac:dyDescent="0.25">
      <c r="A31" s="330" t="str">
        <f t="shared" ref="A31:D31" si="53">A14</f>
        <v>#11</v>
      </c>
      <c r="B31" s="331" t="str">
        <f t="shared" si="53"/>
        <v>Inners</v>
      </c>
      <c r="C31" s="134" t="str">
        <f t="shared" si="53"/>
        <v>J. Vartiainen</v>
      </c>
      <c r="D31" s="134" t="str">
        <f t="shared" si="53"/>
        <v>CAB</v>
      </c>
      <c r="E31" s="134">
        <f t="shared" si="45"/>
        <v>22</v>
      </c>
      <c r="F31" s="134">
        <f t="shared" si="45"/>
        <v>105</v>
      </c>
      <c r="G31" s="332">
        <f t="shared" si="18"/>
        <v>0</v>
      </c>
      <c r="H31" s="332">
        <f t="shared" si="39"/>
        <v>7</v>
      </c>
      <c r="I31" s="332">
        <f t="shared" si="40"/>
        <v>13.444444444444445</v>
      </c>
      <c r="J31" s="332">
        <f t="shared" si="19"/>
        <v>1</v>
      </c>
      <c r="K31" s="332">
        <f t="shared" si="20"/>
        <v>1</v>
      </c>
      <c r="L31" s="332">
        <f t="shared" si="41"/>
        <v>9.5</v>
      </c>
      <c r="M31" s="332">
        <f t="shared" si="42"/>
        <v>1</v>
      </c>
      <c r="N31" s="115">
        <f t="shared" ref="N31:O31" si="54">AC14</f>
        <v>21329.98</v>
      </c>
      <c r="O31" s="115">
        <f t="shared" si="54"/>
        <v>25595.975999999999</v>
      </c>
      <c r="Q31" s="330" t="s">
        <v>177</v>
      </c>
      <c r="R31" s="331" t="str">
        <f t="shared" si="15"/>
        <v>Inners</v>
      </c>
      <c r="S31" s="134" t="str">
        <f t="shared" si="22"/>
        <v>CAB</v>
      </c>
      <c r="T31" s="134">
        <f t="shared" si="47"/>
        <v>23</v>
      </c>
      <c r="U31" s="134">
        <f t="shared" si="48"/>
        <v>105</v>
      </c>
      <c r="V31" s="332">
        <f t="shared" si="23"/>
        <v>0</v>
      </c>
      <c r="W31" s="332">
        <f t="shared" si="24"/>
        <v>7</v>
      </c>
      <c r="X31" s="332">
        <f t="shared" si="25"/>
        <v>13.444444444444445</v>
      </c>
      <c r="Y31" s="332">
        <f t="shared" si="26"/>
        <v>1</v>
      </c>
      <c r="Z31" s="332">
        <f t="shared" si="27"/>
        <v>1</v>
      </c>
      <c r="AA31" s="332">
        <f t="shared" si="28"/>
        <v>9.5</v>
      </c>
      <c r="AB31" s="332">
        <v>13</v>
      </c>
      <c r="AC31" s="115">
        <f>(20000+1020+225)*1.037</f>
        <v>22031.064999999999</v>
      </c>
      <c r="AD31" s="51">
        <f t="shared" si="29"/>
        <v>26437.277999999998</v>
      </c>
    </row>
    <row r="32" spans="1:33" x14ac:dyDescent="0.25">
      <c r="A32" s="330" t="str">
        <f t="shared" ref="A32:D32" si="55">A15</f>
        <v>#12</v>
      </c>
      <c r="B32" s="331" t="str">
        <f t="shared" si="55"/>
        <v>Inners</v>
      </c>
      <c r="C32" s="134" t="str">
        <f t="shared" si="55"/>
        <v>R. Forsyth</v>
      </c>
      <c r="D32" s="134" t="str">
        <f t="shared" si="55"/>
        <v>POT</v>
      </c>
      <c r="E32" s="134">
        <f t="shared" si="45"/>
        <v>22</v>
      </c>
      <c r="F32" s="134">
        <f t="shared" si="45"/>
        <v>100</v>
      </c>
      <c r="G32" s="332">
        <f t="shared" si="18"/>
        <v>0</v>
      </c>
      <c r="H32" s="332">
        <f t="shared" si="39"/>
        <v>7</v>
      </c>
      <c r="I32" s="332">
        <f t="shared" si="40"/>
        <v>13.444444444444445</v>
      </c>
      <c r="J32" s="332">
        <f t="shared" si="19"/>
        <v>2</v>
      </c>
      <c r="K32" s="332">
        <f t="shared" si="20"/>
        <v>4</v>
      </c>
      <c r="L32" s="332">
        <f t="shared" si="41"/>
        <v>9.5</v>
      </c>
      <c r="M32" s="332">
        <f t="shared" si="42"/>
        <v>2</v>
      </c>
      <c r="N32" s="115">
        <f t="shared" ref="N32:O32" si="56">AC15</f>
        <v>21540.959999999999</v>
      </c>
      <c r="O32" s="115">
        <f t="shared" si="56"/>
        <v>21540.959999999999</v>
      </c>
      <c r="Q32" s="330" t="s">
        <v>171</v>
      </c>
      <c r="R32" s="331" t="str">
        <f t="shared" si="15"/>
        <v>Inners</v>
      </c>
      <c r="S32" s="134" t="str">
        <f t="shared" si="22"/>
        <v>POT</v>
      </c>
      <c r="T32" s="134">
        <f t="shared" si="47"/>
        <v>23</v>
      </c>
      <c r="U32" s="134">
        <f t="shared" si="48"/>
        <v>100</v>
      </c>
      <c r="V32" s="332">
        <f t="shared" si="23"/>
        <v>0</v>
      </c>
      <c r="W32" s="332">
        <f t="shared" si="24"/>
        <v>7</v>
      </c>
      <c r="X32" s="332">
        <f t="shared" si="25"/>
        <v>13.444444444444445</v>
      </c>
      <c r="Y32" s="332">
        <f t="shared" si="26"/>
        <v>2</v>
      </c>
      <c r="Z32" s="332">
        <f t="shared" si="27"/>
        <v>4</v>
      </c>
      <c r="AA32" s="332">
        <f t="shared" si="28"/>
        <v>9.5</v>
      </c>
      <c r="AB32" s="332">
        <v>13.5</v>
      </c>
      <c r="AC32" s="115">
        <f>(20000+1020+225+125)*1.038</f>
        <v>22182.06</v>
      </c>
      <c r="AD32" s="51">
        <f t="shared" si="29"/>
        <v>26618.472000000002</v>
      </c>
    </row>
    <row r="33" spans="1:30" x14ac:dyDescent="0.25">
      <c r="A33" s="330" t="str">
        <f t="shared" ref="A33:D33" si="57">A16</f>
        <v>#13</v>
      </c>
      <c r="B33" s="331" t="str">
        <f t="shared" si="57"/>
        <v>DD</v>
      </c>
      <c r="C33" s="134" t="s">
        <v>441</v>
      </c>
      <c r="D33" s="134" t="str">
        <f t="shared" si="57"/>
        <v>RAP/IMP/CAB</v>
      </c>
      <c r="E33" s="134">
        <v>22</v>
      </c>
      <c r="F33" s="134">
        <v>50</v>
      </c>
      <c r="G33" s="332">
        <f t="shared" si="18"/>
        <v>0</v>
      </c>
      <c r="H33" s="332">
        <f t="shared" si="39"/>
        <v>2</v>
      </c>
      <c r="I33" s="332">
        <v>14</v>
      </c>
      <c r="J33" s="332">
        <f t="shared" si="19"/>
        <v>2</v>
      </c>
      <c r="K33" s="332">
        <f t="shared" si="20"/>
        <v>2</v>
      </c>
      <c r="L33" s="332">
        <v>11</v>
      </c>
      <c r="M33" s="332">
        <v>10</v>
      </c>
      <c r="N33" s="115">
        <f>(22400+2295)*1.03</f>
        <v>25435.850000000002</v>
      </c>
      <c r="O33" s="115">
        <f t="shared" ref="O33:O34" si="58">N33*1.2</f>
        <v>30523.02</v>
      </c>
      <c r="Q33" s="330" t="s">
        <v>216</v>
      </c>
      <c r="R33" s="331" t="str">
        <f t="shared" si="15"/>
        <v>DD</v>
      </c>
      <c r="S33" s="134" t="str">
        <f t="shared" si="22"/>
        <v>RAP/IMP/CAB</v>
      </c>
      <c r="T33" s="134"/>
      <c r="U33" s="134"/>
      <c r="V33" s="332">
        <f t="shared" si="23"/>
        <v>0</v>
      </c>
      <c r="W33" s="332">
        <f t="shared" si="24"/>
        <v>2</v>
      </c>
      <c r="X33" s="332">
        <f t="shared" si="25"/>
        <v>14</v>
      </c>
      <c r="Y33" s="332">
        <f t="shared" si="26"/>
        <v>2</v>
      </c>
      <c r="Z33" s="332">
        <f t="shared" si="27"/>
        <v>2</v>
      </c>
      <c r="AA33" s="332">
        <f t="shared" si="28"/>
        <v>11</v>
      </c>
      <c r="AB33" s="332">
        <v>18</v>
      </c>
      <c r="AC33" s="115">
        <f>(22400+2295)*1.048</f>
        <v>25880.36</v>
      </c>
      <c r="AD33" s="51">
        <f t="shared" si="29"/>
        <v>31056.432000000001</v>
      </c>
    </row>
    <row r="34" spans="1:30" x14ac:dyDescent="0.25">
      <c r="A34" s="330" t="str">
        <f t="shared" ref="A34:D34" si="59">A17</f>
        <v>#14</v>
      </c>
      <c r="B34" s="331" t="str">
        <f t="shared" si="59"/>
        <v>DD</v>
      </c>
      <c r="C34" s="134" t="s">
        <v>441</v>
      </c>
      <c r="D34" s="134" t="str">
        <f t="shared" si="59"/>
        <v>RAP/IMP/CAB</v>
      </c>
      <c r="E34" s="134">
        <v>22</v>
      </c>
      <c r="F34" s="134">
        <v>50</v>
      </c>
      <c r="G34" s="332">
        <f t="shared" ref="G34" si="60">V17</f>
        <v>0</v>
      </c>
      <c r="H34" s="332">
        <f t="shared" ref="H34" si="61">W17</f>
        <v>2</v>
      </c>
      <c r="I34" s="332">
        <v>14</v>
      </c>
      <c r="J34" s="332">
        <f t="shared" ref="J34" si="62">Y17</f>
        <v>2</v>
      </c>
      <c r="K34" s="332">
        <f t="shared" ref="K34" si="63">Z17</f>
        <v>2</v>
      </c>
      <c r="L34" s="332">
        <v>11</v>
      </c>
      <c r="M34" s="332">
        <v>10</v>
      </c>
      <c r="N34" s="115">
        <f>(22400+2295)*1.03</f>
        <v>25435.850000000002</v>
      </c>
      <c r="O34" s="115">
        <f t="shared" si="58"/>
        <v>30523.02</v>
      </c>
      <c r="Q34" s="330" t="s">
        <v>223</v>
      </c>
      <c r="R34" s="331" t="str">
        <f t="shared" si="15"/>
        <v>DD</v>
      </c>
      <c r="S34" s="134" t="str">
        <f t="shared" si="22"/>
        <v>RAP/IMP/CAB</v>
      </c>
      <c r="T34" s="134"/>
      <c r="U34" s="134"/>
      <c r="V34" s="332">
        <f t="shared" si="23"/>
        <v>0</v>
      </c>
      <c r="W34" s="332">
        <f t="shared" si="24"/>
        <v>2</v>
      </c>
      <c r="X34" s="332">
        <f t="shared" si="25"/>
        <v>14</v>
      </c>
      <c r="Y34" s="332">
        <f t="shared" si="26"/>
        <v>2</v>
      </c>
      <c r="Z34" s="332">
        <f t="shared" si="27"/>
        <v>2</v>
      </c>
      <c r="AA34" s="332">
        <f t="shared" si="28"/>
        <v>11</v>
      </c>
      <c r="AB34" s="332">
        <v>18</v>
      </c>
      <c r="AC34" s="115">
        <f>(22400+2295)*1.048</f>
        <v>25880.36</v>
      </c>
      <c r="AD34" s="51">
        <f t="shared" si="29"/>
        <v>31056.432000000001</v>
      </c>
    </row>
  </sheetData>
  <conditionalFormatting sqref="V4:AB17">
    <cfRule type="colorScale" priority="5">
      <colorScale>
        <cfvo type="min"/>
        <cfvo type="max"/>
        <color rgb="FFFFEF9C"/>
        <color rgb="FF63BE7B"/>
      </colorScale>
    </cfRule>
  </conditionalFormatting>
  <conditionalFormatting sqref="G4:M17">
    <cfRule type="colorScale" priority="3">
      <colorScale>
        <cfvo type="min"/>
        <cfvo type="max"/>
        <color rgb="FFFFEF9C"/>
        <color rgb="FF63BE7B"/>
      </colorScale>
    </cfRule>
  </conditionalFormatting>
  <conditionalFormatting sqref="V21:AB34">
    <cfRule type="colorScale" priority="2">
      <colorScale>
        <cfvo type="min"/>
        <cfvo type="max"/>
        <color rgb="FFFFEF9C"/>
        <color rgb="FF63BE7B"/>
      </colorScale>
    </cfRule>
  </conditionalFormatting>
  <conditionalFormatting sqref="G21:M34">
    <cfRule type="colorScale" priority="1">
      <colorScale>
        <cfvo type="min"/>
        <cfvo type="max"/>
        <color rgb="FFFFEF9C"/>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18</vt:i4>
      </vt:variant>
    </vt:vector>
  </HeadingPairs>
  <TitlesOfParts>
    <vt:vector size="18" baseType="lpstr">
      <vt:lpstr>Hall_of_Fame</vt:lpstr>
      <vt:lpstr>Plantilla</vt:lpstr>
      <vt:lpstr>Juveniles</vt:lpstr>
      <vt:lpstr>Economia</vt:lpstr>
      <vt:lpstr>Evaluacion</vt:lpstr>
      <vt:lpstr>Calculadora_Tactica</vt:lpstr>
      <vt:lpstr>Capitan</vt:lpstr>
      <vt:lpstr>Entrenador</vt:lpstr>
      <vt:lpstr>Planning</vt:lpstr>
      <vt:lpstr>Entrenamiento</vt:lpstr>
      <vt:lpstr>Resumen_Rend</vt:lpstr>
      <vt:lpstr>352</vt:lpstr>
      <vt:lpstr>541</vt:lpstr>
      <vt:lpstr>DEF</vt:lpstr>
      <vt:lpstr>JUG</vt:lpstr>
      <vt:lpstr>PAS</vt:lpstr>
      <vt:lpstr>LAT</vt:lpstr>
      <vt:lpstr>El Desierto de Tattoine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2006-09-12T12:46:56Z</dcterms:created>
  <dcterms:modified xsi:type="dcterms:W3CDTF">2019-07-11T14:23:16Z</dcterms:modified>
</cp:coreProperties>
</file>