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5C0556FC-8AD8-44DB-9CA8-57A951C91178}" xr6:coauthVersionLast="33" xr6:coauthVersionMax="33" xr10:uidLastSave="{00000000-0000-0000-0000-000000000000}"/>
  <bookViews>
    <workbookView xWindow="240" yWindow="105" windowWidth="14805" windowHeight="8010" firstSheet="7" activeTab="9" xr2:uid="{00000000-000D-0000-FFFF-FFFF00000000}"/>
  </bookViews>
  <sheets>
    <sheet name="Tactica" sheetId="1" r:id="rId1"/>
    <sheet name="DatosTactica" sheetId="9" r:id="rId2"/>
    <sheet name="Lanzadores" sheetId="4" r:id="rId3"/>
    <sheet name="EquipoPerikas" sheetId="5" r:id="rId4"/>
    <sheet name="Sueldos" sheetId="11" r:id="rId5"/>
    <sheet name="451_TL_1Banda" sheetId="12" r:id="rId6"/>
    <sheet name="Planning_10-11Jug" sheetId="2" r:id="rId7"/>
    <sheet name="PLANNING" sheetId="19" r:id="rId8"/>
    <sheet name="Planning_v3" sheetId="20" r:id="rId9"/>
    <sheet name="FICHAR" sheetId="21" r:id="rId10"/>
    <sheet name="Entrenamiento" sheetId="8" r:id="rId11"/>
  </sheets>
  <calcPr calcId="179017"/>
</workbook>
</file>

<file path=xl/calcChain.xml><?xml version="1.0" encoding="utf-8"?>
<calcChain xmlns="http://schemas.openxmlformats.org/spreadsheetml/2006/main">
  <c r="O33" i="21" l="1"/>
  <c r="Q33" i="21" s="1"/>
  <c r="O34" i="21"/>
  <c r="Q34" i="21" s="1"/>
  <c r="O35" i="21"/>
  <c r="Q35" i="21" s="1"/>
  <c r="O36" i="21"/>
  <c r="Q36" i="21" s="1"/>
  <c r="O37" i="21"/>
  <c r="Q37" i="21" s="1"/>
  <c r="O38" i="21"/>
  <c r="Q38" i="21" s="1"/>
  <c r="O39" i="21"/>
  <c r="Q39" i="21" s="1"/>
  <c r="O40" i="21"/>
  <c r="Q40" i="21" s="1"/>
  <c r="O41" i="21"/>
  <c r="Q41" i="21" s="1"/>
  <c r="O42" i="21"/>
  <c r="Q42" i="21" s="1"/>
  <c r="O43" i="21"/>
  <c r="Q43" i="21" s="1"/>
  <c r="O44" i="21"/>
  <c r="Q44" i="21" s="1"/>
  <c r="O45" i="21"/>
  <c r="Q45" i="21" s="1"/>
  <c r="O46" i="21"/>
  <c r="Q46" i="21" s="1"/>
  <c r="O47" i="21"/>
  <c r="Q47" i="21" s="1"/>
  <c r="O48" i="21"/>
  <c r="Q48" i="21"/>
  <c r="O49" i="21"/>
  <c r="Q49" i="21"/>
  <c r="O50" i="21"/>
  <c r="Q50" i="21" s="1"/>
  <c r="O51" i="21"/>
  <c r="Q51" i="21" s="1"/>
  <c r="O25" i="21"/>
  <c r="Q25" i="21" s="1"/>
  <c r="O26" i="21"/>
  <c r="Q26" i="21" s="1"/>
  <c r="O27" i="21"/>
  <c r="Q27" i="21" s="1"/>
  <c r="O28" i="21"/>
  <c r="Q28" i="21" s="1"/>
  <c r="O29" i="21"/>
  <c r="Q29" i="21" s="1"/>
  <c r="O30" i="21"/>
  <c r="Q30" i="21" s="1"/>
  <c r="O31" i="21"/>
  <c r="Q31" i="21" s="1"/>
  <c r="O32" i="21"/>
  <c r="Q32" i="21" s="1"/>
  <c r="O15" i="21" l="1"/>
  <c r="Q15" i="21" s="1"/>
  <c r="O16" i="21"/>
  <c r="Q16" i="21" s="1"/>
  <c r="O17" i="21"/>
  <c r="Q17" i="21" s="1"/>
  <c r="O18" i="21"/>
  <c r="Q18" i="21" s="1"/>
  <c r="O19" i="21"/>
  <c r="Q19" i="21" s="1"/>
  <c r="O20" i="21"/>
  <c r="Q20" i="21" s="1"/>
  <c r="O21" i="21"/>
  <c r="Q21" i="21" s="1"/>
  <c r="O22" i="21"/>
  <c r="Q22" i="21" s="1"/>
  <c r="O23" i="21"/>
  <c r="Q23" i="21" s="1"/>
  <c r="O24" i="21"/>
  <c r="Q24" i="21" s="1"/>
  <c r="O3" i="21"/>
  <c r="O4" i="21"/>
  <c r="O5" i="21"/>
  <c r="O6" i="21"/>
  <c r="O7" i="21"/>
  <c r="O8" i="21"/>
  <c r="O9" i="21"/>
  <c r="O10" i="21"/>
  <c r="Q10" i="21" s="1"/>
  <c r="O11" i="21"/>
  <c r="Q11" i="21" s="1"/>
  <c r="O12" i="21"/>
  <c r="Q12" i="21" s="1"/>
  <c r="O13" i="21"/>
  <c r="Q13" i="21" s="1"/>
  <c r="O14" i="21"/>
  <c r="Q14" i="21" s="1"/>
  <c r="O2" i="21"/>
  <c r="Q8" i="21" l="1"/>
  <c r="Q9" i="21"/>
  <c r="Q4" i="21"/>
  <c r="Q5" i="21"/>
  <c r="Q6" i="21"/>
  <c r="Q7" i="21"/>
  <c r="Q3" i="21"/>
  <c r="Q2" i="21"/>
  <c r="AA23" i="20" l="1"/>
  <c r="AA24" i="20" s="1"/>
  <c r="AJ18" i="20"/>
  <c r="AI18" i="20"/>
  <c r="AJ17" i="20"/>
  <c r="AI17" i="20"/>
  <c r="AI16" i="20"/>
  <c r="AJ16" i="20" s="1"/>
  <c r="AI15" i="20"/>
  <c r="AJ15" i="20" s="1"/>
  <c r="AJ14" i="20"/>
  <c r="AI14" i="20"/>
  <c r="AJ13" i="20"/>
  <c r="AI13" i="20"/>
  <c r="AI12" i="20"/>
  <c r="AJ12" i="20" s="1"/>
  <c r="AI11" i="20"/>
  <c r="AJ11" i="20" s="1"/>
  <c r="AJ10" i="20"/>
  <c r="AI10" i="20"/>
  <c r="AJ9" i="20"/>
  <c r="AI9" i="20"/>
  <c r="AI8" i="20"/>
  <c r="AJ8" i="20" s="1"/>
  <c r="AI7" i="20"/>
  <c r="AI5" i="20" s="1"/>
  <c r="V17" i="20"/>
  <c r="W17" i="20" s="1"/>
  <c r="N23" i="20"/>
  <c r="N24" i="20" s="1"/>
  <c r="V18" i="20"/>
  <c r="W18" i="20" s="1"/>
  <c r="V16" i="20"/>
  <c r="W16" i="20" s="1"/>
  <c r="V15" i="20"/>
  <c r="W15" i="20" s="1"/>
  <c r="V14" i="20"/>
  <c r="W14" i="20" s="1"/>
  <c r="V13" i="20"/>
  <c r="W13" i="20" s="1"/>
  <c r="V12" i="20"/>
  <c r="W12" i="20" s="1"/>
  <c r="V11" i="20"/>
  <c r="W11" i="20" s="1"/>
  <c r="V10" i="20"/>
  <c r="W10" i="20" s="1"/>
  <c r="V9" i="20"/>
  <c r="W9" i="20" s="1"/>
  <c r="V8" i="20"/>
  <c r="W8" i="20" s="1"/>
  <c r="V7" i="20"/>
  <c r="W7" i="20" s="1"/>
  <c r="H5" i="20"/>
  <c r="G5" i="20"/>
  <c r="F5" i="20"/>
  <c r="E5" i="20"/>
  <c r="D5" i="20"/>
  <c r="C5" i="20"/>
  <c r="I4" i="20"/>
  <c r="I3" i="20"/>
  <c r="AJ7" i="20" l="1"/>
  <c r="AJ5" i="20" s="1"/>
  <c r="W5" i="20"/>
  <c r="I5" i="20"/>
  <c r="V5" i="20"/>
  <c r="AD23" i="19"/>
  <c r="AD24" i="19"/>
  <c r="AD22" i="19"/>
  <c r="AD19" i="19"/>
  <c r="AD18" i="19"/>
  <c r="AJ19" i="19" l="1"/>
  <c r="CR13" i="19"/>
  <c r="AH26" i="19" s="1"/>
  <c r="CP13" i="19"/>
  <c r="CO13" i="19"/>
  <c r="CQ13" i="19" s="1"/>
  <c r="CM13" i="19"/>
  <c r="CL13" i="19"/>
  <c r="CN13" i="19" s="1"/>
  <c r="CK13" i="19"/>
  <c r="CJ13" i="19"/>
  <c r="CI13" i="19"/>
  <c r="CH13" i="19"/>
  <c r="CG13" i="19"/>
  <c r="CF13" i="19"/>
  <c r="CE13" i="19"/>
  <c r="CD13" i="19"/>
  <c r="CC13" i="19"/>
  <c r="CB13" i="19"/>
  <c r="CA13" i="19"/>
  <c r="BY13" i="19"/>
  <c r="BX13" i="19"/>
  <c r="BZ13" i="19" s="1"/>
  <c r="BW13" i="19"/>
  <c r="BU13" i="19"/>
  <c r="BT13" i="19"/>
  <c r="BV13" i="19" s="1"/>
  <c r="BR13" i="19"/>
  <c r="BQ13" i="19"/>
  <c r="BS13" i="19" s="1"/>
  <c r="BP13" i="19"/>
  <c r="BN13" i="19"/>
  <c r="BM13" i="19"/>
  <c r="BO13" i="19" s="1"/>
  <c r="BL13" i="19"/>
  <c r="BK13" i="19"/>
  <c r="BJ13" i="19"/>
  <c r="BI13" i="19"/>
  <c r="BH13" i="19"/>
  <c r="BF13" i="19"/>
  <c r="BE13" i="19"/>
  <c r="BD13" i="19"/>
  <c r="BC13" i="19"/>
  <c r="BB13" i="19"/>
  <c r="BA13" i="19"/>
  <c r="AZ13" i="19"/>
  <c r="AY13" i="19"/>
  <c r="AW13" i="19"/>
  <c r="AV13" i="19"/>
  <c r="AX13" i="19" s="1"/>
  <c r="AT13" i="19"/>
  <c r="AS13" i="19"/>
  <c r="AU13" i="19" s="1"/>
  <c r="AR13" i="19"/>
  <c r="AQ13" i="19"/>
  <c r="AP13" i="19"/>
  <c r="AN26" i="19" s="1"/>
  <c r="AO13" i="19"/>
  <c r="AM26" i="19" s="1"/>
  <c r="AN13" i="19"/>
  <c r="BG13" i="19" s="1"/>
  <c r="CR12" i="19"/>
  <c r="CP12" i="19"/>
  <c r="CO12" i="19"/>
  <c r="CQ12" i="19" s="1"/>
  <c r="CM12" i="19"/>
  <c r="CL12" i="19"/>
  <c r="CN12" i="19" s="1"/>
  <c r="CK12" i="19"/>
  <c r="CJ12" i="19"/>
  <c r="AJ25" i="19" s="1"/>
  <c r="CI12" i="19"/>
  <c r="AK25" i="19" s="1"/>
  <c r="CH12" i="19"/>
  <c r="AH25" i="19" s="1"/>
  <c r="CG12" i="19"/>
  <c r="AF25" i="19" s="1"/>
  <c r="CF12" i="19"/>
  <c r="AG25" i="19" s="1"/>
  <c r="CE12" i="19"/>
  <c r="CD12" i="19"/>
  <c r="CC12" i="19"/>
  <c r="CB12" i="19"/>
  <c r="CA12" i="19"/>
  <c r="BY12" i="19"/>
  <c r="BX12" i="19"/>
  <c r="BZ12" i="19" s="1"/>
  <c r="BW12" i="19"/>
  <c r="BU12" i="19"/>
  <c r="BT12" i="19"/>
  <c r="BV12" i="19" s="1"/>
  <c r="BR12" i="19"/>
  <c r="BQ12" i="19"/>
  <c r="BS12" i="19" s="1"/>
  <c r="BP12" i="19"/>
  <c r="BN12" i="19"/>
  <c r="BM12" i="19"/>
  <c r="BO12" i="19" s="1"/>
  <c r="BL12" i="19"/>
  <c r="BK12" i="19"/>
  <c r="BJ12" i="19"/>
  <c r="BI12" i="19"/>
  <c r="BH12" i="19"/>
  <c r="BF12" i="19"/>
  <c r="BE12" i="19"/>
  <c r="BD12" i="19"/>
  <c r="BC12" i="19"/>
  <c r="BB12" i="19"/>
  <c r="BA12" i="19"/>
  <c r="AZ12" i="19"/>
  <c r="AY12" i="19"/>
  <c r="AW12" i="19"/>
  <c r="AV12" i="19"/>
  <c r="AX12" i="19" s="1"/>
  <c r="AT12" i="19"/>
  <c r="AS12" i="19"/>
  <c r="AU12" i="19" s="1"/>
  <c r="AR12" i="19"/>
  <c r="AQ12" i="19"/>
  <c r="AP12" i="19"/>
  <c r="AN25" i="19" s="1"/>
  <c r="AO12" i="19"/>
  <c r="AM25" i="19" s="1"/>
  <c r="AN12" i="19"/>
  <c r="BG12" i="19" s="1"/>
  <c r="CR11" i="19"/>
  <c r="CP11" i="19"/>
  <c r="CO11" i="19"/>
  <c r="CQ11" i="19" s="1"/>
  <c r="CM11" i="19"/>
  <c r="CL11" i="19"/>
  <c r="CN11" i="19" s="1"/>
  <c r="CK11" i="19"/>
  <c r="CJ11" i="19"/>
  <c r="CI11" i="19"/>
  <c r="CH11" i="19"/>
  <c r="CG11" i="19"/>
  <c r="CF11" i="19"/>
  <c r="CE11" i="19"/>
  <c r="AJ24" i="19" s="1"/>
  <c r="CD11" i="19"/>
  <c r="AK24" i="19" s="1"/>
  <c r="CC11" i="19"/>
  <c r="AH24" i="19" s="1"/>
  <c r="CB11" i="19"/>
  <c r="AF24" i="19" s="1"/>
  <c r="CA11" i="19"/>
  <c r="AG24" i="19" s="1"/>
  <c r="BY11" i="19"/>
  <c r="BX11" i="19"/>
  <c r="BZ11" i="19" s="1"/>
  <c r="BW11" i="19"/>
  <c r="BU11" i="19"/>
  <c r="BT11" i="19"/>
  <c r="BV11" i="19" s="1"/>
  <c r="BR11" i="19"/>
  <c r="BQ11" i="19"/>
  <c r="BS11" i="19" s="1"/>
  <c r="BP11" i="19"/>
  <c r="BN11" i="19"/>
  <c r="BM11" i="19"/>
  <c r="BO11" i="19" s="1"/>
  <c r="BL11" i="19"/>
  <c r="BK11" i="19"/>
  <c r="BJ11" i="19"/>
  <c r="BI11" i="19"/>
  <c r="BH11" i="19"/>
  <c r="BF11" i="19"/>
  <c r="BE11" i="19"/>
  <c r="BD11" i="19"/>
  <c r="BC11" i="19"/>
  <c r="BB11" i="19"/>
  <c r="BA11" i="19"/>
  <c r="AZ11" i="19"/>
  <c r="AY11" i="19"/>
  <c r="AW11" i="19"/>
  <c r="AV11" i="19"/>
  <c r="AX11" i="19" s="1"/>
  <c r="AT11" i="19"/>
  <c r="AS11" i="19"/>
  <c r="AU11" i="19" s="1"/>
  <c r="AR11" i="19"/>
  <c r="AQ11" i="19"/>
  <c r="AP11" i="19"/>
  <c r="AN24" i="19" s="1"/>
  <c r="AO11" i="19"/>
  <c r="AM24" i="19" s="1"/>
  <c r="AN11" i="19"/>
  <c r="BG11" i="19" s="1"/>
  <c r="CR10" i="19"/>
  <c r="CP10" i="19"/>
  <c r="CO10" i="19"/>
  <c r="CQ10" i="19" s="1"/>
  <c r="CM10" i="19"/>
  <c r="CL10" i="19"/>
  <c r="CN10" i="19" s="1"/>
  <c r="CK10" i="19"/>
  <c r="CJ10" i="19"/>
  <c r="CI10" i="19"/>
  <c r="CH10" i="19"/>
  <c r="CG10" i="19"/>
  <c r="CF10" i="19"/>
  <c r="CE10" i="19"/>
  <c r="CD10" i="19"/>
  <c r="CC10" i="19"/>
  <c r="CB10" i="19"/>
  <c r="CA10" i="19"/>
  <c r="BY10" i="19"/>
  <c r="BX10" i="19"/>
  <c r="BZ10" i="19" s="1"/>
  <c r="BW10" i="19"/>
  <c r="BU10" i="19"/>
  <c r="BT10" i="19"/>
  <c r="BV10" i="19" s="1"/>
  <c r="BR10" i="19"/>
  <c r="AJ23" i="19" s="1"/>
  <c r="BQ10" i="19"/>
  <c r="BP10" i="19"/>
  <c r="AH23" i="19" s="1"/>
  <c r="BN10" i="19"/>
  <c r="AF23" i="19" s="1"/>
  <c r="BM10" i="19"/>
  <c r="BL10" i="19"/>
  <c r="BK10" i="19"/>
  <c r="BJ10" i="19"/>
  <c r="BI10" i="19"/>
  <c r="BH10" i="19"/>
  <c r="BF10" i="19"/>
  <c r="BE10" i="19"/>
  <c r="BD10" i="19"/>
  <c r="BC10" i="19"/>
  <c r="BB10" i="19"/>
  <c r="BA10" i="19"/>
  <c r="AZ10" i="19"/>
  <c r="AY10" i="19"/>
  <c r="AW10" i="19"/>
  <c r="AV10" i="19"/>
  <c r="AX10" i="19" s="1"/>
  <c r="AT10" i="19"/>
  <c r="AS10" i="19"/>
  <c r="AU10" i="19" s="1"/>
  <c r="AR10" i="19"/>
  <c r="AQ10" i="19"/>
  <c r="AP10" i="19"/>
  <c r="AN23" i="19" s="1"/>
  <c r="AO10" i="19"/>
  <c r="AM23" i="19" s="1"/>
  <c r="AN10" i="19"/>
  <c r="BG10" i="19" s="1"/>
  <c r="CR9" i="19"/>
  <c r="CP9" i="19"/>
  <c r="CO9" i="19"/>
  <c r="CQ9" i="19" s="1"/>
  <c r="CM9" i="19"/>
  <c r="CL9" i="19"/>
  <c r="CN9" i="19" s="1"/>
  <c r="CK9" i="19"/>
  <c r="CJ9" i="19"/>
  <c r="CI9" i="19"/>
  <c r="CH9" i="19"/>
  <c r="CG9" i="19"/>
  <c r="CF9" i="19"/>
  <c r="CE9" i="19"/>
  <c r="CD9" i="19"/>
  <c r="CC9" i="19"/>
  <c r="CB9" i="19"/>
  <c r="CA9" i="19"/>
  <c r="BY9" i="19"/>
  <c r="BX9" i="19"/>
  <c r="BZ9" i="19" s="1"/>
  <c r="BW9" i="19"/>
  <c r="BU9" i="19"/>
  <c r="BT9" i="19"/>
  <c r="BV9" i="19" s="1"/>
  <c r="BR9" i="19"/>
  <c r="AJ22" i="19" s="1"/>
  <c r="BQ9" i="19"/>
  <c r="BP9" i="19"/>
  <c r="AH22" i="19" s="1"/>
  <c r="BN9" i="19"/>
  <c r="AF22" i="19" s="1"/>
  <c r="BM9" i="19"/>
  <c r="AE22" i="19" s="1"/>
  <c r="BL9" i="19"/>
  <c r="BK9" i="19"/>
  <c r="BJ9" i="19"/>
  <c r="BI9" i="19"/>
  <c r="BH9" i="19"/>
  <c r="BF9" i="19"/>
  <c r="BE9" i="19"/>
  <c r="BD9" i="19"/>
  <c r="BC9" i="19"/>
  <c r="BB9" i="19"/>
  <c r="BA9" i="19"/>
  <c r="AZ9" i="19"/>
  <c r="AY9" i="19"/>
  <c r="AW9" i="19"/>
  <c r="AV9" i="19"/>
  <c r="AX9" i="19" s="1"/>
  <c r="AT9" i="19"/>
  <c r="AS9" i="19"/>
  <c r="AU9" i="19" s="1"/>
  <c r="AR9" i="19"/>
  <c r="AQ9" i="19"/>
  <c r="AP9" i="19"/>
  <c r="AN22" i="19" s="1"/>
  <c r="AO9" i="19"/>
  <c r="AM22" i="19" s="1"/>
  <c r="AN9" i="19"/>
  <c r="BG9" i="19" s="1"/>
  <c r="CR8" i="19"/>
  <c r="CP8" i="19"/>
  <c r="CO8" i="19"/>
  <c r="CQ8" i="19" s="1"/>
  <c r="CM8" i="19"/>
  <c r="CL8" i="19"/>
  <c r="CN8" i="19" s="1"/>
  <c r="CK8" i="19"/>
  <c r="CJ8" i="19"/>
  <c r="CI8" i="19"/>
  <c r="CH8" i="19"/>
  <c r="CG8" i="19"/>
  <c r="CF8" i="19"/>
  <c r="CE8" i="19"/>
  <c r="CD8" i="19"/>
  <c r="CC8" i="19"/>
  <c r="CB8" i="19"/>
  <c r="CA8" i="19"/>
  <c r="BY8" i="19"/>
  <c r="BX8" i="19"/>
  <c r="BZ8" i="19" s="1"/>
  <c r="BW8" i="19"/>
  <c r="BU8" i="19"/>
  <c r="BT8" i="19"/>
  <c r="BV8" i="19" s="1"/>
  <c r="BR8" i="19"/>
  <c r="BQ8" i="19"/>
  <c r="BS8" i="19" s="1"/>
  <c r="BP8" i="19"/>
  <c r="BN8" i="19"/>
  <c r="BM8" i="19"/>
  <c r="BO8" i="19" s="1"/>
  <c r="BL8" i="19"/>
  <c r="AJ21" i="19" s="1"/>
  <c r="BK8" i="19"/>
  <c r="AI21" i="19" s="1"/>
  <c r="BJ8" i="19"/>
  <c r="AH21" i="19" s="1"/>
  <c r="BI8" i="19"/>
  <c r="AF21" i="19" s="1"/>
  <c r="BH8" i="19"/>
  <c r="AE21" i="19" s="1"/>
  <c r="BF8" i="19"/>
  <c r="BE8" i="19"/>
  <c r="BD8" i="19"/>
  <c r="BC8" i="19"/>
  <c r="BB8" i="19"/>
  <c r="BA8" i="19"/>
  <c r="AZ8" i="19"/>
  <c r="AY8" i="19"/>
  <c r="AW8" i="19"/>
  <c r="AV8" i="19"/>
  <c r="AX8" i="19" s="1"/>
  <c r="AT8" i="19"/>
  <c r="AS8" i="19"/>
  <c r="AU8" i="19" s="1"/>
  <c r="AR8" i="19"/>
  <c r="AQ8" i="19"/>
  <c r="AP8" i="19"/>
  <c r="AN21" i="19" s="1"/>
  <c r="AO8" i="19"/>
  <c r="AM21" i="19" s="1"/>
  <c r="AN8" i="19"/>
  <c r="CR7" i="19"/>
  <c r="CP7" i="19"/>
  <c r="CO7" i="19"/>
  <c r="CQ7" i="19" s="1"/>
  <c r="CM7" i="19"/>
  <c r="CL7" i="19"/>
  <c r="CN7" i="19" s="1"/>
  <c r="CK7" i="19"/>
  <c r="CJ7" i="19"/>
  <c r="CI7" i="19"/>
  <c r="CH7" i="19"/>
  <c r="CG7" i="19"/>
  <c r="CF7" i="19"/>
  <c r="CE7" i="19"/>
  <c r="CD7" i="19"/>
  <c r="CC7" i="19"/>
  <c r="CB7" i="19"/>
  <c r="CA7" i="19"/>
  <c r="BY7" i="19"/>
  <c r="BX7" i="19"/>
  <c r="BZ7" i="19" s="1"/>
  <c r="BW7" i="19"/>
  <c r="BU7" i="19"/>
  <c r="BT7" i="19"/>
  <c r="BV7" i="19" s="1"/>
  <c r="BR7" i="19"/>
  <c r="BQ7" i="19"/>
  <c r="BS7" i="19" s="1"/>
  <c r="BP7" i="19"/>
  <c r="BN7" i="19"/>
  <c r="BM7" i="19"/>
  <c r="BO7" i="19" s="1"/>
  <c r="BL7" i="19"/>
  <c r="BK7" i="19"/>
  <c r="BJ7" i="19"/>
  <c r="BI7" i="19"/>
  <c r="BH7" i="19"/>
  <c r="BF7" i="19"/>
  <c r="BE7" i="19"/>
  <c r="BD7" i="19"/>
  <c r="BC7" i="19"/>
  <c r="AK20" i="19" s="1"/>
  <c r="BB7" i="19"/>
  <c r="AH20" i="19" s="1"/>
  <c r="BA7" i="19"/>
  <c r="AF20" i="19" s="1"/>
  <c r="AZ7" i="19"/>
  <c r="AG20" i="19" s="1"/>
  <c r="AY7" i="19"/>
  <c r="AW7" i="19"/>
  <c r="AV7" i="19"/>
  <c r="AX7" i="19" s="1"/>
  <c r="AT7" i="19"/>
  <c r="AS7" i="19"/>
  <c r="AU7" i="19" s="1"/>
  <c r="AR7" i="19"/>
  <c r="AQ7" i="19"/>
  <c r="AP7" i="19"/>
  <c r="AN20" i="19" s="1"/>
  <c r="AO7" i="19"/>
  <c r="AM20" i="19" s="1"/>
  <c r="AN7" i="19"/>
  <c r="BG7" i="19" s="1"/>
  <c r="CR6" i="19"/>
  <c r="CP6" i="19"/>
  <c r="CO6" i="19"/>
  <c r="CQ6" i="19" s="1"/>
  <c r="CM6" i="19"/>
  <c r="CL6" i="19"/>
  <c r="CN6" i="19" s="1"/>
  <c r="CK6" i="19"/>
  <c r="CJ6" i="19"/>
  <c r="CI6" i="19"/>
  <c r="CH6" i="19"/>
  <c r="CG6" i="19"/>
  <c r="CF6" i="19"/>
  <c r="CE6" i="19"/>
  <c r="CD6" i="19"/>
  <c r="CC6" i="19"/>
  <c r="CB6" i="19"/>
  <c r="CA6" i="19"/>
  <c r="BY6" i="19"/>
  <c r="BX6" i="19"/>
  <c r="BZ6" i="19" s="1"/>
  <c r="BW6" i="19"/>
  <c r="BU6" i="19"/>
  <c r="BT6" i="19"/>
  <c r="BV6" i="19" s="1"/>
  <c r="BR6" i="19"/>
  <c r="BQ6" i="19"/>
  <c r="BS6" i="19" s="1"/>
  <c r="BP6" i="19"/>
  <c r="BN6" i="19"/>
  <c r="BM6" i="19"/>
  <c r="BO6" i="19" s="1"/>
  <c r="BL6" i="19"/>
  <c r="BK6" i="19"/>
  <c r="BJ6" i="19"/>
  <c r="BI6" i="19"/>
  <c r="BH6" i="19"/>
  <c r="BF6" i="19"/>
  <c r="AH19" i="19" s="1"/>
  <c r="BE6" i="19"/>
  <c r="AF19" i="19" s="1"/>
  <c r="BD6" i="19"/>
  <c r="AG19" i="19" s="1"/>
  <c r="BC6" i="19"/>
  <c r="BB6" i="19"/>
  <c r="BA6" i="19"/>
  <c r="AZ6" i="19"/>
  <c r="AY6" i="19"/>
  <c r="AW6" i="19"/>
  <c r="AV6" i="19"/>
  <c r="AT6" i="19"/>
  <c r="AS6" i="19"/>
  <c r="AU6" i="19" s="1"/>
  <c r="AR6" i="19"/>
  <c r="AQ6" i="19"/>
  <c r="AP6" i="19"/>
  <c r="AN19" i="19" s="1"/>
  <c r="AO6" i="19"/>
  <c r="AM19" i="19" s="1"/>
  <c r="AN6" i="19"/>
  <c r="AL19" i="19" s="1"/>
  <c r="CR5" i="19"/>
  <c r="CP5" i="19"/>
  <c r="CO5" i="19"/>
  <c r="CQ5" i="19" s="1"/>
  <c r="CM5" i="19"/>
  <c r="CL5" i="19"/>
  <c r="CN5" i="19" s="1"/>
  <c r="CK5" i="19"/>
  <c r="CJ5" i="19"/>
  <c r="CI5" i="19"/>
  <c r="CH5" i="19"/>
  <c r="CG5" i="19"/>
  <c r="CF5" i="19"/>
  <c r="CE5" i="19"/>
  <c r="CD5" i="19"/>
  <c r="CC5" i="19"/>
  <c r="CB5" i="19"/>
  <c r="CA5" i="19"/>
  <c r="BY5" i="19"/>
  <c r="BX5" i="19"/>
  <c r="BZ5" i="19" s="1"/>
  <c r="BW5" i="19"/>
  <c r="BU5" i="19"/>
  <c r="BT5" i="19"/>
  <c r="BV5" i="19" s="1"/>
  <c r="BR5" i="19"/>
  <c r="BQ5" i="19"/>
  <c r="BS5" i="19" s="1"/>
  <c r="BP5" i="19"/>
  <c r="BN5" i="19"/>
  <c r="BM5" i="19"/>
  <c r="BO5" i="19" s="1"/>
  <c r="BL5" i="19"/>
  <c r="BK5" i="19"/>
  <c r="BJ5" i="19"/>
  <c r="BI5" i="19"/>
  <c r="BH5" i="19"/>
  <c r="BF5" i="19"/>
  <c r="BE5" i="19"/>
  <c r="BD5" i="19"/>
  <c r="BC5" i="19"/>
  <c r="BB5" i="19"/>
  <c r="BA5" i="19"/>
  <c r="AZ5" i="19"/>
  <c r="AY5" i="19"/>
  <c r="AW5" i="19"/>
  <c r="AF18" i="19" s="1"/>
  <c r="AV5" i="19"/>
  <c r="AT5" i="19"/>
  <c r="AS5" i="19"/>
  <c r="AU5" i="19" s="1"/>
  <c r="AR5" i="19"/>
  <c r="AQ5" i="19"/>
  <c r="AP5" i="19"/>
  <c r="AN18" i="19" s="1"/>
  <c r="AO5" i="19"/>
  <c r="AM18" i="19" s="1"/>
  <c r="AN5" i="19"/>
  <c r="AL18" i="19" s="1"/>
  <c r="CR4" i="19"/>
  <c r="CP4" i="19"/>
  <c r="CO4" i="19"/>
  <c r="CQ4" i="19" s="1"/>
  <c r="CM4" i="19"/>
  <c r="CL4" i="19"/>
  <c r="CN4" i="19" s="1"/>
  <c r="CK4" i="19"/>
  <c r="CJ4" i="19"/>
  <c r="CI4" i="19"/>
  <c r="CH4" i="19"/>
  <c r="CG4" i="19"/>
  <c r="CF4" i="19"/>
  <c r="CE4" i="19"/>
  <c r="CD4" i="19"/>
  <c r="CC4" i="19"/>
  <c r="CB4" i="19"/>
  <c r="CA4" i="19"/>
  <c r="BY4" i="19"/>
  <c r="BX4" i="19"/>
  <c r="BZ4" i="19" s="1"/>
  <c r="BW4" i="19"/>
  <c r="BU4" i="19"/>
  <c r="BT4" i="19"/>
  <c r="BV4" i="19" s="1"/>
  <c r="BR4" i="19"/>
  <c r="BQ4" i="19"/>
  <c r="BS4" i="19" s="1"/>
  <c r="BP4" i="19"/>
  <c r="BN4" i="19"/>
  <c r="BM4" i="19"/>
  <c r="BO4" i="19" s="1"/>
  <c r="BL4" i="19"/>
  <c r="BK4" i="19"/>
  <c r="BJ4" i="19"/>
  <c r="BI4" i="19"/>
  <c r="BH4" i="19"/>
  <c r="BF4" i="19"/>
  <c r="BE4" i="19"/>
  <c r="BD4" i="19"/>
  <c r="BC4" i="19"/>
  <c r="AI17" i="19" s="1"/>
  <c r="BB4" i="19"/>
  <c r="AH17" i="19" s="1"/>
  <c r="BA4" i="19"/>
  <c r="AF17" i="19" s="1"/>
  <c r="AZ4" i="19"/>
  <c r="AE17" i="19" s="1"/>
  <c r="AY4" i="19"/>
  <c r="AW4" i="19"/>
  <c r="AV4" i="19"/>
  <c r="AX4" i="19" s="1"/>
  <c r="AT4" i="19"/>
  <c r="AS4" i="19"/>
  <c r="AU4" i="19" s="1"/>
  <c r="AR4" i="19"/>
  <c r="AQ4" i="19"/>
  <c r="AP4" i="19"/>
  <c r="AN17" i="19" s="1"/>
  <c r="AO4" i="19"/>
  <c r="AM17" i="19" s="1"/>
  <c r="AN4" i="19"/>
  <c r="AL17" i="19" s="1"/>
  <c r="CR3" i="19"/>
  <c r="CP3" i="19"/>
  <c r="CO3" i="19"/>
  <c r="CQ3" i="19" s="1"/>
  <c r="CM3" i="19"/>
  <c r="CL3" i="19"/>
  <c r="CN3" i="19" s="1"/>
  <c r="CK3" i="19"/>
  <c r="CJ3" i="19"/>
  <c r="CI3" i="19"/>
  <c r="CH3" i="19"/>
  <c r="CG3" i="19"/>
  <c r="CF3" i="19"/>
  <c r="CE3" i="19"/>
  <c r="CD3" i="19"/>
  <c r="CC3" i="19"/>
  <c r="CB3" i="19"/>
  <c r="CA3" i="19"/>
  <c r="BY3" i="19"/>
  <c r="BX3" i="19"/>
  <c r="BZ3" i="19" s="1"/>
  <c r="BW3" i="19"/>
  <c r="BU3" i="19"/>
  <c r="BT3" i="19"/>
  <c r="BV3" i="19" s="1"/>
  <c r="BR3" i="19"/>
  <c r="BQ3" i="19"/>
  <c r="BS3" i="19" s="1"/>
  <c r="BP3" i="19"/>
  <c r="BN3" i="19"/>
  <c r="BM3" i="19"/>
  <c r="BO3" i="19" s="1"/>
  <c r="BL3" i="19"/>
  <c r="BK3" i="19"/>
  <c r="BJ3" i="19"/>
  <c r="BI3" i="19"/>
  <c r="BH3" i="19"/>
  <c r="BF3" i="19"/>
  <c r="BE3" i="19"/>
  <c r="BD3" i="19"/>
  <c r="BC3" i="19"/>
  <c r="BB3" i="19"/>
  <c r="BA3" i="19"/>
  <c r="AZ3" i="19"/>
  <c r="AY3" i="19"/>
  <c r="AW3" i="19"/>
  <c r="AV3" i="19"/>
  <c r="AX3" i="19" s="1"/>
  <c r="AT3" i="19"/>
  <c r="AF16" i="19" s="1"/>
  <c r="AS3" i="19"/>
  <c r="AE16" i="19" s="1"/>
  <c r="AR3" i="19"/>
  <c r="AQ3" i="19"/>
  <c r="AP3" i="19"/>
  <c r="AN16" i="19" s="1"/>
  <c r="AO3" i="19"/>
  <c r="AM16" i="19" s="1"/>
  <c r="AN3" i="19"/>
  <c r="BG3" i="19" s="1"/>
  <c r="BS10" i="19" l="1"/>
  <c r="BO10" i="19"/>
  <c r="BS9" i="19"/>
  <c r="AK22" i="19" s="1"/>
  <c r="AI22" i="19"/>
  <c r="BO9" i="19"/>
  <c r="AG22" i="19" s="1"/>
  <c r="AG18" i="19"/>
  <c r="AH18" i="19"/>
  <c r="AH27" i="19" s="1"/>
  <c r="AH28" i="19" s="1"/>
  <c r="AH29" i="19" s="1"/>
  <c r="AH30" i="19" s="1"/>
  <c r="AX5" i="19"/>
  <c r="AE18" i="19"/>
  <c r="AU3" i="19"/>
  <c r="AG16" i="19" s="1"/>
  <c r="AN27" i="19"/>
  <c r="AF27" i="19"/>
  <c r="AF28" i="19" s="1"/>
  <c r="AM27" i="19"/>
  <c r="AK26" i="19"/>
  <c r="BG4" i="19"/>
  <c r="BG8" i="19"/>
  <c r="AI26" i="19"/>
  <c r="BG5" i="19"/>
  <c r="AX6" i="19"/>
  <c r="AJ26" i="19"/>
  <c r="BG6" i="19"/>
  <c r="AK19" i="19" s="1"/>
  <c r="AL20" i="19"/>
  <c r="AL27" i="19" s="1"/>
  <c r="AI23" i="19" l="1"/>
  <c r="AK23" i="19" s="1"/>
  <c r="AK27" i="19" s="1"/>
  <c r="AK28" i="19" s="1"/>
  <c r="AK30" i="19" s="1"/>
  <c r="AE23" i="19"/>
  <c r="AG23" i="19" s="1"/>
  <c r="AG27" i="19" s="1"/>
  <c r="AG28" i="19" s="1"/>
  <c r="AJ27" i="19"/>
  <c r="AJ28" i="19" s="1"/>
  <c r="AJ30" i="19" s="1"/>
  <c r="AF29" i="19"/>
  <c r="AF30" i="19"/>
  <c r="AI27" i="19" l="1"/>
  <c r="AI28" i="19" s="1"/>
  <c r="AI29" i="19" s="1"/>
  <c r="AE27" i="19"/>
  <c r="AE28" i="19" s="1"/>
  <c r="AE30" i="19" s="1"/>
  <c r="AK29" i="19"/>
  <c r="AJ29" i="19"/>
  <c r="AG30" i="19"/>
  <c r="AG29" i="19"/>
  <c r="AI30" i="19" l="1"/>
  <c r="AE29" i="19"/>
  <c r="E10" i="9"/>
  <c r="K17" i="19"/>
  <c r="K16" i="19"/>
  <c r="K15" i="19"/>
  <c r="K14" i="19"/>
  <c r="K13" i="19"/>
  <c r="K12" i="19"/>
  <c r="K8" i="19"/>
  <c r="K9" i="19"/>
  <c r="K10" i="19"/>
  <c r="K7" i="19"/>
  <c r="C24" i="19"/>
  <c r="C25" i="19" s="1"/>
  <c r="M17" i="19"/>
  <c r="N17" i="19" s="1"/>
  <c r="M16" i="19"/>
  <c r="N16" i="19" s="1"/>
  <c r="M15" i="19"/>
  <c r="N15" i="19" s="1"/>
  <c r="M14" i="19"/>
  <c r="N14" i="19" s="1"/>
  <c r="M13" i="19"/>
  <c r="N13" i="19" s="1"/>
  <c r="M12" i="19"/>
  <c r="N12" i="19" s="1"/>
  <c r="M11" i="19"/>
  <c r="N11" i="19" s="1"/>
  <c r="K11" i="19"/>
  <c r="M10" i="19"/>
  <c r="N10" i="19" s="1"/>
  <c r="M9" i="19"/>
  <c r="M8" i="19"/>
  <c r="N8" i="19" s="1"/>
  <c r="M7" i="19"/>
  <c r="N7" i="19" s="1"/>
  <c r="L7" i="19"/>
  <c r="L5" i="19"/>
  <c r="M5" i="19" l="1"/>
  <c r="N9" i="19"/>
  <c r="N5" i="19" s="1"/>
  <c r="AH10" i="2" l="1"/>
  <c r="AH11" i="2"/>
  <c r="AI11" i="2" s="1"/>
  <c r="AH12" i="2"/>
  <c r="AI12" i="2" s="1"/>
  <c r="AH9" i="2"/>
  <c r="AI9" i="2" s="1"/>
  <c r="AH8" i="2"/>
  <c r="AH6" i="2" s="1"/>
  <c r="AH18" i="2"/>
  <c r="AH17" i="2"/>
  <c r="AH16" i="2"/>
  <c r="AH15" i="2"/>
  <c r="AH14" i="2"/>
  <c r="AI14" i="2" s="1"/>
  <c r="AH13" i="2"/>
  <c r="AI13" i="2" s="1"/>
  <c r="AC12" i="2"/>
  <c r="AC11" i="2"/>
  <c r="AC10" i="2"/>
  <c r="AC9" i="2"/>
  <c r="U12" i="2"/>
  <c r="U11" i="2"/>
  <c r="U10" i="2"/>
  <c r="U9" i="2"/>
  <c r="P12" i="2"/>
  <c r="P11" i="2"/>
  <c r="P10" i="2"/>
  <c r="P9" i="2"/>
  <c r="Z23" i="2"/>
  <c r="Z24" i="2" s="1"/>
  <c r="AI18" i="2"/>
  <c r="AI17" i="2"/>
  <c r="AI16" i="2"/>
  <c r="AI15" i="2"/>
  <c r="AI10" i="2"/>
  <c r="U18" i="2"/>
  <c r="U14" i="2"/>
  <c r="U15" i="2"/>
  <c r="U16" i="2"/>
  <c r="U17" i="2"/>
  <c r="U13" i="2"/>
  <c r="U8" i="2"/>
  <c r="AI8" i="2" l="1"/>
  <c r="AI6" i="2" s="1"/>
  <c r="M23" i="2" l="1"/>
  <c r="M24" i="2" s="1"/>
  <c r="V18" i="2"/>
  <c r="V17" i="2"/>
  <c r="V16" i="2"/>
  <c r="V15" i="2"/>
  <c r="V14" i="2"/>
  <c r="V13" i="2"/>
  <c r="V12" i="2"/>
  <c r="V11" i="2"/>
  <c r="V10" i="2"/>
  <c r="V9" i="2"/>
  <c r="V8" i="2"/>
  <c r="U6" i="2"/>
  <c r="V6" i="2" l="1"/>
  <c r="X12" i="8" l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I12" i="8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D12" i="8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S12" i="8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N12" i="8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K20" i="9" l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F20" i="9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K13" i="9"/>
  <c r="J13" i="9"/>
  <c r="L13" i="9" s="1"/>
  <c r="E13" i="9"/>
  <c r="L12" i="9"/>
  <c r="K12" i="9"/>
  <c r="J12" i="9"/>
  <c r="E12" i="9"/>
  <c r="K11" i="9"/>
  <c r="J11" i="9"/>
  <c r="L11" i="9" s="1"/>
  <c r="E11" i="9"/>
  <c r="L10" i="9"/>
  <c r="K10" i="9"/>
  <c r="J10" i="9"/>
  <c r="K9" i="9"/>
  <c r="J9" i="9"/>
  <c r="L9" i="9" s="1"/>
  <c r="E9" i="9"/>
  <c r="L8" i="9"/>
  <c r="K8" i="9"/>
  <c r="J8" i="9"/>
  <c r="E8" i="9"/>
  <c r="K7" i="9"/>
  <c r="J7" i="9"/>
  <c r="L7" i="9" s="1"/>
  <c r="E7" i="9"/>
  <c r="L6" i="9"/>
  <c r="K6" i="9"/>
  <c r="J6" i="9"/>
  <c r="E6" i="9"/>
  <c r="K5" i="9"/>
  <c r="J5" i="9"/>
  <c r="L5" i="9" s="1"/>
  <c r="E5" i="9"/>
  <c r="L4" i="9"/>
  <c r="K4" i="9"/>
  <c r="J4" i="9"/>
  <c r="E4" i="9"/>
  <c r="K3" i="9"/>
  <c r="J3" i="9"/>
  <c r="L3" i="9" s="1"/>
  <c r="E3" i="9"/>
  <c r="L2" i="9"/>
  <c r="K2" i="9"/>
  <c r="J2" i="9"/>
  <c r="E2" i="9"/>
  <c r="H6" i="2"/>
  <c r="G6" i="2"/>
  <c r="F6" i="2"/>
  <c r="E6" i="2"/>
  <c r="D6" i="2"/>
  <c r="C6" i="2"/>
  <c r="I5" i="2"/>
  <c r="I4" i="2"/>
  <c r="I3" i="2"/>
  <c r="I6" i="2" l="1"/>
  <c r="A35" i="4"/>
  <c r="A34" i="4"/>
  <c r="A33" i="4"/>
  <c r="A29" i="4"/>
  <c r="A30" i="4"/>
  <c r="A28" i="4"/>
  <c r="A19" i="4"/>
  <c r="A14" i="4"/>
  <c r="A9" i="4"/>
  <c r="A15" i="4"/>
  <c r="A13" i="4"/>
  <c r="A8" i="4"/>
  <c r="Q5" i="4" l="1"/>
  <c r="Q6" i="4"/>
  <c r="Q7" i="4"/>
  <c r="P4" i="4"/>
  <c r="Q4" i="4" s="1"/>
  <c r="P5" i="4"/>
  <c r="P6" i="4"/>
  <c r="P7" i="4"/>
  <c r="P3" i="4"/>
  <c r="Q3" i="4" s="1"/>
  <c r="M2" i="4"/>
  <c r="P2" i="4" s="1"/>
  <c r="Q2" i="4" l="1"/>
  <c r="P8" i="4"/>
  <c r="H7" i="4" l="1"/>
  <c r="H5" i="4"/>
  <c r="H6" i="4"/>
  <c r="H8" i="4" l="1"/>
  <c r="H9" i="4" s="1"/>
  <c r="I6" i="4" l="1"/>
  <c r="C25" i="4"/>
  <c r="A25" i="4" s="1"/>
  <c r="C24" i="4"/>
  <c r="A24" i="4" s="1"/>
  <c r="C23" i="4"/>
  <c r="A23" i="4" s="1"/>
  <c r="I7" i="4"/>
  <c r="I5" i="4"/>
  <c r="I9" i="1"/>
  <c r="J9" i="1"/>
  <c r="H9" i="1"/>
  <c r="K7" i="1"/>
  <c r="K6" i="1"/>
  <c r="L6" i="1" l="1"/>
  <c r="S5" i="1"/>
  <c r="T5" i="1"/>
  <c r="T6" i="1" s="1"/>
  <c r="T7" i="1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4" i="1"/>
  <c r="V4" i="1"/>
  <c r="L7" i="1"/>
  <c r="N6" i="1"/>
  <c r="J11" i="1"/>
  <c r="J13" i="1" s="1"/>
  <c r="J14" i="1" s="1"/>
  <c r="N7" i="1" l="1"/>
  <c r="J15" i="1"/>
  <c r="K8" i="1" s="1"/>
  <c r="V5" i="1"/>
  <c r="W5" i="1" s="1"/>
  <c r="S6" i="1"/>
  <c r="S7" i="1" s="1"/>
  <c r="S8" i="1" s="1"/>
  <c r="S9" i="1" s="1"/>
  <c r="S10" i="1" s="1"/>
  <c r="S11" i="1" s="1"/>
  <c r="S12" i="1" s="1"/>
  <c r="S13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T8" i="1"/>
  <c r="J12" i="1"/>
  <c r="W4" i="1"/>
  <c r="K16" i="1" l="1"/>
  <c r="K4" i="1" s="1"/>
  <c r="K15" i="1"/>
  <c r="K3" i="1" s="1"/>
  <c r="K9" i="1" s="1"/>
  <c r="L8" i="1"/>
  <c r="N8" i="1"/>
  <c r="V7" i="1"/>
  <c r="W7" i="1" s="1"/>
  <c r="V6" i="1"/>
  <c r="W6" i="1" s="1"/>
  <c r="T9" i="1"/>
  <c r="V8" i="1"/>
  <c r="W8" i="1" s="1"/>
  <c r="K17" i="1"/>
  <c r="K5" i="1" s="1"/>
  <c r="L5" i="1" l="1"/>
  <c r="N5" i="1"/>
  <c r="O9" i="1" s="1"/>
  <c r="T10" i="1"/>
  <c r="T11" i="1" s="1"/>
  <c r="T12" i="1" s="1"/>
  <c r="T13" i="1" s="1"/>
  <c r="T17" i="1" s="1"/>
  <c r="T18" i="1" s="1"/>
  <c r="T19" i="1" s="1"/>
  <c r="T20" i="1" s="1"/>
  <c r="T21" i="1" s="1"/>
  <c r="T22" i="1" s="1"/>
  <c r="T23" i="1" s="1"/>
  <c r="T24" i="1" s="1"/>
  <c r="V9" i="1"/>
  <c r="W9" i="1" s="1"/>
  <c r="V10" i="1" l="1"/>
  <c r="W10" i="1" s="1"/>
  <c r="V11" i="1" l="1"/>
  <c r="W11" i="1" s="1"/>
  <c r="V12" i="1" l="1"/>
  <c r="W12" i="1" s="1"/>
  <c r="V13" i="1" l="1"/>
  <c r="W13" i="1" s="1"/>
  <c r="V14" i="1" l="1"/>
  <c r="W14" i="1" s="1"/>
  <c r="V15" i="1" l="1"/>
  <c r="W15" i="1" s="1"/>
  <c r="V16" i="1" l="1"/>
  <c r="W16" i="1" s="1"/>
  <c r="V17" i="1" l="1"/>
  <c r="W17" i="1" s="1"/>
  <c r="V18" i="1" l="1"/>
  <c r="W18" i="1" s="1"/>
  <c r="V19" i="1" l="1"/>
  <c r="W19" i="1" s="1"/>
  <c r="V20" i="1" l="1"/>
  <c r="W20" i="1" s="1"/>
  <c r="V21" i="1" l="1"/>
  <c r="W21" i="1" s="1"/>
  <c r="V22" i="1" l="1"/>
  <c r="W22" i="1" s="1"/>
  <c r="V23" i="1" l="1"/>
  <c r="W23" i="1" s="1"/>
  <c r="V24" i="1" l="1"/>
  <c r="W24" i="1" s="1"/>
</calcChain>
</file>

<file path=xl/sharedStrings.xml><?xml version="1.0" encoding="utf-8"?>
<sst xmlns="http://schemas.openxmlformats.org/spreadsheetml/2006/main" count="842" uniqueCount="326">
  <si>
    <t>at-central</t>
  </si>
  <si>
    <t>at-derecha</t>
  </si>
  <si>
    <t>at-izquierda</t>
  </si>
  <si>
    <t>at-bp-d</t>
  </si>
  <si>
    <t>at-bp-i</t>
  </si>
  <si>
    <t>Tiros</t>
  </si>
  <si>
    <t>Normal</t>
  </si>
  <si>
    <t>AOW</t>
  </si>
  <si>
    <t>AIM</t>
  </si>
  <si>
    <t>TirosLejanos</t>
  </si>
  <si>
    <t>Goal Probability</t>
  </si>
  <si>
    <t>Attack = 0.0643192899*Scoring^2.3808144476*SP^2.7720254649</t>
  </si>
  <si>
    <t>Defense = 1977.4523827684*GK^0.9 + 31.4826711968*SP^2.3261574608</t>
  </si>
  <si>
    <t>LS Goal Probability = Attack/(Attack+Defense)</t>
  </si>
  <si>
    <t>*GK and Scoring are modified by all modifiers, SP does not use form neither stamina.</t>
  </si>
  <si>
    <t>Tactic Effectiveness</t>
  </si>
  <si>
    <t>If a chance goes to center, right or left then the Conversion Probability = 0.474*(1-exp(-0.0762*tactic level))</t>
  </si>
  <si>
    <t xml:space="preserve">Tactic level </t>
  </si>
  <si>
    <t>conversion probability</t>
  </si>
  <si>
    <t>? Long Shots</t>
  </si>
  <si>
    <t>Tactic Level = 1.66*SC + 0.55*SP - 7.6</t>
  </si>
  <si>
    <t>SC = Outfield players average scoring.</t>
  </si>
  <si>
    <t>SP = Outfield players average set pieces.</t>
  </si>
  <si>
    <t>Penalty on LS:</t>
  </si>
  <si>
    <t>- Midfield: -5%</t>
  </si>
  <si>
    <t>- Attack: -2,7%</t>
  </si>
  <si>
    <t>JUG</t>
  </si>
  <si>
    <t>SCORING</t>
  </si>
  <si>
    <t>BP</t>
  </si>
  <si>
    <t>POR</t>
  </si>
  <si>
    <t>PORTERIA</t>
  </si>
  <si>
    <t>AT</t>
  </si>
  <si>
    <t>DEF</t>
  </si>
  <si>
    <t>GoalProbability</t>
  </si>
  <si>
    <t>POS</t>
  </si>
  <si>
    <t>PA</t>
  </si>
  <si>
    <t>Po</t>
  </si>
  <si>
    <t>De</t>
  </si>
  <si>
    <t>Cr</t>
  </si>
  <si>
    <t>Ex</t>
  </si>
  <si>
    <t>Ps</t>
  </si>
  <si>
    <t>An</t>
  </si>
  <si>
    <t>#1</t>
  </si>
  <si>
    <t>#4</t>
  </si>
  <si>
    <t>#5</t>
  </si>
  <si>
    <t>#3</t>
  </si>
  <si>
    <t>#8</t>
  </si>
  <si>
    <t>#9</t>
  </si>
  <si>
    <t>#7</t>
  </si>
  <si>
    <t>#10</t>
  </si>
  <si>
    <t>#6</t>
  </si>
  <si>
    <t>#11</t>
  </si>
  <si>
    <t>DAV</t>
  </si>
  <si>
    <t>Num</t>
  </si>
  <si>
    <t>ESP</t>
  </si>
  <si>
    <t>ANO</t>
  </si>
  <si>
    <t>Tactica</t>
  </si>
  <si>
    <t>BPInicial</t>
  </si>
  <si>
    <t>AnoInicial</t>
  </si>
  <si>
    <t>BPEntrenos</t>
  </si>
  <si>
    <t>AnoEntrenos</t>
  </si>
  <si>
    <t>Ano10_6</t>
  </si>
  <si>
    <t>TotalEntrenos</t>
  </si>
  <si>
    <t>Total10_6</t>
  </si>
  <si>
    <t>TOTAL</t>
  </si>
  <si>
    <t>De las erglas -&gt; inners y extremos el doble de opciones</t>
  </si>
  <si>
    <t>Defensas</t>
  </si>
  <si>
    <t>Inners</t>
  </si>
  <si>
    <t>Delanteros</t>
  </si>
  <si>
    <t>position</t>
  </si>
  <si>
    <t>#players</t>
  </si>
  <si>
    <t>#LS</t>
  </si>
  <si>
    <t>%pos</t>
  </si>
  <si>
    <t>WB</t>
  </si>
  <si>
    <t>CD</t>
  </si>
  <si>
    <t>IM</t>
  </si>
  <si>
    <t>WI</t>
  </si>
  <si>
    <t>FW</t>
  </si>
  <si>
    <t>Total</t>
  </si>
  <si>
    <t>Players/POS</t>
  </si>
  <si>
    <t>p jugador</t>
  </si>
  <si>
    <t>Sueldo</t>
  </si>
  <si>
    <t>Bueno ya te dije antes que el equipo no tiene que ser homogéneo en cuanto a anot/bp en todas las posiciones. Para mi la plantilla y explico un poco:</t>
  </si>
  <si>
    <r>
      <t>Portería.</t>
    </r>
    <r>
      <rPr>
        <sz val="11"/>
        <color theme="1"/>
        <rFont val="Calibri"/>
        <family val="2"/>
        <scheme val="minor"/>
      </rPr>
      <t xml:space="preserve"> Yo me pillaría a un portero a medio hacer (ó 3/4 según el tiempo que vayas a estar con TL) con mucha defensa. Por qué? Porque necesitarás hacer dinero, y lo mejor es entrenar portería durante las rondas fáciles de copa y cuando te eliminen de ella (el resto del tiempo bp). A fin de cuentas al final no entrenas nada, y si necesitas hacer dinero con el step de portería te basta, yo llevo así siglos.</t>
    </r>
  </si>
  <si>
    <t>Defensa.</t>
  </si>
  <si>
    <t>- Laterales. A full de defensa, 17 mínimo, y con anot/bp suficiente para enchufar, no los vas a encontrar con jugadas, no pasa nada, los pones en defensivo y los compensas con los DCs (si uno es rápido mejor) Lateral para nada.</t>
  </si>
  <si>
    <t>- Centrales. Defensa y jugadas todo lo que puedas. El bp lo que tengan más lo que tú les des, si no tienen anotación no pasa nada. Cabezones pudiendo tener el rápido ahí.</t>
  </si>
  <si>
    <t>Yo los englobaría como un total, a unas malas tampoco pasa nada por tener un central jugando de lateral o viceversa. Lo ideal 6 defensas, pero con 5 te apañas.</t>
  </si>
  <si>
    <r>
      <t>De medio pa'rriba</t>
    </r>
    <r>
      <rPr>
        <sz val="11"/>
        <color theme="1"/>
        <rFont val="Calibri"/>
        <family val="2"/>
        <scheme val="minor"/>
      </rPr>
      <t xml:space="preserve"> Todo inners. Yo me olvidaría de pases y lateral. Dos rápidos (uno de ellos el peor TL para jugar de delantero y el otro de extremo) y los demás cabezones. A unas malas imprevisibles para el extremo o delantera. Si encuentras alguno con defensa me lo tendrás que quitar en la puja XD, es muy complicado con niveles de anotación, especialidad, jugadas 16 mínimo y defensa. 8 mejor que 7</t>
    </r>
  </si>
  <si>
    <t>Total 15 jugadores. Los demás como dije para el pseudo AoA. Jugadores a medias no te sirven si quieres competir a nivel.</t>
  </si>
  <si>
    <t>#2</t>
  </si>
  <si>
    <t>Anotación</t>
  </si>
  <si>
    <t>Defensa</t>
  </si>
  <si>
    <t>Jugadas</t>
  </si>
  <si>
    <t>Lateral</t>
  </si>
  <si>
    <t>Nivel Inicial</t>
  </si>
  <si>
    <t>Nivel Final</t>
  </si>
  <si>
    <t>Semanas</t>
  </si>
  <si>
    <t>Scum</t>
  </si>
  <si>
    <t>Insuf 5</t>
  </si>
  <si>
    <t>DC</t>
  </si>
  <si>
    <t>DL</t>
  </si>
  <si>
    <t>IDEF</t>
  </si>
  <si>
    <t>IHL/EO</t>
  </si>
  <si>
    <t>Max</t>
  </si>
  <si>
    <t>IHL</t>
  </si>
  <si>
    <t>CAB</t>
  </si>
  <si>
    <r>
      <t>► </t>
    </r>
    <r>
      <rPr>
        <b/>
        <sz val="8"/>
        <color rgb="FF000000"/>
        <rFont val="Verdana"/>
        <family val="2"/>
      </rPr>
      <t>Long Shots </t>
    </r>
    <r>
      <rPr>
        <sz val="8"/>
        <color rgb="FF000000"/>
        <rFont val="Verdana"/>
        <family val="2"/>
      </rPr>
      <t>tactic level = 1.66*SC + 0.55*SP - 7.6</t>
    </r>
  </si>
  <si>
    <t>SC = outfield players average scoring</t>
  </si>
  <si>
    <t>SP = outfield players average set pieces</t>
  </si>
  <si>
    <r>
      <t>(13160)</t>
    </r>
    <r>
      <rPr>
        <sz val="8"/>
        <color rgb="FF000000"/>
        <rFont val="Verdana"/>
        <family val="2"/>
      </rPr>
      <t>, </t>
    </r>
    <r>
      <rPr>
        <sz val="8"/>
        <color rgb="FF3F7137"/>
        <rFont val="Verdana"/>
        <family val="2"/>
      </rPr>
      <t>(13124)</t>
    </r>
    <r>
      <rPr>
        <sz val="8"/>
        <color rgb="FF000000"/>
        <rFont val="Verdana"/>
        <family val="2"/>
      </rPr>
      <t>, </t>
    </r>
    <r>
      <rPr>
        <sz val="8"/>
        <color rgb="FF3F7137"/>
        <rFont val="Verdana"/>
        <family val="2"/>
      </rPr>
      <t>(13125)</t>
    </r>
  </si>
  <si>
    <t>LS level - TOTAL </t>
  </si>
  <si>
    <t>2 wretched - 15 to 18.4</t>
  </si>
  <si>
    <t>3 poor - 18.5 to 20.3</t>
  </si>
  <si>
    <t>4 weak - 20.4 to 23.0</t>
  </si>
  <si>
    <t>5 inadequate - 23.1 to 24.6</t>
  </si>
  <si>
    <t>6 passable - 24.7 to 25.9</t>
  </si>
  <si>
    <t>7 solid - 26 to 27.8</t>
  </si>
  <si>
    <t>8 excellent - 27.9 to 29.4</t>
  </si>
  <si>
    <t>9 formidable - 29.5 to 31.1</t>
  </si>
  <si>
    <t>10 outstanding - 31.2 to 33.1</t>
  </si>
  <si>
    <t>11 brilliant - 33.2 to 34.2</t>
  </si>
  <si>
    <t>12 magnificent - 34.3 to 36.2</t>
  </si>
  <si>
    <t>13 worldclass - 36.3 to 37.8</t>
  </si>
  <si>
    <t>14 supernatural - 37.9 to 40.0</t>
  </si>
  <si>
    <t>15 titanic - 40.1 to 42.1</t>
  </si>
  <si>
    <t>16 extraterrestial - 42.2 to 43.9</t>
  </si>
  <si>
    <t>17 mythical - 44 to 45.5</t>
  </si>
  <si>
    <t>18 magical - 45.6 to ?</t>
  </si>
  <si>
    <t>19 utopian - 47.7</t>
  </si>
  <si>
    <t>20 divine - ?</t>
  </si>
  <si>
    <t>TOTAL = 3*avg(SC)+avg(SP)</t>
  </si>
  <si>
    <t>where avg(SC) = average Scoring of all your ten field players</t>
  </si>
  <si>
    <t>and avg(SP) = average Set Pieces of all your ten field players</t>
  </si>
  <si>
    <t>JUGADAS</t>
  </si>
  <si>
    <t>ANOTACION</t>
  </si>
  <si>
    <t>DEFENSA</t>
  </si>
  <si>
    <t>LATERAL</t>
  </si>
  <si>
    <t>(11776649) BP divino, salario 6,0% extra</t>
  </si>
  <si>
    <t>(20650980) &amp; (95299617) BP mágico, salario 4,7% extra</t>
  </si>
  <si>
    <t>(36438355) BP mítico, salario 4,7% extra</t>
  </si>
  <si>
    <t>(48997559) BP E-T, salario, 4,3% extra</t>
  </si>
  <si>
    <t>(154655044) &amp; (50355509) BP sobrenatural, salario 3,7% extra</t>
  </si>
  <si>
    <t>(46543607) BP clase mundial, salario 3,3% extra</t>
  </si>
  <si>
    <t>(80271350) BP magnífico, salario 3,2% extra</t>
  </si>
  <si>
    <t>(38306586) BP brillante, salario 3,0% extra</t>
  </si>
  <si>
    <t>(115228650) BP destacado, salario 2,7% extra</t>
  </si>
  <si>
    <t>(67144794) BP formidable, salario 2,3% extra</t>
  </si>
  <si>
    <t>(36579219) BP excelente, salario 2,0% extra</t>
  </si>
  <si>
    <t>(197154194) BP bueno, salario 2,0% extra</t>
  </si>
  <si>
    <t>(38228598) BP aceptable, salario 1,6% extra</t>
  </si>
  <si>
    <t>(108135607) BP insuficiente, salario 1,2% extra</t>
  </si>
  <si>
    <t>(196625346) BP débil, salario 1,2% extra</t>
  </si>
  <si>
    <t>(196987469) BP pobre, salario 0,8% extra</t>
  </si>
  <si>
    <t>(196354241) BP horrible, salario 0,4% extra</t>
  </si>
  <si>
    <t>TL+1banda</t>
  </si>
  <si>
    <t>Entrenar desde 18-0</t>
  </si>
  <si>
    <t>Auxiliares 10</t>
  </si>
  <si>
    <t>2Pobre</t>
  </si>
  <si>
    <t>PORTERO</t>
  </si>
  <si>
    <t>DEF LATERAL DEF</t>
  </si>
  <si>
    <t>DEF CENTRAL NORMAL</t>
  </si>
  <si>
    <t>(VACIO)</t>
  </si>
  <si>
    <t>DEF LATERAL Normal</t>
  </si>
  <si>
    <t>EHM</t>
  </si>
  <si>
    <t>Inner Defensivo</t>
  </si>
  <si>
    <t>EXT Normal</t>
  </si>
  <si>
    <t>DEL h LADO</t>
  </si>
  <si>
    <t>LAT</t>
  </si>
  <si>
    <t>PAS</t>
  </si>
  <si>
    <t>28,4% + 24,4%</t>
  </si>
  <si>
    <t>25% + 59,4%</t>
  </si>
  <si>
    <t>29% + 34,5%</t>
  </si>
  <si>
    <t>34,9%+20,1%</t>
  </si>
  <si>
    <t>94.4%</t>
  </si>
  <si>
    <t>DD</t>
  </si>
  <si>
    <t>%_TL</t>
  </si>
  <si>
    <t>ESP_Ideal</t>
  </si>
  <si>
    <t>bepero</t>
  </si>
  <si>
    <t>POT</t>
  </si>
  <si>
    <t>En defensaLateral</t>
  </si>
  <si>
    <t>RAP</t>
  </si>
  <si>
    <t>ExtremoOfensivo (con Pases)</t>
  </si>
  <si>
    <t>IMP</t>
  </si>
  <si>
    <t>Extremo o Delantero</t>
  </si>
  <si>
    <t>DEFLAT</t>
  </si>
  <si>
    <t>S+20%</t>
  </si>
  <si>
    <t>Base</t>
  </si>
  <si>
    <t>Portero</t>
  </si>
  <si>
    <t>Jug Campo</t>
  </si>
  <si>
    <t>Resto de habilidades entrenamamos desde Pobre</t>
  </si>
  <si>
    <t>Hab</t>
  </si>
  <si>
    <t>Fichar el más joven y con lo maximo de Porteria (14)</t>
  </si>
  <si>
    <t>Ficha los más jovenes y con Dest-Bri minimo Anotación</t>
  </si>
  <si>
    <t>Temp</t>
  </si>
  <si>
    <t>DL/DC</t>
  </si>
  <si>
    <t>DC/IDEF/DD</t>
  </si>
  <si>
    <t>Def/Jug/BP en Aceptable</t>
  </si>
  <si>
    <t>DLDEF</t>
  </si>
  <si>
    <t>DLN</t>
  </si>
  <si>
    <t>Fichar el más joven y con lo maximo de Porteria (14-16)</t>
  </si>
  <si>
    <t>CAB/RAP</t>
  </si>
  <si>
    <t>SueldoInicial</t>
  </si>
  <si>
    <t>SueldoF</t>
  </si>
  <si>
    <t>SEMENT</t>
  </si>
  <si>
    <t>Entreno</t>
  </si>
  <si>
    <t>DEF hacia LAT</t>
  </si>
  <si>
    <t>75,4%+70,8%</t>
  </si>
  <si>
    <t>DhL</t>
  </si>
  <si>
    <t>Ficha los más jovenes y Brillante Anotación y Especialidad OK, el resto de habilidades no importa</t>
  </si>
  <si>
    <t>Def/Jug/Lat/BP a muerte! A estos 11 jugadores!</t>
  </si>
  <si>
    <t>DCN</t>
  </si>
  <si>
    <t>DChL</t>
  </si>
  <si>
    <t>INDEF</t>
  </si>
  <si>
    <t>EXTN</t>
  </si>
  <si>
    <t>DCNormal</t>
  </si>
  <si>
    <t>DLNormal</t>
  </si>
  <si>
    <t>DCtW</t>
  </si>
  <si>
    <t>EXTDEF</t>
  </si>
  <si>
    <t>MDEF</t>
  </si>
  <si>
    <t>Mnor</t>
  </si>
  <si>
    <t>EXTOF</t>
  </si>
  <si>
    <t>FechaCompra</t>
  </si>
  <si>
    <t>FOR</t>
  </si>
  <si>
    <t>XP</t>
  </si>
  <si>
    <t>EXT</t>
  </si>
  <si>
    <t>NCA</t>
  </si>
  <si>
    <t>BPI_A</t>
  </si>
  <si>
    <t>BPI_D</t>
  </si>
  <si>
    <t>BPMin</t>
  </si>
  <si>
    <t>BPMax</t>
  </si>
  <si>
    <t>DEFCEN</t>
  </si>
  <si>
    <t>MED</t>
  </si>
  <si>
    <t>ATLAT</t>
  </si>
  <si>
    <t>ATCEN</t>
  </si>
  <si>
    <t>p</t>
  </si>
  <si>
    <t>DELCEN</t>
  </si>
  <si>
    <t>BPA</t>
  </si>
  <si>
    <t>BPD</t>
  </si>
  <si>
    <t>Ent.NEUTRO</t>
  </si>
  <si>
    <t>Ent.DEF</t>
  </si>
  <si>
    <t>Ent.OF</t>
  </si>
  <si>
    <t>#12</t>
  </si>
  <si>
    <t>Jugador</t>
  </si>
  <si>
    <t>Años</t>
  </si>
  <si>
    <t>Dias</t>
  </si>
  <si>
    <t>E_DEF</t>
  </si>
  <si>
    <t>E_JUG</t>
  </si>
  <si>
    <t>E_BP</t>
  </si>
  <si>
    <t>Precio</t>
  </si>
  <si>
    <t>Giuliano Poggiolini</t>
  </si>
  <si>
    <t>Pais</t>
  </si>
  <si>
    <t>Italia</t>
  </si>
  <si>
    <t>Lid</t>
  </si>
  <si>
    <t>Tomas Hammarbrant</t>
  </si>
  <si>
    <t>Suecia</t>
  </si>
  <si>
    <t>Minas Veritsis</t>
  </si>
  <si>
    <t>Grecia</t>
  </si>
  <si>
    <t>€/E</t>
  </si>
  <si>
    <t>Moritz Pirol</t>
  </si>
  <si>
    <t>Alemania</t>
  </si>
  <si>
    <t>Augusto Jalin</t>
  </si>
  <si>
    <t>Argentina</t>
  </si>
  <si>
    <t>Enor Lika</t>
  </si>
  <si>
    <t>Albania</t>
  </si>
  <si>
    <t>Corneliu Preja</t>
  </si>
  <si>
    <t>Rumania</t>
  </si>
  <si>
    <t>Damian Łoboda</t>
  </si>
  <si>
    <t>Polonia</t>
  </si>
  <si>
    <t>TEC</t>
  </si>
  <si>
    <t>E_ANO</t>
  </si>
  <si>
    <t>Nicolas Malot</t>
  </si>
  <si>
    <t>Francia</t>
  </si>
  <si>
    <t xml:space="preserve">Roberto Magagnoli </t>
  </si>
  <si>
    <t>Érico Sousa</t>
  </si>
  <si>
    <t>Brasil</t>
  </si>
  <si>
    <t>Thierry Dees</t>
  </si>
  <si>
    <t>Holanda</t>
  </si>
  <si>
    <t xml:space="preserve">Veton Jashari </t>
  </si>
  <si>
    <t>Byung-Kyoo Kye</t>
  </si>
  <si>
    <t>Korea</t>
  </si>
  <si>
    <t>Lorenzo Maffoni</t>
  </si>
  <si>
    <t xml:space="preserve"> Bogdan Dubicki</t>
  </si>
  <si>
    <t>Enrique Vallaure</t>
  </si>
  <si>
    <t>España</t>
  </si>
  <si>
    <t>Adrian Vaşvari</t>
  </si>
  <si>
    <t>Emilio Krawitz</t>
  </si>
  <si>
    <t>Suiza</t>
  </si>
  <si>
    <t>Kyle Nelson</t>
  </si>
  <si>
    <t>USA</t>
  </si>
  <si>
    <t>Kory Woods</t>
  </si>
  <si>
    <t>Rickey Forsyth</t>
  </si>
  <si>
    <t>Christina Esquivel</t>
  </si>
  <si>
    <t>Lorenzo Mantilla</t>
  </si>
  <si>
    <t>Wendell Hartzler</t>
  </si>
  <si>
    <t>Oswaldo Jiménez</t>
  </si>
  <si>
    <t>Juha Peuraniemi</t>
  </si>
  <si>
    <t>Finlandia</t>
  </si>
  <si>
    <t>Pavol Jobus</t>
  </si>
  <si>
    <t>Eslovenia</t>
  </si>
  <si>
    <t>Shaquille Lai</t>
  </si>
  <si>
    <t>Suriman</t>
  </si>
  <si>
    <t>Geir Erstad</t>
  </si>
  <si>
    <t>Noruega</t>
  </si>
  <si>
    <t>Kristian Berglund</t>
  </si>
  <si>
    <t>Nils Jambu</t>
  </si>
  <si>
    <t>Henryk Indelak</t>
  </si>
  <si>
    <t>Gianfrancesco Aghemo</t>
  </si>
  <si>
    <t>iTALIA</t>
  </si>
  <si>
    <t>Patryk Tuderek</t>
  </si>
  <si>
    <t>pOLONIA</t>
  </si>
  <si>
    <t>Ilmārs Vanags</t>
  </si>
  <si>
    <t>Letonia</t>
  </si>
  <si>
    <t>Ben McIlvaney</t>
  </si>
  <si>
    <t>Escocia</t>
  </si>
  <si>
    <t>Luka Tomic</t>
  </si>
  <si>
    <t>Reinhard Scheidecker</t>
  </si>
  <si>
    <t>Jonas Barslund</t>
  </si>
  <si>
    <t>Dinamarca</t>
  </si>
  <si>
    <t>Lenny Kolkman</t>
  </si>
  <si>
    <t>Yalm Safak</t>
  </si>
  <si>
    <t>Turquia</t>
  </si>
  <si>
    <t>Nguyễn Phúc Hoàng</t>
  </si>
  <si>
    <t>Nova Zelanda</t>
  </si>
  <si>
    <t>李 (Lee) 燦貴 (Cangui)</t>
  </si>
  <si>
    <t>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</si>
</sst>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0"/>
    <numFmt numFmtId="165" formatCode="0.0%"/>
    <numFmt numFmtId="166" formatCode="0.0"/>
    <numFmt numFmtId="167" formatCode="_-* #,##0\ _€_-;\-* #,##0\ _€_-;_-* &quot;-&quot;??\ _€_-;_-@_-"/>
    <numFmt numFmtId="168" formatCode="_-* #,##0\ &quot;€&quot;_-;\-* #,##0\ &quot;€&quot;_-;_-* &quot;-&quot;??\ &quot;€&quot;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color indexed="8"/>
      <name val="Calibri"/>
      <family val="2"/>
      <charset val="1"/>
    </font>
    <font>
      <sz val="8"/>
      <name val="Verdana"/>
      <family val="2"/>
    </font>
    <font>
      <sz val="11"/>
      <name val="Calibri"/>
      <family val="2"/>
      <scheme val="minor"/>
    </font>
    <font>
      <sz val="8"/>
      <color rgb="FF000000"/>
      <name val="Verdana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8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sz val="8"/>
      <color rgb="FF3F7137"/>
      <name val="Verdana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9" fontId="2" fillId="0" borderId="0" xfId="0" applyNumberFormat="1" applyFont="1"/>
    <xf numFmtId="0" fontId="0" fillId="2" borderId="0" xfId="0" applyFill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2" applyNumberFormat="1" applyFont="1" applyBorder="1"/>
    <xf numFmtId="166" fontId="0" fillId="0" borderId="1" xfId="0" applyNumberFormat="1" applyBorder="1"/>
    <xf numFmtId="2" fontId="2" fillId="0" borderId="0" xfId="0" applyNumberFormat="1" applyFont="1"/>
    <xf numFmtId="0" fontId="3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9" fontId="0" fillId="0" borderId="0" xfId="0" applyNumberFormat="1"/>
    <xf numFmtId="2" fontId="0" fillId="0" borderId="0" xfId="0" applyNumberFormat="1"/>
    <xf numFmtId="167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0" fillId="0" borderId="1" xfId="0" applyNumberFormat="1" applyBorder="1"/>
    <xf numFmtId="10" fontId="2" fillId="0" borderId="1" xfId="0" applyNumberFormat="1" applyFont="1" applyBorder="1" applyAlignment="1">
      <alignment vertical="center" wrapText="1"/>
    </xf>
    <xf numFmtId="165" fontId="2" fillId="0" borderId="1" xfId="2" applyNumberFormat="1" applyFont="1" applyBorder="1"/>
    <xf numFmtId="2" fontId="2" fillId="0" borderId="1" xfId="0" applyNumberFormat="1" applyFont="1" applyBorder="1"/>
    <xf numFmtId="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0" xfId="0" applyNumberFormat="1"/>
    <xf numFmtId="0" fontId="0" fillId="6" borderId="0" xfId="0" applyFill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6" fillId="0" borderId="1" xfId="0" applyFont="1" applyBorder="1" applyAlignment="1">
      <alignment horizontal="center"/>
    </xf>
    <xf numFmtId="166" fontId="5" fillId="4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12" fillId="0" borderId="0" xfId="0" applyFont="1"/>
    <xf numFmtId="0" fontId="10" fillId="0" borderId="0" xfId="0" applyFont="1"/>
    <xf numFmtId="9" fontId="0" fillId="0" borderId="1" xfId="0" applyNumberFormat="1" applyBorder="1"/>
    <xf numFmtId="0" fontId="0" fillId="7" borderId="1" xfId="0" applyFill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0" xfId="0" applyFont="1"/>
    <xf numFmtId="167" fontId="0" fillId="7" borderId="0" xfId="1" applyNumberFormat="1" applyFont="1" applyFill="1"/>
    <xf numFmtId="0" fontId="0" fillId="7" borderId="0" xfId="0" applyFill="1"/>
    <xf numFmtId="165" fontId="0" fillId="7" borderId="0" xfId="0" applyNumberFormat="1" applyFill="1"/>
    <xf numFmtId="165" fontId="0" fillId="7" borderId="0" xfId="2" applyNumberFormat="1" applyFont="1" applyFill="1"/>
    <xf numFmtId="0" fontId="13" fillId="7" borderId="0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0" fontId="0" fillId="7" borderId="0" xfId="0" applyNumberFormat="1" applyFill="1" applyAlignment="1">
      <alignment horizontal="center"/>
    </xf>
    <xf numFmtId="10" fontId="0" fillId="6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8" borderId="0" xfId="0" applyNumberFormat="1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5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2" borderId="0" xfId="0" applyNumberFormat="1" applyFill="1" applyAlignment="1">
      <alignment horizontal="center"/>
    </xf>
    <xf numFmtId="0" fontId="14" fillId="9" borderId="0" xfId="0" applyFont="1" applyFill="1"/>
    <xf numFmtId="0" fontId="14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  <xf numFmtId="0" fontId="14" fillId="12" borderId="0" xfId="0" applyFont="1" applyFill="1"/>
    <xf numFmtId="0" fontId="14" fillId="11" borderId="0" xfId="0" applyFont="1" applyFill="1"/>
    <xf numFmtId="14" fontId="0" fillId="0" borderId="0" xfId="4" applyNumberFormat="1" applyFont="1"/>
    <xf numFmtId="0" fontId="8" fillId="0" borderId="0" xfId="0" applyFont="1" applyAlignment="1"/>
    <xf numFmtId="0" fontId="6" fillId="0" borderId="0" xfId="0" applyFont="1" applyAlignment="1">
      <alignment horizontal="center"/>
    </xf>
    <xf numFmtId="0" fontId="0" fillId="0" borderId="1" xfId="0" applyFont="1" applyBorder="1"/>
    <xf numFmtId="164" fontId="6" fillId="0" borderId="1" xfId="0" applyNumberFormat="1" applyFont="1" applyBorder="1" applyAlignment="1">
      <alignment horizontal="center"/>
    </xf>
    <xf numFmtId="14" fontId="0" fillId="0" borderId="0" xfId="0" applyNumberFormat="1"/>
    <xf numFmtId="2" fontId="2" fillId="6" borderId="1" xfId="0" applyNumberFormat="1" applyFont="1" applyFill="1" applyBorder="1"/>
    <xf numFmtId="166" fontId="15" fillId="2" borderId="0" xfId="0" applyNumberFormat="1" applyFont="1" applyFill="1"/>
    <xf numFmtId="0" fontId="0" fillId="0" borderId="0" xfId="0" applyAlignment="1">
      <alignment horizontal="left"/>
    </xf>
    <xf numFmtId="0" fontId="2" fillId="13" borderId="0" xfId="0" applyFont="1" applyFill="1" applyAlignment="1">
      <alignment horizontal="center"/>
    </xf>
    <xf numFmtId="168" fontId="0" fillId="0" borderId="0" xfId="4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8" fillId="0" borderId="0" xfId="0" applyFont="1" applyAlignment="1">
      <alignment horizontal="center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Tactica!$A$29:$A$48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Tactica!$B$29:$B$48</c:f>
              <c:numCache>
                <c:formatCode>0.00%</c:formatCode>
                <c:ptCount val="20"/>
                <c:pt idx="0">
                  <c:v>3.4799999999999998E-2</c:v>
                </c:pt>
                <c:pt idx="1">
                  <c:v>6.7000000000000004E-2</c:v>
                </c:pt>
                <c:pt idx="2">
                  <c:v>9.69E-2</c:v>
                </c:pt>
                <c:pt idx="3">
                  <c:v>0.1245</c:v>
                </c:pt>
                <c:pt idx="4">
                  <c:v>0.1502</c:v>
                </c:pt>
                <c:pt idx="5">
                  <c:v>0.1739</c:v>
                </c:pt>
                <c:pt idx="6">
                  <c:v>0.19589999999999999</c:v>
                </c:pt>
                <c:pt idx="7">
                  <c:v>0.21629999999999999</c:v>
                </c:pt>
                <c:pt idx="8">
                  <c:v>0.23530000000000001</c:v>
                </c:pt>
                <c:pt idx="9">
                  <c:v>0.25280000000000002</c:v>
                </c:pt>
                <c:pt idx="10">
                  <c:v>0.26900000000000002</c:v>
                </c:pt>
                <c:pt idx="11">
                  <c:v>0.28399999999999997</c:v>
                </c:pt>
                <c:pt idx="12">
                  <c:v>0.29799999999999999</c:v>
                </c:pt>
                <c:pt idx="13">
                  <c:v>0.31090000000000001</c:v>
                </c:pt>
                <c:pt idx="14">
                  <c:v>0.32290000000000002</c:v>
                </c:pt>
                <c:pt idx="15">
                  <c:v>0.33389999999999997</c:v>
                </c:pt>
                <c:pt idx="16">
                  <c:v>0.34420000000000001</c:v>
                </c:pt>
                <c:pt idx="17">
                  <c:v>0.35370000000000001</c:v>
                </c:pt>
                <c:pt idx="18">
                  <c:v>0.36259999999999998</c:v>
                </c:pt>
                <c:pt idx="19">
                  <c:v>0.37069999999999997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B-4EE2-B6C2-1B79075F8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72112"/>
        <c:axId val="306377992"/>
      </c:lineChart>
      <c:catAx>
        <c:axId val="3063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77992"/>
        <c:crosses val="autoZero"/>
        <c:auto val="1"/>
        <c:lblAlgn val="ctr"/>
        <c:lblOffset val="100"/>
        <c:noMultiLvlLbl val="0"/>
      </c:catAx>
      <c:valAx>
        <c:axId val="3063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7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30</xdr:row>
      <xdr:rowOff>4762</xdr:rowOff>
    </xdr:from>
    <xdr:to>
      <xdr:col>11</xdr:col>
      <xdr:colOff>476250</xdr:colOff>
      <xdr:row>44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336476</xdr:colOff>
      <xdr:row>58</xdr:row>
      <xdr:rowOff>143381</xdr:rowOff>
    </xdr:to>
    <xdr:pic>
      <xdr:nvPicPr>
        <xdr:cNvPr id="2" name="Picture 1" descr="http://www.escuelaercantohattrick.com/images/stories/tablassalariales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670476" cy="111923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W48"/>
  <sheetViews>
    <sheetView topLeftCell="M1" workbookViewId="0">
      <selection activeCell="P18" sqref="P18"/>
    </sheetView>
  </sheetViews>
  <sheetFormatPr baseColWidth="10" defaultColWidth="9.140625" defaultRowHeight="15" x14ac:dyDescent="0.25"/>
  <cols>
    <col min="1" max="1" width="12.28515625" customWidth="1"/>
    <col min="3" max="3" width="11.7109375" style="4" bestFit="1" customWidth="1"/>
    <col min="7" max="7" width="11.7109375" bestFit="1" customWidth="1"/>
    <col min="11" max="12" width="12" bestFit="1" customWidth="1"/>
    <col min="17" max="17" width="9" bestFit="1" customWidth="1"/>
    <col min="18" max="18" width="5.42578125" customWidth="1"/>
    <col min="19" max="19" width="9.7109375" bestFit="1" customWidth="1"/>
    <col min="20" max="20" width="5.42578125" customWidth="1"/>
    <col min="21" max="21" width="8.5703125" bestFit="1" customWidth="1"/>
    <col min="22" max="22" width="7.5703125" bestFit="1" customWidth="1"/>
    <col min="23" max="23" width="14.7109375" bestFit="1" customWidth="1"/>
  </cols>
  <sheetData>
    <row r="1" spans="1:23" x14ac:dyDescent="0.25">
      <c r="M1">
        <v>6</v>
      </c>
    </row>
    <row r="2" spans="1:23" s="1" customFormat="1" x14ac:dyDescent="0.25">
      <c r="A2" s="1" t="s">
        <v>19</v>
      </c>
      <c r="C2" s="3"/>
      <c r="G2" s="4"/>
      <c r="H2" s="4" t="s">
        <v>6</v>
      </c>
      <c r="I2" s="4" t="s">
        <v>7</v>
      </c>
      <c r="J2" s="4" t="s">
        <v>8</v>
      </c>
      <c r="K2" s="3" t="s">
        <v>9</v>
      </c>
      <c r="Q2" s="9" t="s">
        <v>26</v>
      </c>
      <c r="R2" s="10"/>
      <c r="S2" s="9" t="s">
        <v>29</v>
      </c>
      <c r="T2" s="10"/>
    </row>
    <row r="3" spans="1:23" x14ac:dyDescent="0.25">
      <c r="G3" s="4" t="s">
        <v>0</v>
      </c>
      <c r="H3" s="5">
        <v>0.35799999999999998</v>
      </c>
      <c r="I3" s="5">
        <v>0.27800000000000002</v>
      </c>
      <c r="J3" s="5">
        <v>0.438</v>
      </c>
      <c r="K3" s="6">
        <f>H3-K15</f>
        <v>0.25059999999999999</v>
      </c>
      <c r="Q3" s="11" t="s">
        <v>27</v>
      </c>
      <c r="R3" s="12" t="s">
        <v>28</v>
      </c>
      <c r="S3" s="11" t="s">
        <v>30</v>
      </c>
      <c r="T3" s="12" t="s">
        <v>28</v>
      </c>
      <c r="U3" s="13" t="s">
        <v>31</v>
      </c>
      <c r="V3" s="13" t="s">
        <v>32</v>
      </c>
      <c r="W3" s="13" t="s">
        <v>33</v>
      </c>
    </row>
    <row r="4" spans="1:23" x14ac:dyDescent="0.25">
      <c r="A4" t="s">
        <v>20</v>
      </c>
      <c r="G4" s="4" t="s">
        <v>1</v>
      </c>
      <c r="H4" s="5">
        <v>0.25800000000000001</v>
      </c>
      <c r="I4" s="5">
        <v>0.29799999999999999</v>
      </c>
      <c r="J4" s="5">
        <v>0.218</v>
      </c>
      <c r="K4" s="6">
        <f>H4-K16</f>
        <v>0.18060000000000001</v>
      </c>
      <c r="Q4" s="37">
        <v>0</v>
      </c>
      <c r="R4" s="14">
        <v>20</v>
      </c>
      <c r="S4" s="14">
        <v>15</v>
      </c>
      <c r="T4" s="14">
        <v>15</v>
      </c>
      <c r="U4" s="16">
        <f>(0.0643192899*Q4^2.3808144476)*(R4^2.7720254649)</f>
        <v>0</v>
      </c>
      <c r="V4" s="16">
        <f>(1977.4523827684*S4^0.9)+(31.4826711968*T4^2.3261574608)</f>
        <v>39758.436348735544</v>
      </c>
      <c r="W4" s="15">
        <f>U4/(U4+V4)</f>
        <v>0</v>
      </c>
    </row>
    <row r="5" spans="1:23" x14ac:dyDescent="0.25">
      <c r="G5" s="4" t="s">
        <v>2</v>
      </c>
      <c r="H5" s="5">
        <v>0.25800000000000001</v>
      </c>
      <c r="I5" s="5">
        <v>0.29799999999999999</v>
      </c>
      <c r="J5" s="5">
        <v>0.218</v>
      </c>
      <c r="K5" s="6">
        <f>H5-K17</f>
        <v>0.18060000000000001</v>
      </c>
      <c r="L5" s="2">
        <f>M1*K5</f>
        <v>1.0836000000000001</v>
      </c>
      <c r="M5" s="5">
        <v>0.5</v>
      </c>
      <c r="N5">
        <f>M5*K5*$M$1</f>
        <v>0.54180000000000006</v>
      </c>
      <c r="Q5" s="37">
        <v>1</v>
      </c>
      <c r="R5" s="14">
        <v>20</v>
      </c>
      <c r="S5" s="14">
        <f>S4</f>
        <v>15</v>
      </c>
      <c r="T5" s="14">
        <f>T4</f>
        <v>15</v>
      </c>
      <c r="U5" s="16">
        <f t="shared" ref="U5:U24" si="0">(0.0643192899*Q5^2.3808144476)*(R5^2.7720254649)</f>
        <v>259.91390824038729</v>
      </c>
      <c r="V5" s="16">
        <f t="shared" ref="V5:V24" si="1">(1977.4523827684*S5^0.9)+(31.4826711968*T5^2.3261574608)</f>
        <v>39758.436348735544</v>
      </c>
      <c r="W5" s="15">
        <f t="shared" ref="W5:W24" si="2">U5/(U5+V5)</f>
        <v>6.4948681435232211E-3</v>
      </c>
    </row>
    <row r="6" spans="1:23" x14ac:dyDescent="0.25">
      <c r="A6" t="s">
        <v>21</v>
      </c>
      <c r="G6" s="4" t="s">
        <v>3</v>
      </c>
      <c r="H6" s="5">
        <v>8.5000000000000006E-2</v>
      </c>
      <c r="I6" s="5">
        <v>8.5000000000000006E-2</v>
      </c>
      <c r="J6" s="5">
        <v>8.5000000000000006E-2</v>
      </c>
      <c r="K6" s="6">
        <f>H6</f>
        <v>8.5000000000000006E-2</v>
      </c>
      <c r="L6" s="2">
        <f>M1*K6</f>
        <v>0.51</v>
      </c>
      <c r="M6" s="5">
        <v>0.9</v>
      </c>
      <c r="N6">
        <f>M6*K6*$M$1</f>
        <v>0.45900000000000007</v>
      </c>
      <c r="Q6" s="37">
        <v>2</v>
      </c>
      <c r="R6" s="14">
        <v>20</v>
      </c>
      <c r="S6" s="14">
        <f t="shared" ref="S6:S24" si="3">S5</f>
        <v>15</v>
      </c>
      <c r="T6" s="14">
        <f t="shared" ref="T6:T24" si="4">T5</f>
        <v>15</v>
      </c>
      <c r="U6" s="16">
        <f t="shared" si="0"/>
        <v>1353.7113882233868</v>
      </c>
      <c r="V6" s="16">
        <f t="shared" si="1"/>
        <v>39758.436348735544</v>
      </c>
      <c r="W6" s="15">
        <f t="shared" si="2"/>
        <v>3.29272845798428E-2</v>
      </c>
    </row>
    <row r="7" spans="1:23" x14ac:dyDescent="0.25">
      <c r="A7" t="s">
        <v>22</v>
      </c>
      <c r="G7" s="4" t="s">
        <v>4</v>
      </c>
      <c r="H7" s="5">
        <v>0.04</v>
      </c>
      <c r="I7" s="5">
        <v>0.04</v>
      </c>
      <c r="J7" s="5">
        <v>0.04</v>
      </c>
      <c r="K7" s="6">
        <f>H7</f>
        <v>0.04</v>
      </c>
      <c r="L7" s="2">
        <f>M1*K7</f>
        <v>0.24</v>
      </c>
      <c r="M7" s="5">
        <v>0.5</v>
      </c>
      <c r="N7">
        <f>M7*K7*$M$1</f>
        <v>0.12</v>
      </c>
      <c r="Q7" s="37">
        <v>3</v>
      </c>
      <c r="R7" s="14">
        <v>20</v>
      </c>
      <c r="S7" s="14">
        <f t="shared" si="3"/>
        <v>15</v>
      </c>
      <c r="T7" s="14">
        <f t="shared" si="4"/>
        <v>15</v>
      </c>
      <c r="U7" s="16">
        <f t="shared" si="0"/>
        <v>3554.4032401227287</v>
      </c>
      <c r="V7" s="16">
        <f t="shared" si="1"/>
        <v>39758.436348735544</v>
      </c>
      <c r="W7" s="15">
        <f t="shared" si="2"/>
        <v>8.2063500658521998E-2</v>
      </c>
    </row>
    <row r="8" spans="1:23" x14ac:dyDescent="0.25">
      <c r="G8" s="4" t="s">
        <v>5</v>
      </c>
      <c r="H8" s="5">
        <v>1E-3</v>
      </c>
      <c r="I8" s="5">
        <v>1E-3</v>
      </c>
      <c r="J8" s="5">
        <v>1E-3</v>
      </c>
      <c r="K8" s="6">
        <f>J15+H8</f>
        <v>0.26319999999999999</v>
      </c>
      <c r="L8" s="2">
        <f>M1*K8</f>
        <v>1.5791999999999999</v>
      </c>
      <c r="M8" s="5">
        <v>0.5</v>
      </c>
      <c r="N8">
        <f>M8*K8*$M$1</f>
        <v>0.78959999999999997</v>
      </c>
      <c r="Q8" s="37">
        <v>4</v>
      </c>
      <c r="R8" s="14">
        <v>20</v>
      </c>
      <c r="S8" s="14">
        <f t="shared" si="3"/>
        <v>15</v>
      </c>
      <c r="T8" s="14">
        <f t="shared" si="4"/>
        <v>15</v>
      </c>
      <c r="U8" s="16">
        <f t="shared" si="0"/>
        <v>7050.5442937313992</v>
      </c>
      <c r="V8" s="16">
        <f t="shared" si="1"/>
        <v>39758.436348735544</v>
      </c>
      <c r="W8" s="15">
        <f t="shared" si="2"/>
        <v>0.15062375204417225</v>
      </c>
    </row>
    <row r="9" spans="1:23" x14ac:dyDescent="0.25">
      <c r="A9" t="s">
        <v>23</v>
      </c>
      <c r="G9" s="4" t="s">
        <v>64</v>
      </c>
      <c r="H9" s="2">
        <f>SUM(H3:H8)</f>
        <v>1</v>
      </c>
      <c r="I9" s="2">
        <f t="shared" ref="I9:K9" si="5">SUM(I3:I8)</f>
        <v>1</v>
      </c>
      <c r="J9" s="2">
        <f t="shared" si="5"/>
        <v>1</v>
      </c>
      <c r="K9" s="2">
        <f t="shared" si="5"/>
        <v>1</v>
      </c>
      <c r="O9" s="17">
        <f>N8+N7+N6+N5</f>
        <v>1.9104000000000001</v>
      </c>
      <c r="Q9" s="37">
        <v>5</v>
      </c>
      <c r="R9" s="14">
        <v>20</v>
      </c>
      <c r="S9" s="14">
        <f>S8</f>
        <v>15</v>
      </c>
      <c r="T9" s="14">
        <f>T8</f>
        <v>15</v>
      </c>
      <c r="U9" s="16">
        <f t="shared" si="0"/>
        <v>11993.540455574939</v>
      </c>
      <c r="V9" s="16">
        <f t="shared" si="1"/>
        <v>39758.436348735544</v>
      </c>
      <c r="W9" s="15">
        <f t="shared" si="2"/>
        <v>0.23175038319649235</v>
      </c>
    </row>
    <row r="10" spans="1:23" x14ac:dyDescent="0.25">
      <c r="Q10" s="37">
        <v>6</v>
      </c>
      <c r="R10" s="14">
        <v>20</v>
      </c>
      <c r="S10" s="14">
        <f t="shared" si="3"/>
        <v>15</v>
      </c>
      <c r="T10" s="14">
        <f t="shared" si="4"/>
        <v>15</v>
      </c>
      <c r="U10" s="16">
        <f t="shared" si="0"/>
        <v>18512.422736693614</v>
      </c>
      <c r="V10" s="16">
        <f t="shared" si="1"/>
        <v>39758.436348735544</v>
      </c>
      <c r="W10" s="15">
        <f t="shared" si="2"/>
        <v>0.31769606673471396</v>
      </c>
    </row>
    <row r="11" spans="1:23" x14ac:dyDescent="0.25">
      <c r="A11" t="s">
        <v>24</v>
      </c>
      <c r="J11" s="2">
        <f>H5+H4+H3</f>
        <v>0.874</v>
      </c>
      <c r="Q11" s="37">
        <v>7</v>
      </c>
      <c r="R11" s="14">
        <v>20</v>
      </c>
      <c r="S11" s="14">
        <f t="shared" si="3"/>
        <v>15</v>
      </c>
      <c r="T11" s="14">
        <f t="shared" si="4"/>
        <v>15</v>
      </c>
      <c r="U11" s="16">
        <f t="shared" si="0"/>
        <v>26720.903765360406</v>
      </c>
      <c r="V11" s="16">
        <f t="shared" si="1"/>
        <v>39758.436348735544</v>
      </c>
      <c r="W11" s="15">
        <f t="shared" si="2"/>
        <v>0.40194297535896628</v>
      </c>
    </row>
    <row r="12" spans="1:23" x14ac:dyDescent="0.25">
      <c r="A12" t="s">
        <v>25</v>
      </c>
      <c r="J12">
        <f>H3/J11</f>
        <v>0.40961098398169332</v>
      </c>
      <c r="Q12" s="37">
        <v>8</v>
      </c>
      <c r="R12" s="14">
        <v>20</v>
      </c>
      <c r="S12" s="14">
        <f t="shared" si="3"/>
        <v>15</v>
      </c>
      <c r="T12" s="14">
        <f t="shared" si="4"/>
        <v>15</v>
      </c>
      <c r="U12" s="16">
        <f t="shared" si="0"/>
        <v>36721.398128376612</v>
      </c>
      <c r="V12" s="16">
        <f t="shared" si="1"/>
        <v>39758.436348735544</v>
      </c>
      <c r="W12" s="15">
        <f t="shared" si="2"/>
        <v>0.48014484313987482</v>
      </c>
    </row>
    <row r="13" spans="1:23" x14ac:dyDescent="0.25">
      <c r="J13">
        <f>H4/J11</f>
        <v>0.29519450800915331</v>
      </c>
      <c r="Q13" s="38">
        <v>9</v>
      </c>
      <c r="R13" s="14">
        <v>20</v>
      </c>
      <c r="S13" s="14">
        <f t="shared" si="3"/>
        <v>15</v>
      </c>
      <c r="T13" s="14">
        <f t="shared" si="4"/>
        <v>15</v>
      </c>
      <c r="U13" s="16">
        <f t="shared" si="0"/>
        <v>48607.56578563049</v>
      </c>
      <c r="V13" s="16">
        <f t="shared" si="1"/>
        <v>39758.436348735544</v>
      </c>
      <c r="W13" s="15">
        <f t="shared" si="2"/>
        <v>0.55007089391369823</v>
      </c>
    </row>
    <row r="14" spans="1:23" x14ac:dyDescent="0.25">
      <c r="J14">
        <f>J13</f>
        <v>0.29519450800915331</v>
      </c>
      <c r="Q14" s="36">
        <v>10</v>
      </c>
      <c r="R14" s="14">
        <v>20</v>
      </c>
      <c r="S14" s="14">
        <v>15</v>
      </c>
      <c r="T14" s="14">
        <v>15</v>
      </c>
      <c r="U14" s="16">
        <f t="shared" si="0"/>
        <v>62466.038888591043</v>
      </c>
      <c r="V14" s="16">
        <f t="shared" si="1"/>
        <v>39758.436348735544</v>
      </c>
      <c r="W14" s="15">
        <f t="shared" si="2"/>
        <v>0.61106734706701615</v>
      </c>
    </row>
    <row r="15" spans="1:23" x14ac:dyDescent="0.25">
      <c r="A15" s="1" t="s">
        <v>10</v>
      </c>
      <c r="B15" s="1"/>
      <c r="J15">
        <f>J11*0.3</f>
        <v>0.26219999999999999</v>
      </c>
      <c r="K15">
        <f>J15*J12</f>
        <v>0.10739999999999998</v>
      </c>
      <c r="L15" s="7">
        <v>0.3</v>
      </c>
      <c r="Q15" s="36">
        <v>11</v>
      </c>
      <c r="R15" s="14">
        <v>20</v>
      </c>
      <c r="S15" s="14">
        <f t="shared" si="3"/>
        <v>15</v>
      </c>
      <c r="T15" s="14">
        <v>15</v>
      </c>
      <c r="U15" s="16">
        <f t="shared" si="0"/>
        <v>78377.655813614023</v>
      </c>
      <c r="V15" s="16">
        <f t="shared" si="1"/>
        <v>39758.436348735544</v>
      </c>
      <c r="W15" s="15">
        <f t="shared" si="2"/>
        <v>0.66345224714139717</v>
      </c>
    </row>
    <row r="16" spans="1:23" x14ac:dyDescent="0.25">
      <c r="K16">
        <f>J15*J13</f>
        <v>7.7399999999999997E-2</v>
      </c>
      <c r="Q16" s="36">
        <v>12</v>
      </c>
      <c r="R16" s="14">
        <v>20</v>
      </c>
      <c r="S16" s="14">
        <f t="shared" si="3"/>
        <v>15</v>
      </c>
      <c r="T16" s="14">
        <v>15</v>
      </c>
      <c r="U16" s="16">
        <f t="shared" si="0"/>
        <v>96418.378115764164</v>
      </c>
      <c r="V16" s="16">
        <f t="shared" si="1"/>
        <v>39758.436348735544</v>
      </c>
      <c r="W16" s="15">
        <f t="shared" si="2"/>
        <v>0.70803813773232094</v>
      </c>
    </row>
    <row r="17" spans="1:23" x14ac:dyDescent="0.25">
      <c r="A17" t="s">
        <v>11</v>
      </c>
      <c r="K17">
        <f>K16</f>
        <v>7.7399999999999997E-2</v>
      </c>
      <c r="Q17" s="36">
        <v>13</v>
      </c>
      <c r="R17" s="14">
        <v>20</v>
      </c>
      <c r="S17" s="14">
        <f t="shared" si="3"/>
        <v>15</v>
      </c>
      <c r="T17" s="14">
        <f t="shared" si="4"/>
        <v>15</v>
      </c>
      <c r="U17" s="16">
        <f t="shared" si="0"/>
        <v>116659.99315547191</v>
      </c>
      <c r="V17" s="16">
        <f t="shared" si="1"/>
        <v>39758.436348735544</v>
      </c>
      <c r="W17" s="15">
        <f t="shared" si="2"/>
        <v>0.74582000040048935</v>
      </c>
    </row>
    <row r="18" spans="1:23" x14ac:dyDescent="0.25">
      <c r="A18" t="s">
        <v>12</v>
      </c>
      <c r="Q18" s="36">
        <v>14</v>
      </c>
      <c r="R18" s="14">
        <v>20</v>
      </c>
      <c r="S18" s="14">
        <f t="shared" si="3"/>
        <v>15</v>
      </c>
      <c r="T18" s="14">
        <f t="shared" si="4"/>
        <v>15</v>
      </c>
      <c r="U18" s="16">
        <f t="shared" si="0"/>
        <v>139170.66607045406</v>
      </c>
      <c r="V18" s="16">
        <f t="shared" si="1"/>
        <v>39758.436348735544</v>
      </c>
      <c r="W18" s="15">
        <f t="shared" si="2"/>
        <v>0.77779782153273935</v>
      </c>
    </row>
    <row r="19" spans="1:23" x14ac:dyDescent="0.25">
      <c r="Q19" s="36">
        <v>15</v>
      </c>
      <c r="R19" s="14">
        <v>20</v>
      </c>
      <c r="S19" s="14">
        <f t="shared" si="3"/>
        <v>15</v>
      </c>
      <c r="T19" s="14">
        <f t="shared" si="4"/>
        <v>15</v>
      </c>
      <c r="U19" s="16">
        <f t="shared" si="0"/>
        <v>164015.38241813277</v>
      </c>
      <c r="V19" s="16">
        <f t="shared" si="1"/>
        <v>39758.436348735544</v>
      </c>
      <c r="W19" s="15">
        <f t="shared" si="2"/>
        <v>0.80488937887441747</v>
      </c>
    </row>
    <row r="20" spans="1:23" x14ac:dyDescent="0.25">
      <c r="A20" t="s">
        <v>13</v>
      </c>
      <c r="Q20" s="36">
        <v>16</v>
      </c>
      <c r="R20" s="14">
        <v>20</v>
      </c>
      <c r="S20" s="14">
        <f t="shared" si="3"/>
        <v>15</v>
      </c>
      <c r="T20" s="14">
        <f t="shared" si="4"/>
        <v>15</v>
      </c>
      <c r="U20" s="16">
        <f t="shared" si="0"/>
        <v>191256.30934645026</v>
      </c>
      <c r="V20" s="16">
        <f t="shared" si="1"/>
        <v>39758.436348735544</v>
      </c>
      <c r="W20" s="15">
        <f t="shared" si="2"/>
        <v>0.827896543014639</v>
      </c>
    </row>
    <row r="21" spans="1:23" x14ac:dyDescent="0.25">
      <c r="Q21" s="36">
        <v>17</v>
      </c>
      <c r="R21" s="14">
        <v>20</v>
      </c>
      <c r="S21" s="14">
        <f t="shared" si="3"/>
        <v>15</v>
      </c>
      <c r="T21" s="14">
        <f t="shared" si="4"/>
        <v>15</v>
      </c>
      <c r="U21" s="16">
        <f t="shared" si="0"/>
        <v>220953.0946768448</v>
      </c>
      <c r="V21" s="16">
        <f t="shared" si="1"/>
        <v>39758.436348735544</v>
      </c>
      <c r="W21" s="15">
        <f t="shared" si="2"/>
        <v>0.84750027667616068</v>
      </c>
    </row>
    <row r="22" spans="1:23" x14ac:dyDescent="0.25">
      <c r="A22" t="s">
        <v>14</v>
      </c>
      <c r="Q22" s="36">
        <v>18</v>
      </c>
      <c r="R22" s="14">
        <v>20</v>
      </c>
      <c r="S22" s="14">
        <f t="shared" si="3"/>
        <v>15</v>
      </c>
      <c r="T22" s="14">
        <f t="shared" si="4"/>
        <v>15</v>
      </c>
      <c r="U22" s="16">
        <f t="shared" si="0"/>
        <v>253163.11775423796</v>
      </c>
      <c r="V22" s="16">
        <f t="shared" si="1"/>
        <v>39758.436348735544</v>
      </c>
      <c r="W22" s="15">
        <f t="shared" si="2"/>
        <v>0.86426933835412167</v>
      </c>
    </row>
    <row r="23" spans="1:23" x14ac:dyDescent="0.25">
      <c r="Q23" s="36">
        <v>19</v>
      </c>
      <c r="R23" s="14">
        <v>20</v>
      </c>
      <c r="S23" s="14">
        <f t="shared" si="3"/>
        <v>15</v>
      </c>
      <c r="T23" s="14">
        <f t="shared" si="4"/>
        <v>15</v>
      </c>
      <c r="U23" s="16">
        <f t="shared" si="0"/>
        <v>287941.70219857508</v>
      </c>
      <c r="V23" s="16">
        <f t="shared" si="1"/>
        <v>39758.436348735544</v>
      </c>
      <c r="W23" s="15">
        <f t="shared" si="2"/>
        <v>0.87867433768876624</v>
      </c>
    </row>
    <row r="24" spans="1:23" x14ac:dyDescent="0.25">
      <c r="A24" t="s">
        <v>15</v>
      </c>
      <c r="Q24" s="36">
        <v>20</v>
      </c>
      <c r="R24" s="14">
        <v>20</v>
      </c>
      <c r="S24" s="14">
        <f t="shared" si="3"/>
        <v>15</v>
      </c>
      <c r="T24" s="14">
        <f t="shared" si="4"/>
        <v>15</v>
      </c>
      <c r="U24" s="16">
        <f t="shared" si="0"/>
        <v>325342.29812158563</v>
      </c>
      <c r="V24" s="16">
        <f t="shared" si="1"/>
        <v>39758.436348735544</v>
      </c>
      <c r="W24" s="15">
        <f t="shared" si="2"/>
        <v>0.89110283109559874</v>
      </c>
    </row>
    <row r="26" spans="1:23" x14ac:dyDescent="0.25">
      <c r="A26" t="s">
        <v>16</v>
      </c>
    </row>
    <row r="28" spans="1:23" x14ac:dyDescent="0.25">
      <c r="A28" t="s">
        <v>17</v>
      </c>
      <c r="B28" t="s">
        <v>18</v>
      </c>
    </row>
    <row r="29" spans="1:23" x14ac:dyDescent="0.25">
      <c r="A29">
        <v>1</v>
      </c>
      <c r="B29" s="25">
        <v>3.4799999999999998E-2</v>
      </c>
    </row>
    <row r="30" spans="1:23" x14ac:dyDescent="0.25">
      <c r="A30">
        <v>2</v>
      </c>
      <c r="B30" s="25">
        <v>6.7000000000000004E-2</v>
      </c>
    </row>
    <row r="31" spans="1:23" x14ac:dyDescent="0.25">
      <c r="A31">
        <v>3</v>
      </c>
      <c r="B31" s="25">
        <v>9.69E-2</v>
      </c>
    </row>
    <row r="32" spans="1:23" x14ac:dyDescent="0.25">
      <c r="A32">
        <v>4</v>
      </c>
      <c r="B32" s="25">
        <v>0.1245</v>
      </c>
    </row>
    <row r="33" spans="1:2" customFormat="1" x14ac:dyDescent="0.25">
      <c r="A33">
        <v>5</v>
      </c>
      <c r="B33" s="25">
        <v>0.1502</v>
      </c>
    </row>
    <row r="34" spans="1:2" customFormat="1" x14ac:dyDescent="0.25">
      <c r="A34">
        <v>6</v>
      </c>
      <c r="B34" s="25">
        <v>0.1739</v>
      </c>
    </row>
    <row r="35" spans="1:2" customFormat="1" x14ac:dyDescent="0.25">
      <c r="A35">
        <v>7</v>
      </c>
      <c r="B35" s="25">
        <v>0.19589999999999999</v>
      </c>
    </row>
    <row r="36" spans="1:2" customFormat="1" x14ac:dyDescent="0.25">
      <c r="A36">
        <v>8</v>
      </c>
      <c r="B36" s="25">
        <v>0.21629999999999999</v>
      </c>
    </row>
    <row r="37" spans="1:2" customFormat="1" x14ac:dyDescent="0.25">
      <c r="A37">
        <v>9</v>
      </c>
      <c r="B37" s="25">
        <v>0.23530000000000001</v>
      </c>
    </row>
    <row r="38" spans="1:2" customFormat="1" x14ac:dyDescent="0.25">
      <c r="A38">
        <v>10</v>
      </c>
      <c r="B38" s="25">
        <v>0.25280000000000002</v>
      </c>
    </row>
    <row r="39" spans="1:2" customFormat="1" x14ac:dyDescent="0.25">
      <c r="A39">
        <v>11</v>
      </c>
      <c r="B39" s="25">
        <v>0.26900000000000002</v>
      </c>
    </row>
    <row r="40" spans="1:2" customFormat="1" x14ac:dyDescent="0.25">
      <c r="A40">
        <v>12</v>
      </c>
      <c r="B40" s="25">
        <v>0.28399999999999997</v>
      </c>
    </row>
    <row r="41" spans="1:2" customFormat="1" x14ac:dyDescent="0.25">
      <c r="A41" s="8">
        <v>13</v>
      </c>
      <c r="B41" s="25">
        <v>0.29799999999999999</v>
      </c>
    </row>
    <row r="42" spans="1:2" customFormat="1" x14ac:dyDescent="0.25">
      <c r="A42" s="8">
        <v>14</v>
      </c>
      <c r="B42" s="25">
        <v>0.31090000000000001</v>
      </c>
    </row>
    <row r="43" spans="1:2" customFormat="1" x14ac:dyDescent="0.25">
      <c r="A43" s="8">
        <v>15</v>
      </c>
      <c r="B43" s="25">
        <v>0.32290000000000002</v>
      </c>
    </row>
    <row r="44" spans="1:2" customFormat="1" x14ac:dyDescent="0.25">
      <c r="A44" s="8">
        <v>16</v>
      </c>
      <c r="B44" s="25">
        <v>0.33389999999999997</v>
      </c>
    </row>
    <row r="45" spans="1:2" customFormat="1" x14ac:dyDescent="0.25">
      <c r="A45">
        <v>17</v>
      </c>
      <c r="B45" s="25">
        <v>0.34420000000000001</v>
      </c>
    </row>
    <row r="46" spans="1:2" customFormat="1" x14ac:dyDescent="0.25">
      <c r="A46">
        <v>18</v>
      </c>
      <c r="B46" s="25">
        <v>0.35370000000000001</v>
      </c>
    </row>
    <row r="47" spans="1:2" customFormat="1" x14ac:dyDescent="0.25">
      <c r="A47">
        <v>19</v>
      </c>
      <c r="B47" s="25">
        <v>0.36259999999999998</v>
      </c>
    </row>
    <row r="48" spans="1:2" customFormat="1" x14ac:dyDescent="0.25">
      <c r="A48">
        <v>20</v>
      </c>
      <c r="B48" s="25">
        <v>0.37069999999999997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5FB6-4E02-489E-AAD8-5E2FB1AB2063}">
  <sheetPr>
    <tabColor rgb="FFFFC000"/>
  </sheetPr>
  <dimension ref="A1:Q51"/>
  <sheetViews>
    <sheetView tabSelected="1" workbookViewId="0">
      <selection activeCell="B49" sqref="B49"/>
    </sheetView>
  </sheetViews>
  <sheetFormatPr baseColWidth="10" defaultRowHeight="15" x14ac:dyDescent="0.25"/>
  <cols>
    <col min="1" max="1" width="22.140625" style="85" customWidth="1"/>
    <col min="2" max="2" width="10.7109375" style="85" customWidth="1"/>
    <col min="3" max="3" width="5.42578125" style="85" bestFit="1" customWidth="1"/>
    <col min="4" max="4" width="4.7109375" style="85" bestFit="1" customWidth="1"/>
    <col min="5" max="5" width="3.5703125" style="85" bestFit="1" customWidth="1"/>
    <col min="6" max="6" width="4.5703125" style="26" bestFit="1" customWidth="1"/>
    <col min="7" max="8" width="4.5703125" style="85" bestFit="1" customWidth="1"/>
    <col min="9" max="9" width="5.140625" style="85" bestFit="1" customWidth="1"/>
    <col min="10" max="10" width="4.5703125" style="85" bestFit="1" customWidth="1"/>
    <col min="11" max="11" width="6.28515625" style="85" bestFit="1" customWidth="1"/>
    <col min="12" max="12" width="6.5703125" style="85" bestFit="1" customWidth="1"/>
    <col min="13" max="13" width="6.5703125" style="85" customWidth="1"/>
    <col min="14" max="14" width="5.28515625" style="85" bestFit="1" customWidth="1"/>
    <col min="15" max="15" width="5.42578125" style="85" bestFit="1" customWidth="1"/>
    <col min="16" max="16" width="13" style="85" bestFit="1" customWidth="1"/>
    <col min="17" max="17" width="10.42578125" style="85" bestFit="1" customWidth="1"/>
  </cols>
  <sheetData>
    <row r="1" spans="1:17" s="1" customFormat="1" x14ac:dyDescent="0.25">
      <c r="A1" s="101" t="s">
        <v>243</v>
      </c>
      <c r="B1" s="101" t="s">
        <v>251</v>
      </c>
      <c r="C1" s="101" t="s">
        <v>244</v>
      </c>
      <c r="D1" s="101" t="s">
        <v>245</v>
      </c>
      <c r="E1" s="101" t="s">
        <v>253</v>
      </c>
      <c r="F1" s="101" t="s">
        <v>54</v>
      </c>
      <c r="G1" s="101" t="s">
        <v>32</v>
      </c>
      <c r="H1" s="101" t="s">
        <v>26</v>
      </c>
      <c r="I1" s="101" t="s">
        <v>55</v>
      </c>
      <c r="J1" s="101" t="s">
        <v>28</v>
      </c>
      <c r="K1" s="101" t="s">
        <v>246</v>
      </c>
      <c r="L1" s="101" t="s">
        <v>247</v>
      </c>
      <c r="M1" s="101" t="s">
        <v>270</v>
      </c>
      <c r="N1" s="101" t="s">
        <v>248</v>
      </c>
      <c r="O1" s="101" t="s">
        <v>78</v>
      </c>
      <c r="P1" s="101" t="s">
        <v>249</v>
      </c>
      <c r="Q1" s="101" t="s">
        <v>258</v>
      </c>
    </row>
    <row r="2" spans="1:17" hidden="1" x14ac:dyDescent="0.25">
      <c r="A2" s="85" t="s">
        <v>250</v>
      </c>
      <c r="B2" s="85" t="s">
        <v>252</v>
      </c>
      <c r="C2" s="85">
        <v>19</v>
      </c>
      <c r="D2" s="85">
        <v>61</v>
      </c>
      <c r="E2" s="85">
        <v>2</v>
      </c>
      <c r="F2" s="26" t="s">
        <v>183</v>
      </c>
      <c r="G2" s="29">
        <v>6</v>
      </c>
      <c r="H2" s="29">
        <v>4</v>
      </c>
      <c r="I2" s="29">
        <v>10</v>
      </c>
      <c r="J2" s="29">
        <v>3</v>
      </c>
      <c r="K2" s="85">
        <v>18</v>
      </c>
      <c r="L2" s="85">
        <v>9</v>
      </c>
      <c r="M2" s="85">
        <v>39</v>
      </c>
      <c r="N2" s="85">
        <v>2</v>
      </c>
      <c r="O2" s="85">
        <f>N2+L2+K2+M2</f>
        <v>68</v>
      </c>
      <c r="P2" s="102">
        <v>1550000</v>
      </c>
      <c r="Q2" s="102">
        <f>P2/O2</f>
        <v>22794.117647058825</v>
      </c>
    </row>
    <row r="3" spans="1:17" hidden="1" x14ac:dyDescent="0.25">
      <c r="A3" s="85" t="s">
        <v>254</v>
      </c>
      <c r="B3" s="85" t="s">
        <v>255</v>
      </c>
      <c r="C3" s="85">
        <v>19</v>
      </c>
      <c r="D3" s="85">
        <v>104</v>
      </c>
      <c r="E3" s="85">
        <v>2</v>
      </c>
      <c r="G3" s="29">
        <v>5</v>
      </c>
      <c r="H3" s="29">
        <v>5</v>
      </c>
      <c r="I3" s="29">
        <v>10</v>
      </c>
      <c r="J3" s="29">
        <v>1</v>
      </c>
      <c r="K3" s="85">
        <v>13</v>
      </c>
      <c r="L3" s="85">
        <v>12</v>
      </c>
      <c r="M3" s="85">
        <v>39</v>
      </c>
      <c r="N3" s="85">
        <v>0</v>
      </c>
      <c r="O3" s="85">
        <f t="shared" ref="O3:O14" si="0">N3+L3+K3+M3</f>
        <v>64</v>
      </c>
      <c r="P3" s="102">
        <v>1000000</v>
      </c>
      <c r="Q3" s="102">
        <f t="shared" ref="Q3:Q7" si="1">P3/O3</f>
        <v>15625</v>
      </c>
    </row>
    <row r="4" spans="1:17" hidden="1" x14ac:dyDescent="0.25">
      <c r="A4" s="85" t="s">
        <v>256</v>
      </c>
      <c r="B4" s="85" t="s">
        <v>257</v>
      </c>
      <c r="C4" s="85">
        <v>18</v>
      </c>
      <c r="D4" s="85">
        <v>107</v>
      </c>
      <c r="E4" s="85">
        <v>2</v>
      </c>
      <c r="F4" s="26" t="s">
        <v>181</v>
      </c>
      <c r="G4" s="29">
        <v>2</v>
      </c>
      <c r="H4" s="29">
        <v>7</v>
      </c>
      <c r="I4" s="29">
        <v>10</v>
      </c>
      <c r="J4" s="29">
        <v>1</v>
      </c>
      <c r="K4" s="85">
        <v>3</v>
      </c>
      <c r="L4" s="85">
        <v>21</v>
      </c>
      <c r="M4" s="85">
        <v>39</v>
      </c>
      <c r="N4" s="85">
        <v>0</v>
      </c>
      <c r="O4" s="85">
        <f t="shared" si="0"/>
        <v>63</v>
      </c>
      <c r="P4" s="102">
        <v>3230000</v>
      </c>
      <c r="Q4" s="102">
        <f t="shared" si="1"/>
        <v>51269.841269841272</v>
      </c>
    </row>
    <row r="5" spans="1:17" hidden="1" x14ac:dyDescent="0.25">
      <c r="A5" s="85" t="s">
        <v>259</v>
      </c>
      <c r="B5" s="85" t="s">
        <v>260</v>
      </c>
      <c r="C5" s="85">
        <v>19</v>
      </c>
      <c r="D5" s="85">
        <v>23</v>
      </c>
      <c r="E5" s="85">
        <v>6</v>
      </c>
      <c r="F5" s="26" t="s">
        <v>183</v>
      </c>
      <c r="G5" s="29">
        <v>2</v>
      </c>
      <c r="H5" s="29">
        <v>1</v>
      </c>
      <c r="I5" s="29">
        <v>10</v>
      </c>
      <c r="J5" s="29">
        <v>1</v>
      </c>
      <c r="K5" s="85">
        <v>3</v>
      </c>
      <c r="L5" s="85">
        <v>0</v>
      </c>
      <c r="M5" s="85">
        <v>39</v>
      </c>
      <c r="N5" s="85">
        <v>0</v>
      </c>
      <c r="O5" s="85">
        <f t="shared" si="0"/>
        <v>42</v>
      </c>
      <c r="P5" s="102">
        <v>1400000</v>
      </c>
      <c r="Q5" s="102">
        <f t="shared" si="1"/>
        <v>33333.333333333336</v>
      </c>
    </row>
    <row r="6" spans="1:17" hidden="1" x14ac:dyDescent="0.25">
      <c r="A6" s="85" t="s">
        <v>261</v>
      </c>
      <c r="B6" s="85" t="s">
        <v>262</v>
      </c>
      <c r="C6" s="85">
        <v>19</v>
      </c>
      <c r="D6" s="85">
        <v>80</v>
      </c>
      <c r="E6" s="85">
        <v>4</v>
      </c>
      <c r="F6" s="26" t="s">
        <v>106</v>
      </c>
      <c r="G6" s="29">
        <v>6</v>
      </c>
      <c r="H6" s="29">
        <v>2</v>
      </c>
      <c r="I6" s="29">
        <v>12</v>
      </c>
      <c r="J6" s="29">
        <v>0</v>
      </c>
      <c r="K6" s="85">
        <v>18</v>
      </c>
      <c r="L6" s="85">
        <v>3</v>
      </c>
      <c r="M6" s="85">
        <v>57</v>
      </c>
      <c r="N6" s="85">
        <v>-1</v>
      </c>
      <c r="O6" s="85">
        <f t="shared" si="0"/>
        <v>77</v>
      </c>
      <c r="P6" s="102">
        <v>3200000</v>
      </c>
      <c r="Q6" s="102">
        <f t="shared" si="1"/>
        <v>41558.441558441562</v>
      </c>
    </row>
    <row r="7" spans="1:17" hidden="1" x14ac:dyDescent="0.25">
      <c r="A7" s="85" t="s">
        <v>263</v>
      </c>
      <c r="B7" s="85" t="s">
        <v>264</v>
      </c>
      <c r="C7" s="85">
        <v>19</v>
      </c>
      <c r="D7" s="85">
        <v>69</v>
      </c>
      <c r="E7" s="85">
        <v>6</v>
      </c>
      <c r="F7" s="26" t="s">
        <v>106</v>
      </c>
      <c r="G7" s="29">
        <v>1</v>
      </c>
      <c r="H7" s="29">
        <v>2</v>
      </c>
      <c r="I7" s="29">
        <v>10</v>
      </c>
      <c r="J7" s="29">
        <v>1</v>
      </c>
      <c r="K7" s="85">
        <v>0</v>
      </c>
      <c r="L7" s="85">
        <v>3</v>
      </c>
      <c r="M7" s="85">
        <v>39</v>
      </c>
      <c r="N7" s="85">
        <v>0</v>
      </c>
      <c r="O7" s="85">
        <f t="shared" si="0"/>
        <v>42</v>
      </c>
      <c r="P7" s="102">
        <v>1500000</v>
      </c>
      <c r="Q7" s="102">
        <f t="shared" si="1"/>
        <v>35714.285714285717</v>
      </c>
    </row>
    <row r="8" spans="1:17" hidden="1" x14ac:dyDescent="0.25">
      <c r="A8" s="85" t="s">
        <v>265</v>
      </c>
      <c r="B8" s="85" t="s">
        <v>266</v>
      </c>
      <c r="C8" s="85">
        <v>19</v>
      </c>
      <c r="D8" s="85">
        <v>36</v>
      </c>
      <c r="E8" s="85">
        <v>6</v>
      </c>
      <c r="F8" s="26" t="s">
        <v>181</v>
      </c>
      <c r="G8" s="29">
        <v>2</v>
      </c>
      <c r="H8" s="29">
        <v>2</v>
      </c>
      <c r="I8" s="29">
        <v>10</v>
      </c>
      <c r="J8" s="29">
        <v>0</v>
      </c>
      <c r="K8" s="85">
        <v>3</v>
      </c>
      <c r="L8" s="85">
        <v>3</v>
      </c>
      <c r="M8" s="85">
        <v>39</v>
      </c>
      <c r="N8" s="85">
        <v>-1</v>
      </c>
      <c r="O8" s="85">
        <f t="shared" si="0"/>
        <v>44</v>
      </c>
      <c r="P8" s="102">
        <v>1100000</v>
      </c>
      <c r="Q8" s="102">
        <f t="shared" ref="Q8:Q14" si="2">P8/O8</f>
        <v>25000</v>
      </c>
    </row>
    <row r="9" spans="1:17" hidden="1" x14ac:dyDescent="0.25">
      <c r="A9" s="85" t="s">
        <v>267</v>
      </c>
      <c r="B9" s="85" t="s">
        <v>268</v>
      </c>
      <c r="C9" s="85">
        <v>19</v>
      </c>
      <c r="D9" s="85">
        <v>20</v>
      </c>
      <c r="E9" s="85">
        <v>6</v>
      </c>
      <c r="F9" s="26" t="s">
        <v>269</v>
      </c>
      <c r="G9" s="29">
        <v>3</v>
      </c>
      <c r="H9" s="29">
        <v>3</v>
      </c>
      <c r="I9" s="29">
        <v>10</v>
      </c>
      <c r="J9" s="29">
        <v>2</v>
      </c>
      <c r="K9" s="85">
        <v>6</v>
      </c>
      <c r="L9" s="85">
        <v>6</v>
      </c>
      <c r="M9" s="85">
        <v>39</v>
      </c>
      <c r="N9" s="85">
        <v>1</v>
      </c>
      <c r="O9" s="85">
        <f t="shared" si="0"/>
        <v>52</v>
      </c>
      <c r="P9" s="102">
        <v>1350000</v>
      </c>
      <c r="Q9" s="102">
        <f t="shared" si="2"/>
        <v>25961.538461538461</v>
      </c>
    </row>
    <row r="10" spans="1:17" hidden="1" x14ac:dyDescent="0.25">
      <c r="A10" s="85" t="s">
        <v>271</v>
      </c>
      <c r="B10" s="85" t="s">
        <v>272</v>
      </c>
      <c r="C10" s="85">
        <v>17</v>
      </c>
      <c r="D10" s="85">
        <v>86</v>
      </c>
      <c r="E10" s="85">
        <v>2</v>
      </c>
      <c r="F10" s="26" t="s">
        <v>179</v>
      </c>
      <c r="G10" s="29">
        <v>4</v>
      </c>
      <c r="H10" s="29">
        <v>8</v>
      </c>
      <c r="I10" s="29">
        <v>4</v>
      </c>
      <c r="J10" s="29">
        <v>2</v>
      </c>
      <c r="K10" s="85">
        <v>9</v>
      </c>
      <c r="L10" s="85">
        <v>26</v>
      </c>
      <c r="M10" s="85">
        <v>8</v>
      </c>
      <c r="N10" s="85">
        <v>1</v>
      </c>
      <c r="O10" s="85">
        <f t="shared" si="0"/>
        <v>44</v>
      </c>
      <c r="P10" s="102">
        <v>500000</v>
      </c>
      <c r="Q10" s="102">
        <f t="shared" si="2"/>
        <v>11363.636363636364</v>
      </c>
    </row>
    <row r="11" spans="1:17" hidden="1" x14ac:dyDescent="0.25">
      <c r="A11" s="85" t="s">
        <v>273</v>
      </c>
      <c r="B11" s="85" t="s">
        <v>252</v>
      </c>
      <c r="C11" s="85">
        <v>18</v>
      </c>
      <c r="D11" s="85">
        <v>34</v>
      </c>
      <c r="E11" s="85">
        <v>3</v>
      </c>
      <c r="F11" s="26" t="s">
        <v>181</v>
      </c>
      <c r="G11" s="29">
        <v>4</v>
      </c>
      <c r="H11" s="29">
        <v>8</v>
      </c>
      <c r="I11" s="29">
        <v>4</v>
      </c>
      <c r="J11" s="29">
        <v>1</v>
      </c>
      <c r="K11" s="85">
        <v>9</v>
      </c>
      <c r="L11" s="85">
        <v>26</v>
      </c>
      <c r="M11" s="85">
        <v>8</v>
      </c>
      <c r="N11" s="85">
        <v>0</v>
      </c>
      <c r="O11" s="85">
        <f t="shared" si="0"/>
        <v>43</v>
      </c>
      <c r="P11" s="102">
        <v>240000</v>
      </c>
      <c r="Q11" s="102">
        <f t="shared" si="2"/>
        <v>5581.395348837209</v>
      </c>
    </row>
    <row r="12" spans="1:17" hidden="1" x14ac:dyDescent="0.25">
      <c r="A12" s="85" t="s">
        <v>274</v>
      </c>
      <c r="B12" s="85" t="s">
        <v>275</v>
      </c>
      <c r="C12" s="85">
        <v>18</v>
      </c>
      <c r="D12" s="85">
        <v>43</v>
      </c>
      <c r="E12" s="85">
        <v>1</v>
      </c>
      <c r="F12" s="26" t="s">
        <v>179</v>
      </c>
      <c r="G12" s="29">
        <v>4</v>
      </c>
      <c r="H12" s="29">
        <v>9</v>
      </c>
      <c r="I12" s="29">
        <v>4</v>
      </c>
      <c r="J12" s="29">
        <v>4</v>
      </c>
      <c r="K12" s="85">
        <v>9</v>
      </c>
      <c r="L12" s="85">
        <v>32</v>
      </c>
      <c r="M12" s="85">
        <v>8</v>
      </c>
      <c r="N12" s="85">
        <v>3</v>
      </c>
      <c r="O12" s="85">
        <f t="shared" si="0"/>
        <v>52</v>
      </c>
      <c r="P12" s="102">
        <v>800000</v>
      </c>
      <c r="Q12" s="102">
        <f t="shared" si="2"/>
        <v>15384.615384615385</v>
      </c>
    </row>
    <row r="13" spans="1:17" hidden="1" x14ac:dyDescent="0.25">
      <c r="A13" s="85" t="s">
        <v>276</v>
      </c>
      <c r="B13" s="85" t="s">
        <v>277</v>
      </c>
      <c r="C13" s="85">
        <v>18</v>
      </c>
      <c r="D13" s="85">
        <v>45</v>
      </c>
      <c r="E13" s="85">
        <v>1</v>
      </c>
      <c r="F13" s="26" t="s">
        <v>179</v>
      </c>
      <c r="G13" s="29">
        <v>4</v>
      </c>
      <c r="H13" s="29">
        <v>8</v>
      </c>
      <c r="I13" s="29">
        <v>4</v>
      </c>
      <c r="J13" s="29">
        <v>4</v>
      </c>
      <c r="K13" s="85">
        <v>9</v>
      </c>
      <c r="L13" s="85">
        <v>26</v>
      </c>
      <c r="M13" s="85">
        <v>8</v>
      </c>
      <c r="N13" s="85">
        <v>3</v>
      </c>
      <c r="O13" s="85">
        <f t="shared" si="0"/>
        <v>46</v>
      </c>
      <c r="P13" s="102">
        <v>450000</v>
      </c>
      <c r="Q13" s="102">
        <f t="shared" si="2"/>
        <v>9782.608695652174</v>
      </c>
    </row>
    <row r="14" spans="1:17" hidden="1" x14ac:dyDescent="0.25">
      <c r="A14" s="85" t="s">
        <v>278</v>
      </c>
      <c r="B14" s="85" t="s">
        <v>264</v>
      </c>
      <c r="C14" s="85">
        <v>18</v>
      </c>
      <c r="D14" s="85">
        <v>55</v>
      </c>
      <c r="E14" s="85">
        <v>2</v>
      </c>
      <c r="F14" s="26" t="s">
        <v>269</v>
      </c>
      <c r="G14" s="29">
        <v>4</v>
      </c>
      <c r="H14" s="29">
        <v>10</v>
      </c>
      <c r="I14" s="29">
        <v>4</v>
      </c>
      <c r="J14" s="29">
        <v>4</v>
      </c>
      <c r="K14" s="85">
        <v>9</v>
      </c>
      <c r="L14" s="85">
        <v>39</v>
      </c>
      <c r="M14" s="85">
        <v>8</v>
      </c>
      <c r="N14" s="85">
        <v>3</v>
      </c>
      <c r="O14" s="85">
        <f t="shared" si="0"/>
        <v>59</v>
      </c>
      <c r="P14" s="102">
        <v>1450000</v>
      </c>
      <c r="Q14" s="102">
        <f t="shared" si="2"/>
        <v>24576.271186440677</v>
      </c>
    </row>
    <row r="15" spans="1:17" hidden="1" x14ac:dyDescent="0.25">
      <c r="A15" s="85" t="s">
        <v>279</v>
      </c>
      <c r="B15" s="85" t="s">
        <v>280</v>
      </c>
      <c r="C15" s="85">
        <v>17</v>
      </c>
      <c r="D15" s="85">
        <v>107</v>
      </c>
      <c r="E15" s="85">
        <v>2</v>
      </c>
      <c r="F15" s="26" t="s">
        <v>181</v>
      </c>
      <c r="G15" s="29">
        <v>4</v>
      </c>
      <c r="H15" s="29">
        <v>8</v>
      </c>
      <c r="I15" s="29">
        <v>4</v>
      </c>
      <c r="J15" s="29">
        <v>4</v>
      </c>
      <c r="K15" s="85">
        <v>9</v>
      </c>
      <c r="L15" s="85">
        <v>26</v>
      </c>
      <c r="M15" s="85">
        <v>8</v>
      </c>
      <c r="N15" s="85">
        <v>3</v>
      </c>
      <c r="O15" s="85">
        <f t="shared" ref="O15:O32" si="3">N15+L15+K15+M15</f>
        <v>46</v>
      </c>
      <c r="P15" s="102">
        <v>630000</v>
      </c>
      <c r="Q15" s="102">
        <f t="shared" ref="Q15:Q32" si="4">P15/O15</f>
        <v>13695.652173913044</v>
      </c>
    </row>
    <row r="16" spans="1:17" hidden="1" x14ac:dyDescent="0.25">
      <c r="A16" s="85" t="s">
        <v>281</v>
      </c>
      <c r="B16" s="85" t="s">
        <v>252</v>
      </c>
      <c r="C16" s="85">
        <v>18</v>
      </c>
      <c r="D16" s="85">
        <v>72</v>
      </c>
      <c r="E16" s="85">
        <v>2</v>
      </c>
      <c r="F16" s="26" t="s">
        <v>183</v>
      </c>
      <c r="G16" s="29">
        <v>5</v>
      </c>
      <c r="H16" s="29">
        <v>10</v>
      </c>
      <c r="I16" s="29">
        <v>4</v>
      </c>
      <c r="J16" s="29">
        <v>4</v>
      </c>
      <c r="K16" s="85">
        <v>9</v>
      </c>
      <c r="L16" s="85">
        <v>39</v>
      </c>
      <c r="M16" s="85">
        <v>8</v>
      </c>
      <c r="N16" s="85">
        <v>3</v>
      </c>
      <c r="O16" s="85">
        <f t="shared" si="3"/>
        <v>59</v>
      </c>
      <c r="P16" s="102">
        <v>1900000</v>
      </c>
      <c r="Q16" s="102">
        <f t="shared" si="4"/>
        <v>32203.389830508473</v>
      </c>
    </row>
    <row r="17" spans="1:17" hidden="1" x14ac:dyDescent="0.25">
      <c r="A17" s="85" t="s">
        <v>282</v>
      </c>
      <c r="B17" s="85" t="s">
        <v>268</v>
      </c>
      <c r="C17" s="85">
        <v>19</v>
      </c>
      <c r="D17" s="85">
        <v>15</v>
      </c>
      <c r="E17" s="85">
        <v>6</v>
      </c>
      <c r="G17" s="29">
        <v>10</v>
      </c>
      <c r="H17" s="29">
        <v>7</v>
      </c>
      <c r="I17" s="29">
        <v>4</v>
      </c>
      <c r="J17" s="29">
        <v>3</v>
      </c>
      <c r="K17" s="85">
        <v>44</v>
      </c>
      <c r="L17" s="85">
        <v>21</v>
      </c>
      <c r="M17" s="85">
        <v>8</v>
      </c>
      <c r="N17" s="85">
        <v>2</v>
      </c>
      <c r="O17" s="85">
        <f t="shared" si="3"/>
        <v>75</v>
      </c>
      <c r="P17" s="102">
        <v>2000000</v>
      </c>
      <c r="Q17" s="102">
        <f t="shared" si="4"/>
        <v>26666.666666666668</v>
      </c>
    </row>
    <row r="18" spans="1:17" hidden="1" x14ac:dyDescent="0.25">
      <c r="A18" s="85" t="s">
        <v>283</v>
      </c>
      <c r="B18" s="85" t="s">
        <v>284</v>
      </c>
      <c r="C18" s="85">
        <v>21</v>
      </c>
      <c r="D18" s="85">
        <v>57</v>
      </c>
      <c r="E18" s="85">
        <v>2</v>
      </c>
      <c r="F18" s="26" t="s">
        <v>179</v>
      </c>
      <c r="G18" s="29">
        <v>9</v>
      </c>
      <c r="H18" s="29">
        <v>9</v>
      </c>
      <c r="I18" s="29">
        <v>8</v>
      </c>
      <c r="J18" s="29">
        <v>1</v>
      </c>
      <c r="K18" s="85">
        <v>36</v>
      </c>
      <c r="L18" s="85">
        <v>32</v>
      </c>
      <c r="M18" s="85">
        <v>26</v>
      </c>
      <c r="N18" s="85">
        <v>0</v>
      </c>
      <c r="O18" s="85">
        <f t="shared" si="3"/>
        <v>94</v>
      </c>
      <c r="P18" s="102">
        <v>2500000</v>
      </c>
      <c r="Q18" s="102">
        <f t="shared" si="4"/>
        <v>26595.744680851065</v>
      </c>
    </row>
    <row r="19" spans="1:17" hidden="1" x14ac:dyDescent="0.25">
      <c r="A19" s="85" t="s">
        <v>285</v>
      </c>
      <c r="B19" s="85" t="s">
        <v>284</v>
      </c>
      <c r="C19" s="85">
        <v>21</v>
      </c>
      <c r="D19" s="85">
        <v>81</v>
      </c>
      <c r="E19" s="85">
        <v>1</v>
      </c>
      <c r="F19" s="26" t="s">
        <v>269</v>
      </c>
      <c r="G19" s="29">
        <v>10</v>
      </c>
      <c r="H19" s="29">
        <v>10</v>
      </c>
      <c r="I19" s="29">
        <v>7</v>
      </c>
      <c r="J19" s="29">
        <v>0</v>
      </c>
      <c r="K19" s="85">
        <v>44</v>
      </c>
      <c r="L19" s="85">
        <v>39</v>
      </c>
      <c r="M19" s="85">
        <v>20</v>
      </c>
      <c r="N19" s="85">
        <v>-1</v>
      </c>
      <c r="O19" s="85">
        <f t="shared" si="3"/>
        <v>102</v>
      </c>
      <c r="P19" s="102">
        <v>3000000</v>
      </c>
      <c r="Q19" s="102">
        <f t="shared" si="4"/>
        <v>29411.764705882353</v>
      </c>
    </row>
    <row r="20" spans="1:17" hidden="1" x14ac:dyDescent="0.25">
      <c r="A20" s="85" t="s">
        <v>286</v>
      </c>
      <c r="B20" s="85" t="s">
        <v>287</v>
      </c>
      <c r="C20" s="85">
        <v>20</v>
      </c>
      <c r="D20" s="85">
        <v>78</v>
      </c>
      <c r="E20" s="85">
        <v>5</v>
      </c>
      <c r="F20" s="26" t="s">
        <v>183</v>
      </c>
      <c r="G20" s="29">
        <v>6</v>
      </c>
      <c r="H20" s="29">
        <v>10</v>
      </c>
      <c r="I20" s="29">
        <v>9</v>
      </c>
      <c r="J20" s="29">
        <v>12</v>
      </c>
      <c r="K20" s="85">
        <v>18</v>
      </c>
      <c r="L20" s="85">
        <v>39</v>
      </c>
      <c r="M20" s="85">
        <v>32</v>
      </c>
      <c r="N20" s="85">
        <v>14</v>
      </c>
      <c r="O20" s="85">
        <f t="shared" si="3"/>
        <v>103</v>
      </c>
      <c r="P20" s="102">
        <v>4200000</v>
      </c>
      <c r="Q20" s="102">
        <f t="shared" si="4"/>
        <v>40776.699029126212</v>
      </c>
    </row>
    <row r="21" spans="1:17" x14ac:dyDescent="0.25">
      <c r="A21" s="106" t="s">
        <v>288</v>
      </c>
      <c r="B21" s="85" t="s">
        <v>289</v>
      </c>
      <c r="C21" s="85">
        <v>18</v>
      </c>
      <c r="D21" s="85">
        <v>102</v>
      </c>
      <c r="E21" s="85">
        <v>4</v>
      </c>
      <c r="G21" s="29">
        <v>5</v>
      </c>
      <c r="H21" s="29">
        <v>6</v>
      </c>
      <c r="I21" s="29">
        <v>9</v>
      </c>
      <c r="J21" s="29">
        <v>1</v>
      </c>
      <c r="K21" s="85">
        <v>13</v>
      </c>
      <c r="L21" s="85">
        <v>16</v>
      </c>
      <c r="M21" s="85">
        <v>32</v>
      </c>
      <c r="N21" s="85">
        <v>0</v>
      </c>
      <c r="O21" s="85">
        <f t="shared" si="3"/>
        <v>61</v>
      </c>
      <c r="P21" s="102">
        <v>1450007</v>
      </c>
      <c r="Q21" s="102">
        <f t="shared" si="4"/>
        <v>23770.60655737705</v>
      </c>
    </row>
    <row r="22" spans="1:17" hidden="1" x14ac:dyDescent="0.25">
      <c r="A22" s="85" t="s">
        <v>290</v>
      </c>
      <c r="B22" s="85" t="s">
        <v>289</v>
      </c>
      <c r="C22" s="85">
        <v>17</v>
      </c>
      <c r="D22" s="85">
        <v>60</v>
      </c>
      <c r="E22" s="85">
        <v>4</v>
      </c>
      <c r="F22" s="26" t="s">
        <v>106</v>
      </c>
      <c r="G22" s="29">
        <v>2</v>
      </c>
      <c r="H22" s="29">
        <v>6</v>
      </c>
      <c r="I22" s="29">
        <v>6</v>
      </c>
      <c r="J22" s="29">
        <v>2</v>
      </c>
      <c r="K22" s="85">
        <v>3</v>
      </c>
      <c r="L22" s="85">
        <v>16</v>
      </c>
      <c r="M22" s="85">
        <v>16</v>
      </c>
      <c r="N22" s="85">
        <v>1</v>
      </c>
      <c r="O22" s="85">
        <f t="shared" si="3"/>
        <v>36</v>
      </c>
      <c r="P22" s="102">
        <v>350000</v>
      </c>
      <c r="Q22" s="102">
        <f t="shared" si="4"/>
        <v>9722.2222222222226</v>
      </c>
    </row>
    <row r="23" spans="1:17" x14ac:dyDescent="0.25">
      <c r="A23" s="106" t="s">
        <v>291</v>
      </c>
      <c r="B23" s="85" t="s">
        <v>289</v>
      </c>
      <c r="C23" s="85">
        <v>18</v>
      </c>
      <c r="D23" s="85">
        <v>110</v>
      </c>
      <c r="E23" s="85">
        <v>4</v>
      </c>
      <c r="F23" s="26" t="s">
        <v>179</v>
      </c>
      <c r="G23" s="29">
        <v>7</v>
      </c>
      <c r="H23" s="29">
        <v>7</v>
      </c>
      <c r="I23" s="29">
        <v>6</v>
      </c>
      <c r="J23" s="29">
        <v>2</v>
      </c>
      <c r="K23" s="85">
        <v>23</v>
      </c>
      <c r="L23" s="85">
        <v>21</v>
      </c>
      <c r="M23" s="85">
        <v>16</v>
      </c>
      <c r="N23" s="85">
        <v>1</v>
      </c>
      <c r="O23" s="85">
        <f t="shared" si="3"/>
        <v>61</v>
      </c>
      <c r="P23" s="102">
        <v>450000</v>
      </c>
      <c r="Q23" s="102">
        <f t="shared" si="4"/>
        <v>7377.0491803278692</v>
      </c>
    </row>
    <row r="24" spans="1:17" hidden="1" x14ac:dyDescent="0.25">
      <c r="A24" s="85" t="s">
        <v>292</v>
      </c>
      <c r="B24" s="85" t="s">
        <v>289</v>
      </c>
      <c r="C24" s="85">
        <v>17</v>
      </c>
      <c r="D24" s="85">
        <v>93</v>
      </c>
      <c r="E24" s="85">
        <v>5</v>
      </c>
      <c r="F24" s="26" t="s">
        <v>183</v>
      </c>
      <c r="G24" s="29">
        <v>4</v>
      </c>
      <c r="H24" s="29">
        <v>8</v>
      </c>
      <c r="I24" s="29">
        <v>4</v>
      </c>
      <c r="J24" s="29">
        <v>2</v>
      </c>
      <c r="K24" s="85">
        <v>9</v>
      </c>
      <c r="L24" s="85">
        <v>26</v>
      </c>
      <c r="M24" s="85">
        <v>8</v>
      </c>
      <c r="N24" s="85">
        <v>3</v>
      </c>
      <c r="O24" s="85">
        <f t="shared" si="3"/>
        <v>46</v>
      </c>
      <c r="P24" s="102">
        <v>800000</v>
      </c>
      <c r="Q24" s="102">
        <f t="shared" si="4"/>
        <v>17391.304347826088</v>
      </c>
    </row>
    <row r="25" spans="1:17" hidden="1" x14ac:dyDescent="0.25">
      <c r="A25" s="85" t="s">
        <v>293</v>
      </c>
      <c r="B25" s="85" t="s">
        <v>289</v>
      </c>
      <c r="C25" s="85">
        <v>18</v>
      </c>
      <c r="D25" s="85">
        <v>96</v>
      </c>
      <c r="E25" s="85">
        <v>3.2456140350877201</v>
      </c>
      <c r="G25" s="29">
        <v>3</v>
      </c>
      <c r="H25" s="29">
        <v>9</v>
      </c>
      <c r="I25" s="29">
        <v>5</v>
      </c>
      <c r="J25" s="29">
        <v>3</v>
      </c>
      <c r="K25" s="85">
        <v>6</v>
      </c>
      <c r="L25" s="85">
        <v>32</v>
      </c>
      <c r="M25" s="85">
        <v>12</v>
      </c>
      <c r="N25" s="85">
        <v>2</v>
      </c>
      <c r="O25" s="85">
        <f t="shared" si="3"/>
        <v>52</v>
      </c>
      <c r="P25" s="102">
        <v>2000000</v>
      </c>
      <c r="Q25" s="102">
        <f t="shared" si="4"/>
        <v>38461.538461538461</v>
      </c>
    </row>
    <row r="26" spans="1:17" hidden="1" x14ac:dyDescent="0.25">
      <c r="A26" s="85" t="s">
        <v>294</v>
      </c>
      <c r="B26" s="85" t="s">
        <v>289</v>
      </c>
      <c r="C26" s="85">
        <v>17</v>
      </c>
      <c r="D26" s="85">
        <v>59</v>
      </c>
      <c r="E26" s="85">
        <v>3.2228070175438601</v>
      </c>
      <c r="G26" s="29">
        <v>3</v>
      </c>
      <c r="H26" s="29">
        <v>5</v>
      </c>
      <c r="I26" s="29">
        <v>6</v>
      </c>
      <c r="J26" s="29">
        <v>3</v>
      </c>
      <c r="K26" s="85">
        <v>6</v>
      </c>
      <c r="L26" s="85">
        <v>12</v>
      </c>
      <c r="M26" s="85">
        <v>16</v>
      </c>
      <c r="N26" s="85">
        <v>2</v>
      </c>
      <c r="O26" s="85">
        <f t="shared" si="3"/>
        <v>36</v>
      </c>
      <c r="P26" s="102">
        <v>400000</v>
      </c>
      <c r="Q26" s="102">
        <f t="shared" si="4"/>
        <v>11111.111111111111</v>
      </c>
    </row>
    <row r="27" spans="1:17" hidden="1" x14ac:dyDescent="0.25">
      <c r="A27" s="85" t="s">
        <v>295</v>
      </c>
      <c r="B27" s="85" t="s">
        <v>289</v>
      </c>
      <c r="C27" s="85">
        <v>17</v>
      </c>
      <c r="D27" s="85">
        <v>91</v>
      </c>
      <c r="E27" s="85">
        <v>6</v>
      </c>
      <c r="F27" s="26" t="s">
        <v>183</v>
      </c>
      <c r="G27" s="29">
        <v>2</v>
      </c>
      <c r="H27" s="29">
        <v>8</v>
      </c>
      <c r="I27" s="29">
        <v>5</v>
      </c>
      <c r="J27" s="29">
        <v>0</v>
      </c>
      <c r="K27" s="85">
        <v>3</v>
      </c>
      <c r="L27" s="85">
        <v>26</v>
      </c>
      <c r="M27" s="85">
        <v>12</v>
      </c>
      <c r="N27" s="85">
        <v>-1</v>
      </c>
      <c r="O27" s="85">
        <f t="shared" si="3"/>
        <v>40</v>
      </c>
      <c r="P27" s="102">
        <v>700000</v>
      </c>
      <c r="Q27" s="102">
        <f t="shared" si="4"/>
        <v>17500</v>
      </c>
    </row>
    <row r="28" spans="1:17" hidden="1" x14ac:dyDescent="0.25">
      <c r="A28" s="85" t="s">
        <v>296</v>
      </c>
      <c r="B28" s="85" t="s">
        <v>297</v>
      </c>
      <c r="C28" s="85">
        <v>20</v>
      </c>
      <c r="D28" s="85">
        <v>15</v>
      </c>
      <c r="E28" s="85">
        <v>5</v>
      </c>
      <c r="G28" s="29">
        <v>3</v>
      </c>
      <c r="H28" s="29">
        <v>10</v>
      </c>
      <c r="I28" s="29">
        <v>9</v>
      </c>
      <c r="J28" s="29">
        <v>0</v>
      </c>
      <c r="K28" s="85">
        <v>6</v>
      </c>
      <c r="L28" s="85">
        <v>39</v>
      </c>
      <c r="M28" s="85">
        <v>32</v>
      </c>
      <c r="N28" s="85">
        <v>-1</v>
      </c>
      <c r="O28" s="85">
        <f t="shared" si="3"/>
        <v>76</v>
      </c>
      <c r="P28" s="102">
        <v>3700000</v>
      </c>
      <c r="Q28" s="102">
        <f t="shared" si="4"/>
        <v>48684.210526315786</v>
      </c>
    </row>
    <row r="29" spans="1:17" hidden="1" x14ac:dyDescent="0.25">
      <c r="A29" s="85" t="s">
        <v>298</v>
      </c>
      <c r="B29" s="85" t="s">
        <v>299</v>
      </c>
      <c r="C29" s="85">
        <v>20</v>
      </c>
      <c r="D29" s="85">
        <v>90</v>
      </c>
      <c r="E29" s="85">
        <v>4</v>
      </c>
      <c r="G29" s="29">
        <v>3</v>
      </c>
      <c r="H29" s="29">
        <v>12</v>
      </c>
      <c r="I29" s="29">
        <v>9</v>
      </c>
      <c r="J29" s="29">
        <v>2</v>
      </c>
      <c r="K29" s="85">
        <v>6</v>
      </c>
      <c r="L29" s="85">
        <v>56</v>
      </c>
      <c r="M29" s="85">
        <v>32</v>
      </c>
      <c r="N29" s="85">
        <v>1</v>
      </c>
      <c r="O29" s="85">
        <f t="shared" si="3"/>
        <v>95</v>
      </c>
      <c r="P29" s="102">
        <v>3900000</v>
      </c>
      <c r="Q29" s="102">
        <f t="shared" si="4"/>
        <v>41052.631578947367</v>
      </c>
    </row>
    <row r="30" spans="1:17" hidden="1" x14ac:dyDescent="0.25">
      <c r="A30" s="85" t="s">
        <v>300</v>
      </c>
      <c r="B30" s="85" t="s">
        <v>301</v>
      </c>
      <c r="C30" s="85">
        <v>20</v>
      </c>
      <c r="D30" s="85">
        <v>85</v>
      </c>
      <c r="E30" s="85">
        <v>5</v>
      </c>
      <c r="G30" s="29">
        <v>3</v>
      </c>
      <c r="H30" s="29">
        <v>11</v>
      </c>
      <c r="I30" s="29">
        <v>9</v>
      </c>
      <c r="J30" s="29">
        <v>3</v>
      </c>
      <c r="K30" s="85">
        <v>6</v>
      </c>
      <c r="L30" s="85">
        <v>47</v>
      </c>
      <c r="M30" s="85">
        <v>32</v>
      </c>
      <c r="N30" s="85">
        <v>2</v>
      </c>
      <c r="O30" s="85">
        <f t="shared" si="3"/>
        <v>87</v>
      </c>
      <c r="P30" s="102">
        <v>3900000</v>
      </c>
      <c r="Q30" s="102">
        <f t="shared" si="4"/>
        <v>44827.586206896551</v>
      </c>
    </row>
    <row r="31" spans="1:17" hidden="1" x14ac:dyDescent="0.25">
      <c r="A31" s="85" t="s">
        <v>302</v>
      </c>
      <c r="B31" s="85" t="s">
        <v>303</v>
      </c>
      <c r="C31" s="85">
        <v>20</v>
      </c>
      <c r="D31" s="85">
        <v>91</v>
      </c>
      <c r="E31" s="85">
        <v>4</v>
      </c>
      <c r="F31" s="26" t="s">
        <v>179</v>
      </c>
      <c r="G31" s="29">
        <v>3</v>
      </c>
      <c r="H31" s="29">
        <v>9</v>
      </c>
      <c r="I31" s="29">
        <v>12</v>
      </c>
      <c r="J31" s="29">
        <v>2</v>
      </c>
      <c r="K31" s="85">
        <v>6</v>
      </c>
      <c r="L31" s="85">
        <v>32</v>
      </c>
      <c r="M31" s="85">
        <v>57</v>
      </c>
      <c r="N31" s="85">
        <v>1</v>
      </c>
      <c r="O31" s="85">
        <f t="shared" si="3"/>
        <v>96</v>
      </c>
      <c r="P31" s="102">
        <v>3900000</v>
      </c>
      <c r="Q31" s="102">
        <f t="shared" si="4"/>
        <v>40625</v>
      </c>
    </row>
    <row r="32" spans="1:17" hidden="1" x14ac:dyDescent="0.25">
      <c r="A32" s="85" t="s">
        <v>304</v>
      </c>
      <c r="B32" s="85" t="s">
        <v>106</v>
      </c>
      <c r="C32" s="85">
        <v>20</v>
      </c>
      <c r="D32" s="85">
        <v>91</v>
      </c>
      <c r="E32" s="85">
        <v>0</v>
      </c>
      <c r="F32" s="26" t="s">
        <v>106</v>
      </c>
      <c r="G32" s="29">
        <v>3</v>
      </c>
      <c r="H32" s="29">
        <v>11</v>
      </c>
      <c r="I32" s="29">
        <v>10</v>
      </c>
      <c r="J32" s="29">
        <v>2</v>
      </c>
      <c r="K32" s="85">
        <v>6</v>
      </c>
      <c r="L32" s="85">
        <v>47</v>
      </c>
      <c r="M32" s="85">
        <v>39</v>
      </c>
      <c r="N32" s="85">
        <v>1</v>
      </c>
      <c r="O32" s="85">
        <f t="shared" si="3"/>
        <v>93</v>
      </c>
      <c r="P32" s="102">
        <v>4000000</v>
      </c>
      <c r="Q32" s="102">
        <f t="shared" si="4"/>
        <v>43010.752688172041</v>
      </c>
    </row>
    <row r="33" spans="1:17" x14ac:dyDescent="0.25">
      <c r="A33" s="106" t="s">
        <v>305</v>
      </c>
      <c r="B33" s="85" t="s">
        <v>303</v>
      </c>
      <c r="C33" s="85">
        <v>18</v>
      </c>
      <c r="D33" s="85">
        <v>54</v>
      </c>
      <c r="E33" s="85">
        <v>5</v>
      </c>
      <c r="F33" s="26" t="s">
        <v>181</v>
      </c>
      <c r="G33" s="29">
        <v>3</v>
      </c>
      <c r="H33" s="29">
        <v>7</v>
      </c>
      <c r="I33" s="29">
        <v>8</v>
      </c>
      <c r="J33" s="29">
        <v>3</v>
      </c>
      <c r="K33" s="85">
        <v>6</v>
      </c>
      <c r="L33" s="85">
        <v>21</v>
      </c>
      <c r="M33" s="85">
        <v>26</v>
      </c>
      <c r="N33" s="85">
        <v>2</v>
      </c>
      <c r="O33" s="85">
        <f t="shared" ref="O33:O51" si="5">N33+L33+K33+M33</f>
        <v>55</v>
      </c>
      <c r="P33" s="102">
        <v>900000</v>
      </c>
      <c r="Q33" s="102">
        <f t="shared" ref="Q33:Q51" si="6">P33/O33</f>
        <v>16363.636363636364</v>
      </c>
    </row>
    <row r="34" spans="1:17" hidden="1" x14ac:dyDescent="0.25">
      <c r="A34" s="85" t="s">
        <v>306</v>
      </c>
      <c r="B34" s="85" t="s">
        <v>255</v>
      </c>
      <c r="C34" s="85">
        <v>18</v>
      </c>
      <c r="D34" s="85">
        <v>92</v>
      </c>
      <c r="E34" s="85">
        <v>5</v>
      </c>
      <c r="F34" s="26" t="s">
        <v>179</v>
      </c>
      <c r="G34" s="29">
        <v>4</v>
      </c>
      <c r="H34" s="29">
        <v>9</v>
      </c>
      <c r="I34" s="29">
        <v>8</v>
      </c>
      <c r="J34" s="29">
        <v>1</v>
      </c>
      <c r="K34" s="85">
        <v>9</v>
      </c>
      <c r="L34" s="85">
        <v>32</v>
      </c>
      <c r="M34" s="85">
        <v>26</v>
      </c>
      <c r="N34" s="85">
        <v>0</v>
      </c>
      <c r="O34" s="85">
        <f t="shared" si="5"/>
        <v>67</v>
      </c>
      <c r="P34" s="102">
        <v>3000000</v>
      </c>
      <c r="Q34" s="102">
        <f t="shared" si="6"/>
        <v>44776.119402985074</v>
      </c>
    </row>
    <row r="35" spans="1:17" hidden="1" x14ac:dyDescent="0.25">
      <c r="A35" s="85" t="s">
        <v>307</v>
      </c>
      <c r="B35" s="85" t="s">
        <v>308</v>
      </c>
      <c r="C35" s="85">
        <v>18</v>
      </c>
      <c r="D35" s="85">
        <v>26</v>
      </c>
      <c r="E35" s="85">
        <v>3</v>
      </c>
      <c r="F35" s="26" t="s">
        <v>106</v>
      </c>
      <c r="G35" s="29">
        <v>4</v>
      </c>
      <c r="H35" s="29">
        <v>5</v>
      </c>
      <c r="I35" s="29">
        <v>8</v>
      </c>
      <c r="J35" s="29">
        <v>3</v>
      </c>
      <c r="K35" s="85">
        <v>9</v>
      </c>
      <c r="L35" s="85">
        <v>12</v>
      </c>
      <c r="M35" s="85">
        <v>26</v>
      </c>
      <c r="N35" s="85">
        <v>2</v>
      </c>
      <c r="O35" s="85">
        <f t="shared" si="5"/>
        <v>49</v>
      </c>
      <c r="P35" s="102">
        <v>1500000</v>
      </c>
      <c r="Q35" s="102">
        <f t="shared" si="6"/>
        <v>30612.244897959183</v>
      </c>
    </row>
    <row r="36" spans="1:17" x14ac:dyDescent="0.25">
      <c r="A36" s="106" t="s">
        <v>309</v>
      </c>
      <c r="B36" s="85" t="s">
        <v>310</v>
      </c>
      <c r="C36" s="85">
        <v>18</v>
      </c>
      <c r="D36" s="85">
        <v>55</v>
      </c>
      <c r="E36" s="85">
        <v>4</v>
      </c>
      <c r="F36" s="26" t="s">
        <v>106</v>
      </c>
      <c r="G36" s="29">
        <v>6</v>
      </c>
      <c r="H36" s="29">
        <v>6</v>
      </c>
      <c r="I36" s="29">
        <v>6</v>
      </c>
      <c r="J36" s="29">
        <v>8</v>
      </c>
      <c r="K36" s="85">
        <v>18</v>
      </c>
      <c r="L36" s="85">
        <v>16</v>
      </c>
      <c r="M36" s="85">
        <v>16</v>
      </c>
      <c r="N36" s="85">
        <v>8</v>
      </c>
      <c r="O36" s="85">
        <f t="shared" si="5"/>
        <v>58</v>
      </c>
      <c r="P36" s="102">
        <v>150000</v>
      </c>
      <c r="Q36" s="102">
        <f t="shared" si="6"/>
        <v>2586.2068965517242</v>
      </c>
    </row>
    <row r="37" spans="1:17" x14ac:dyDescent="0.25">
      <c r="A37" s="106" t="s">
        <v>311</v>
      </c>
      <c r="B37" s="85" t="s">
        <v>312</v>
      </c>
      <c r="C37" s="85">
        <v>18</v>
      </c>
      <c r="D37" s="85">
        <v>53</v>
      </c>
      <c r="E37" s="85">
        <v>4</v>
      </c>
      <c r="F37" s="26" t="s">
        <v>106</v>
      </c>
      <c r="G37" s="29">
        <v>4</v>
      </c>
      <c r="H37" s="29">
        <v>7</v>
      </c>
      <c r="I37" s="29">
        <v>7</v>
      </c>
      <c r="J37" s="29">
        <v>6</v>
      </c>
      <c r="K37" s="85">
        <v>9</v>
      </c>
      <c r="L37" s="85">
        <v>21</v>
      </c>
      <c r="M37" s="85">
        <v>20</v>
      </c>
      <c r="N37" s="85">
        <v>5</v>
      </c>
      <c r="O37" s="85">
        <f t="shared" si="5"/>
        <v>55</v>
      </c>
      <c r="P37" s="102">
        <v>650000</v>
      </c>
      <c r="Q37" s="102">
        <f t="shared" si="6"/>
        <v>11818.181818181818</v>
      </c>
    </row>
    <row r="38" spans="1:17" x14ac:dyDescent="0.25">
      <c r="A38" s="106" t="s">
        <v>313</v>
      </c>
      <c r="B38" s="85" t="s">
        <v>314</v>
      </c>
      <c r="C38" s="85">
        <v>18</v>
      </c>
      <c r="D38" s="85">
        <v>37</v>
      </c>
      <c r="E38" s="85">
        <v>2</v>
      </c>
      <c r="F38" s="26" t="s">
        <v>106</v>
      </c>
      <c r="G38" s="29">
        <v>6</v>
      </c>
      <c r="H38" s="29">
        <v>5</v>
      </c>
      <c r="I38" s="29">
        <v>7</v>
      </c>
      <c r="J38" s="29">
        <v>5</v>
      </c>
      <c r="K38" s="85">
        <v>18</v>
      </c>
      <c r="L38" s="85">
        <v>12</v>
      </c>
      <c r="M38" s="85">
        <v>20</v>
      </c>
      <c r="N38" s="85">
        <v>4</v>
      </c>
      <c r="O38" s="85">
        <f t="shared" si="5"/>
        <v>54</v>
      </c>
      <c r="P38" s="102">
        <v>150000</v>
      </c>
      <c r="Q38" s="102">
        <f t="shared" si="6"/>
        <v>2777.7777777777778</v>
      </c>
    </row>
    <row r="39" spans="1:17" hidden="1" x14ac:dyDescent="0.25">
      <c r="A39" s="85" t="s">
        <v>315</v>
      </c>
      <c r="B39" s="85" t="s">
        <v>299</v>
      </c>
      <c r="C39" s="85">
        <v>18</v>
      </c>
      <c r="D39" s="85">
        <v>71</v>
      </c>
      <c r="E39" s="85">
        <v>6</v>
      </c>
      <c r="F39" s="26" t="s">
        <v>106</v>
      </c>
      <c r="G39" s="29">
        <v>4</v>
      </c>
      <c r="H39" s="29">
        <v>6</v>
      </c>
      <c r="I39" s="29">
        <v>7</v>
      </c>
      <c r="J39" s="29">
        <v>4</v>
      </c>
      <c r="K39" s="85">
        <v>9</v>
      </c>
      <c r="L39" s="85">
        <v>16</v>
      </c>
      <c r="M39" s="85">
        <v>20</v>
      </c>
      <c r="N39" s="85">
        <v>3</v>
      </c>
      <c r="O39" s="85">
        <f t="shared" si="5"/>
        <v>48</v>
      </c>
      <c r="P39" s="102">
        <v>200000</v>
      </c>
      <c r="Q39" s="102">
        <f t="shared" si="6"/>
        <v>4166.666666666667</v>
      </c>
    </row>
    <row r="40" spans="1:17" x14ac:dyDescent="0.25">
      <c r="A40" s="106" t="s">
        <v>316</v>
      </c>
      <c r="B40" s="85" t="s">
        <v>260</v>
      </c>
      <c r="C40" s="85">
        <v>18</v>
      </c>
      <c r="D40" s="85">
        <v>87</v>
      </c>
      <c r="E40" s="85">
        <v>4</v>
      </c>
      <c r="F40" s="26" t="s">
        <v>181</v>
      </c>
      <c r="G40" s="29">
        <v>4</v>
      </c>
      <c r="H40" s="29">
        <v>5</v>
      </c>
      <c r="I40" s="29">
        <v>9</v>
      </c>
      <c r="J40" s="29">
        <v>7</v>
      </c>
      <c r="K40" s="85">
        <v>9</v>
      </c>
      <c r="L40" s="85">
        <v>12</v>
      </c>
      <c r="M40" s="85">
        <v>32</v>
      </c>
      <c r="N40" s="85">
        <v>6</v>
      </c>
      <c r="O40" s="85">
        <f t="shared" si="5"/>
        <v>59</v>
      </c>
      <c r="P40" s="102">
        <v>800000</v>
      </c>
      <c r="Q40" s="102">
        <f t="shared" si="6"/>
        <v>13559.322033898305</v>
      </c>
    </row>
    <row r="41" spans="1:17" hidden="1" x14ac:dyDescent="0.25">
      <c r="A41" s="85" t="s">
        <v>317</v>
      </c>
      <c r="B41" s="85" t="s">
        <v>318</v>
      </c>
      <c r="C41" s="85">
        <v>22</v>
      </c>
      <c r="D41" s="85">
        <v>51</v>
      </c>
      <c r="E41" s="85">
        <v>3</v>
      </c>
      <c r="G41" s="29">
        <v>5</v>
      </c>
      <c r="H41" s="29">
        <v>9</v>
      </c>
      <c r="I41" s="29">
        <v>11</v>
      </c>
      <c r="J41" s="29">
        <v>5</v>
      </c>
      <c r="K41" s="85">
        <v>13</v>
      </c>
      <c r="L41" s="85">
        <v>32</v>
      </c>
      <c r="M41" s="85">
        <v>48</v>
      </c>
      <c r="N41" s="85">
        <v>4</v>
      </c>
      <c r="O41" s="85">
        <f t="shared" si="5"/>
        <v>97</v>
      </c>
      <c r="P41" s="102">
        <v>3000000</v>
      </c>
      <c r="Q41" s="102">
        <f t="shared" si="6"/>
        <v>30927.835051546394</v>
      </c>
    </row>
    <row r="42" spans="1:17" x14ac:dyDescent="0.25">
      <c r="A42" s="106" t="s">
        <v>319</v>
      </c>
      <c r="B42" s="85" t="s">
        <v>277</v>
      </c>
      <c r="C42" s="85">
        <v>19</v>
      </c>
      <c r="D42" s="85">
        <v>36</v>
      </c>
      <c r="E42" s="85">
        <v>6</v>
      </c>
      <c r="G42" s="29">
        <v>3</v>
      </c>
      <c r="H42" s="29">
        <v>10</v>
      </c>
      <c r="I42" s="29">
        <v>7</v>
      </c>
      <c r="J42" s="29">
        <v>3</v>
      </c>
      <c r="K42" s="85">
        <v>6</v>
      </c>
      <c r="L42" s="85">
        <v>39</v>
      </c>
      <c r="M42" s="85">
        <v>20</v>
      </c>
      <c r="N42" s="85">
        <v>2</v>
      </c>
      <c r="O42" s="85">
        <f t="shared" si="5"/>
        <v>67</v>
      </c>
      <c r="P42" s="102">
        <v>2500000</v>
      </c>
      <c r="Q42" s="102">
        <f t="shared" si="6"/>
        <v>37313.432835820895</v>
      </c>
    </row>
    <row r="43" spans="1:17" x14ac:dyDescent="0.25">
      <c r="A43" s="106" t="s">
        <v>320</v>
      </c>
      <c r="B43" s="85" t="s">
        <v>321</v>
      </c>
      <c r="C43" s="85">
        <v>19</v>
      </c>
      <c r="D43" s="85">
        <v>60</v>
      </c>
      <c r="E43" s="85">
        <v>3</v>
      </c>
      <c r="F43" s="26" t="s">
        <v>183</v>
      </c>
      <c r="G43" s="29">
        <v>5</v>
      </c>
      <c r="H43" s="29">
        <v>5</v>
      </c>
      <c r="I43" s="29">
        <v>8</v>
      </c>
      <c r="J43" s="29">
        <v>8</v>
      </c>
      <c r="K43" s="85">
        <v>13</v>
      </c>
      <c r="L43" s="85">
        <v>12</v>
      </c>
      <c r="M43" s="85">
        <v>26</v>
      </c>
      <c r="N43" s="85">
        <v>8</v>
      </c>
      <c r="O43" s="85">
        <f t="shared" si="5"/>
        <v>59</v>
      </c>
      <c r="P43" s="102">
        <v>300000</v>
      </c>
      <c r="Q43" s="102">
        <f t="shared" si="6"/>
        <v>5084.7457627118647</v>
      </c>
    </row>
    <row r="44" spans="1:17" hidden="1" x14ac:dyDescent="0.25">
      <c r="A44" s="94" t="s">
        <v>322</v>
      </c>
      <c r="B44" s="85" t="s">
        <v>323</v>
      </c>
      <c r="C44" s="85">
        <v>19</v>
      </c>
      <c r="D44" s="85">
        <v>78</v>
      </c>
      <c r="E44" s="85">
        <v>4</v>
      </c>
      <c r="F44" s="26" t="s">
        <v>181</v>
      </c>
      <c r="G44" s="29">
        <v>2</v>
      </c>
      <c r="H44" s="29">
        <v>10</v>
      </c>
      <c r="I44" s="29">
        <v>7</v>
      </c>
      <c r="J44" s="29">
        <v>0</v>
      </c>
      <c r="K44" s="85">
        <v>3</v>
      </c>
      <c r="L44" s="85">
        <v>39</v>
      </c>
      <c r="M44" s="85">
        <v>20</v>
      </c>
      <c r="N44" s="85">
        <v>-1</v>
      </c>
      <c r="O44" s="85">
        <f t="shared" si="5"/>
        <v>61</v>
      </c>
      <c r="P44" s="102">
        <v>3700000</v>
      </c>
      <c r="Q44" s="102">
        <f t="shared" si="6"/>
        <v>60655.737704918036</v>
      </c>
    </row>
    <row r="45" spans="1:17" hidden="1" x14ac:dyDescent="0.25">
      <c r="A45" s="106" t="s">
        <v>324</v>
      </c>
      <c r="B45" s="85" t="s">
        <v>325</v>
      </c>
      <c r="C45" s="85">
        <v>18</v>
      </c>
      <c r="D45" s="85">
        <v>49</v>
      </c>
      <c r="E45" s="85">
        <v>6</v>
      </c>
      <c r="G45" s="29">
        <v>3</v>
      </c>
      <c r="H45" s="29">
        <v>10</v>
      </c>
      <c r="I45" s="29">
        <v>5</v>
      </c>
      <c r="J45" s="29">
        <v>2</v>
      </c>
      <c r="K45" s="85">
        <v>6</v>
      </c>
      <c r="L45" s="85">
        <v>39</v>
      </c>
      <c r="M45" s="85">
        <v>12</v>
      </c>
      <c r="N45" s="85">
        <v>1</v>
      </c>
      <c r="O45" s="85">
        <f t="shared" si="5"/>
        <v>58</v>
      </c>
      <c r="P45" s="102">
        <v>2500000</v>
      </c>
      <c r="Q45" s="102">
        <f t="shared" si="6"/>
        <v>43103.448275862072</v>
      </c>
    </row>
    <row r="46" spans="1:17" x14ac:dyDescent="0.25">
      <c r="C46" s="85">
        <v>20</v>
      </c>
      <c r="D46" s="85">
        <v>91</v>
      </c>
      <c r="E46" s="85">
        <v>0</v>
      </c>
      <c r="F46" s="26" t="s">
        <v>106</v>
      </c>
      <c r="G46" s="29">
        <v>3</v>
      </c>
      <c r="H46" s="29">
        <v>11</v>
      </c>
      <c r="I46" s="29">
        <v>10</v>
      </c>
      <c r="J46" s="29">
        <v>2</v>
      </c>
      <c r="K46" s="85">
        <v>6</v>
      </c>
      <c r="L46" s="85">
        <v>47</v>
      </c>
      <c r="M46" s="85">
        <v>39</v>
      </c>
      <c r="N46" s="85">
        <v>1</v>
      </c>
      <c r="O46" s="85">
        <f t="shared" si="5"/>
        <v>93</v>
      </c>
      <c r="P46" s="102">
        <v>4000014</v>
      </c>
      <c r="Q46" s="102">
        <f t="shared" si="6"/>
        <v>43010.903225806454</v>
      </c>
    </row>
    <row r="47" spans="1:17" x14ac:dyDescent="0.25">
      <c r="C47" s="85">
        <v>20</v>
      </c>
      <c r="D47" s="85">
        <v>91</v>
      </c>
      <c r="E47" s="85">
        <v>0</v>
      </c>
      <c r="F47" s="26" t="s">
        <v>106</v>
      </c>
      <c r="G47" s="29">
        <v>3</v>
      </c>
      <c r="H47" s="29">
        <v>11</v>
      </c>
      <c r="I47" s="29">
        <v>10</v>
      </c>
      <c r="J47" s="29">
        <v>2</v>
      </c>
      <c r="K47" s="85">
        <v>6</v>
      </c>
      <c r="L47" s="85">
        <v>47</v>
      </c>
      <c r="M47" s="85">
        <v>39</v>
      </c>
      <c r="N47" s="85">
        <v>1</v>
      </c>
      <c r="O47" s="85">
        <f t="shared" si="5"/>
        <v>93</v>
      </c>
      <c r="P47" s="102">
        <v>4000015</v>
      </c>
      <c r="Q47" s="102">
        <f t="shared" si="6"/>
        <v>43010.913978494624</v>
      </c>
    </row>
    <row r="48" spans="1:17" x14ac:dyDescent="0.25">
      <c r="C48" s="85">
        <v>20</v>
      </c>
      <c r="D48" s="85">
        <v>91</v>
      </c>
      <c r="E48" s="85">
        <v>0</v>
      </c>
      <c r="F48" s="26" t="s">
        <v>106</v>
      </c>
      <c r="G48" s="29">
        <v>3</v>
      </c>
      <c r="H48" s="29">
        <v>11</v>
      </c>
      <c r="I48" s="29">
        <v>10</v>
      </c>
      <c r="J48" s="29">
        <v>2</v>
      </c>
      <c r="K48" s="85">
        <v>6</v>
      </c>
      <c r="L48" s="85">
        <v>47</v>
      </c>
      <c r="M48" s="85">
        <v>39</v>
      </c>
      <c r="N48" s="85">
        <v>1</v>
      </c>
      <c r="O48" s="85">
        <f t="shared" si="5"/>
        <v>93</v>
      </c>
      <c r="P48" s="102">
        <v>4000016</v>
      </c>
      <c r="Q48" s="102">
        <f t="shared" si="6"/>
        <v>43010.924731182793</v>
      </c>
    </row>
    <row r="49" spans="3:17" x14ac:dyDescent="0.25">
      <c r="C49" s="85">
        <v>20</v>
      </c>
      <c r="D49" s="85">
        <v>91</v>
      </c>
      <c r="E49" s="85">
        <v>0</v>
      </c>
      <c r="F49" s="26" t="s">
        <v>106</v>
      </c>
      <c r="G49" s="29">
        <v>3</v>
      </c>
      <c r="H49" s="29">
        <v>11</v>
      </c>
      <c r="I49" s="29">
        <v>10</v>
      </c>
      <c r="J49" s="29">
        <v>2</v>
      </c>
      <c r="K49" s="85">
        <v>6</v>
      </c>
      <c r="L49" s="85">
        <v>47</v>
      </c>
      <c r="M49" s="85">
        <v>39</v>
      </c>
      <c r="N49" s="85">
        <v>1</v>
      </c>
      <c r="O49" s="85">
        <f t="shared" si="5"/>
        <v>93</v>
      </c>
      <c r="P49" s="102">
        <v>4000017</v>
      </c>
      <c r="Q49" s="102">
        <f t="shared" si="6"/>
        <v>43010.93548387097</v>
      </c>
    </row>
    <row r="50" spans="3:17" x14ac:dyDescent="0.25">
      <c r="C50" s="85">
        <v>20</v>
      </c>
      <c r="D50" s="85">
        <v>91</v>
      </c>
      <c r="E50" s="85">
        <v>0</v>
      </c>
      <c r="F50" s="26" t="s">
        <v>106</v>
      </c>
      <c r="G50" s="29">
        <v>3</v>
      </c>
      <c r="H50" s="29">
        <v>11</v>
      </c>
      <c r="I50" s="29">
        <v>10</v>
      </c>
      <c r="J50" s="29">
        <v>2</v>
      </c>
      <c r="K50" s="85">
        <v>6</v>
      </c>
      <c r="L50" s="85">
        <v>47</v>
      </c>
      <c r="M50" s="85">
        <v>39</v>
      </c>
      <c r="N50" s="85">
        <v>1</v>
      </c>
      <c r="O50" s="85">
        <f t="shared" si="5"/>
        <v>93</v>
      </c>
      <c r="P50" s="102">
        <v>4000018</v>
      </c>
      <c r="Q50" s="102">
        <f t="shared" si="6"/>
        <v>43010.946236559139</v>
      </c>
    </row>
    <row r="51" spans="3:17" x14ac:dyDescent="0.25">
      <c r="C51" s="85">
        <v>20</v>
      </c>
      <c r="D51" s="85">
        <v>91</v>
      </c>
      <c r="E51" s="85">
        <v>0</v>
      </c>
      <c r="F51" s="26" t="s">
        <v>106</v>
      </c>
      <c r="G51" s="29">
        <v>3</v>
      </c>
      <c r="H51" s="29">
        <v>11</v>
      </c>
      <c r="I51" s="29">
        <v>10</v>
      </c>
      <c r="J51" s="29">
        <v>2</v>
      </c>
      <c r="K51" s="85">
        <v>6</v>
      </c>
      <c r="L51" s="85">
        <v>47</v>
      </c>
      <c r="M51" s="85">
        <v>39</v>
      </c>
      <c r="N51" s="85">
        <v>1</v>
      </c>
      <c r="O51" s="85">
        <f t="shared" si="5"/>
        <v>93</v>
      </c>
      <c r="P51" s="102">
        <v>4000019</v>
      </c>
      <c r="Q51" s="102">
        <f t="shared" si="6"/>
        <v>43010.956989247308</v>
      </c>
    </row>
  </sheetData>
  <conditionalFormatting sqref="G2:H51 J2:J51">
    <cfRule type="colorScale" priority="54">
      <colorScale>
        <cfvo type="min"/>
        <cfvo type="max"/>
        <color rgb="FFFFEF9C"/>
        <color rgb="FF63BE7B"/>
      </colorScale>
    </cfRule>
  </conditionalFormatting>
  <conditionalFormatting sqref="K2:N51">
    <cfRule type="colorScale" priority="53">
      <colorScale>
        <cfvo type="min"/>
        <cfvo type="max"/>
        <color rgb="FFFCFCFF"/>
        <color rgb="FFF8696B"/>
      </colorScale>
    </cfRule>
  </conditionalFormatting>
  <conditionalFormatting sqref="I2:I51">
    <cfRule type="colorScale" priority="52">
      <colorScale>
        <cfvo type="min"/>
        <cfvo type="max"/>
        <color rgb="FFFFEF9C"/>
        <color rgb="FF63BE7B"/>
      </colorScale>
    </cfRule>
  </conditionalFormatting>
  <conditionalFormatting sqref="E2:E5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1">
    <cfRule type="colorScale" priority="50">
      <colorScale>
        <cfvo type="min"/>
        <cfvo type="max"/>
        <color rgb="FFFCFCFF"/>
        <color rgb="FFF8696B"/>
      </colorScale>
    </cfRule>
  </conditionalFormatting>
  <conditionalFormatting sqref="Q2:Q5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X33"/>
  <sheetViews>
    <sheetView topLeftCell="A6" workbookViewId="0">
      <selection activeCell="C17" sqref="C17:C28"/>
    </sheetView>
  </sheetViews>
  <sheetFormatPr baseColWidth="10" defaultRowHeight="15" x14ac:dyDescent="0.25"/>
  <cols>
    <col min="1" max="1" width="12.28515625" style="27" bestFit="1" customWidth="1"/>
    <col min="2" max="2" width="10.42578125" style="27" bestFit="1" customWidth="1"/>
    <col min="3" max="3" width="8.85546875" style="27" bestFit="1" customWidth="1"/>
    <col min="4" max="4" width="5.7109375" style="27" customWidth="1"/>
    <col min="5" max="5" width="4.5703125" style="27" bestFit="1" customWidth="1"/>
    <col min="6" max="6" width="11.42578125" style="27" bestFit="1" customWidth="1"/>
    <col min="7" max="7" width="10.42578125" style="27" bestFit="1" customWidth="1"/>
    <col min="8" max="8" width="8.85546875" style="27" bestFit="1" customWidth="1"/>
    <col min="9" max="9" width="5.7109375" style="27" bestFit="1" customWidth="1"/>
    <col min="10" max="10" width="6.7109375" style="27" bestFit="1" customWidth="1"/>
    <col min="11" max="11" width="11.42578125" bestFit="1" customWidth="1"/>
    <col min="12" max="12" width="10.42578125" bestFit="1" customWidth="1"/>
    <col min="13" max="13" width="8.85546875" bestFit="1" customWidth="1"/>
    <col min="14" max="15" width="5.7109375" bestFit="1" customWidth="1"/>
    <col min="16" max="16" width="11.42578125" bestFit="1" customWidth="1"/>
    <col min="17" max="17" width="10.42578125" bestFit="1" customWidth="1"/>
    <col min="18" max="18" width="8.85546875" bestFit="1" customWidth="1"/>
    <col min="19" max="19" width="5.7109375" bestFit="1" customWidth="1"/>
    <col min="20" max="20" width="5.7109375" style="27" bestFit="1" customWidth="1"/>
    <col min="21" max="21" width="11.42578125" bestFit="1" customWidth="1"/>
    <col min="22" max="22" width="10.42578125" bestFit="1" customWidth="1"/>
    <col min="23" max="23" width="8.85546875" bestFit="1" customWidth="1"/>
    <col min="24" max="24" width="5.7109375" bestFit="1" customWidth="1"/>
    <col min="25" max="25" width="6.7109375" bestFit="1" customWidth="1"/>
  </cols>
  <sheetData>
    <row r="1" spans="1:24" x14ac:dyDescent="0.25">
      <c r="A1" s="13"/>
      <c r="B1" s="60">
        <v>1.25</v>
      </c>
      <c r="C1" s="60">
        <v>1</v>
      </c>
      <c r="D1" s="60">
        <v>0.5</v>
      </c>
      <c r="E1" s="60">
        <v>0.17</v>
      </c>
      <c r="F1" s="60">
        <v>0.13</v>
      </c>
    </row>
    <row r="2" spans="1:24" x14ac:dyDescent="0.25">
      <c r="A2" s="61" t="s">
        <v>134</v>
      </c>
      <c r="B2" s="13">
        <v>0</v>
      </c>
      <c r="C2" s="13">
        <v>6</v>
      </c>
      <c r="D2" s="13">
        <v>4</v>
      </c>
      <c r="E2" s="13">
        <v>0</v>
      </c>
      <c r="F2" s="13">
        <v>12</v>
      </c>
    </row>
    <row r="3" spans="1:24" x14ac:dyDescent="0.25">
      <c r="A3" s="62" t="s">
        <v>135</v>
      </c>
      <c r="B3" s="13">
        <v>0</v>
      </c>
      <c r="C3" s="13">
        <v>6</v>
      </c>
      <c r="D3" s="13">
        <v>0</v>
      </c>
      <c r="E3" s="13">
        <v>16</v>
      </c>
      <c r="F3" s="13">
        <v>0</v>
      </c>
    </row>
    <row r="4" spans="1:24" x14ac:dyDescent="0.25">
      <c r="A4" s="61" t="s">
        <v>136</v>
      </c>
      <c r="B4" s="13">
        <v>0</v>
      </c>
      <c r="C4" s="13">
        <v>10</v>
      </c>
      <c r="D4" s="13">
        <v>0</v>
      </c>
      <c r="E4" s="13">
        <v>12</v>
      </c>
      <c r="F4" s="13">
        <v>0</v>
      </c>
    </row>
    <row r="5" spans="1:24" x14ac:dyDescent="0.25">
      <c r="A5" s="61" t="s">
        <v>137</v>
      </c>
      <c r="B5" s="13">
        <v>0</v>
      </c>
      <c r="C5" s="13">
        <v>4</v>
      </c>
      <c r="D5" s="13">
        <v>4</v>
      </c>
      <c r="E5" s="13">
        <v>0</v>
      </c>
      <c r="F5" s="13">
        <v>14</v>
      </c>
    </row>
    <row r="6" spans="1:24" x14ac:dyDescent="0.25">
      <c r="A6" s="61" t="s">
        <v>28</v>
      </c>
      <c r="B6" s="13">
        <v>4</v>
      </c>
      <c r="C6" s="13">
        <v>18</v>
      </c>
      <c r="D6" s="13">
        <v>0</v>
      </c>
      <c r="E6" s="13">
        <v>0</v>
      </c>
      <c r="F6" s="13">
        <v>0</v>
      </c>
    </row>
    <row r="7" spans="1:24" x14ac:dyDescent="0.25">
      <c r="A7" s="105" t="s">
        <v>156</v>
      </c>
      <c r="B7" s="105"/>
    </row>
    <row r="8" spans="1:24" x14ac:dyDescent="0.25">
      <c r="A8" s="27" t="s">
        <v>157</v>
      </c>
    </row>
    <row r="9" spans="1:24" x14ac:dyDescent="0.25">
      <c r="J9"/>
      <c r="S9" s="27"/>
      <c r="T9"/>
    </row>
    <row r="10" spans="1:24" x14ac:dyDescent="0.25">
      <c r="A10" s="26" t="s">
        <v>28</v>
      </c>
      <c r="E10"/>
      <c r="F10" s="26" t="s">
        <v>91</v>
      </c>
      <c r="J10"/>
      <c r="K10" s="26" t="s">
        <v>92</v>
      </c>
      <c r="L10" s="27"/>
      <c r="M10" s="27"/>
      <c r="N10" s="27"/>
      <c r="P10" s="26" t="s">
        <v>93</v>
      </c>
      <c r="Q10" s="27"/>
      <c r="R10" s="27"/>
      <c r="S10" s="27"/>
      <c r="T10"/>
      <c r="U10" s="26" t="s">
        <v>94</v>
      </c>
      <c r="V10" s="27"/>
      <c r="W10" s="27"/>
      <c r="X10" s="27"/>
    </row>
    <row r="11" spans="1:24" x14ac:dyDescent="0.25">
      <c r="A11" s="26" t="s">
        <v>95</v>
      </c>
      <c r="B11" s="26" t="s">
        <v>96</v>
      </c>
      <c r="C11" s="26" t="s">
        <v>97</v>
      </c>
      <c r="D11" s="26" t="s">
        <v>98</v>
      </c>
      <c r="E11" s="1"/>
      <c r="F11" s="26" t="s">
        <v>95</v>
      </c>
      <c r="G11" s="26" t="s">
        <v>96</v>
      </c>
      <c r="H11" s="26" t="s">
        <v>97</v>
      </c>
      <c r="I11" s="26" t="s">
        <v>98</v>
      </c>
      <c r="J11" s="1"/>
      <c r="K11" s="26" t="s">
        <v>95</v>
      </c>
      <c r="L11" s="26" t="s">
        <v>96</v>
      </c>
      <c r="M11" s="26" t="s">
        <v>97</v>
      </c>
      <c r="N11" s="26" t="s">
        <v>98</v>
      </c>
      <c r="O11" s="1"/>
      <c r="P11" s="26" t="s">
        <v>95</v>
      </c>
      <c r="Q11" s="26" t="s">
        <v>96</v>
      </c>
      <c r="R11" s="26" t="s">
        <v>97</v>
      </c>
      <c r="S11" s="26" t="s">
        <v>98</v>
      </c>
      <c r="T11" s="1"/>
      <c r="U11" s="26" t="s">
        <v>95</v>
      </c>
      <c r="V11" s="26" t="s">
        <v>96</v>
      </c>
      <c r="W11" s="26" t="s">
        <v>97</v>
      </c>
      <c r="X11" s="26" t="s">
        <v>98</v>
      </c>
    </row>
    <row r="12" spans="1:24" x14ac:dyDescent="0.25">
      <c r="A12" s="27" t="s">
        <v>158</v>
      </c>
      <c r="B12" s="27">
        <v>3</v>
      </c>
      <c r="C12" s="27">
        <v>1</v>
      </c>
      <c r="D12" s="27">
        <f>C12</f>
        <v>1</v>
      </c>
      <c r="E12"/>
      <c r="F12" s="27" t="s">
        <v>158</v>
      </c>
      <c r="G12" s="27">
        <v>3</v>
      </c>
      <c r="H12">
        <v>2</v>
      </c>
      <c r="I12" s="27">
        <f>H12</f>
        <v>2</v>
      </c>
      <c r="J12"/>
      <c r="K12" s="27" t="s">
        <v>158</v>
      </c>
      <c r="L12" s="27">
        <v>3</v>
      </c>
      <c r="M12" s="27">
        <v>3</v>
      </c>
      <c r="N12" s="27">
        <f>M12</f>
        <v>3</v>
      </c>
      <c r="P12" s="27" t="s">
        <v>158</v>
      </c>
      <c r="Q12" s="27">
        <v>3</v>
      </c>
      <c r="R12" s="27">
        <v>3</v>
      </c>
      <c r="S12" s="27">
        <f>R12</f>
        <v>3</v>
      </c>
      <c r="T12"/>
      <c r="U12" s="27" t="s">
        <v>158</v>
      </c>
      <c r="V12" s="27">
        <v>3</v>
      </c>
      <c r="W12">
        <v>2</v>
      </c>
      <c r="X12" s="27">
        <f>W12</f>
        <v>2</v>
      </c>
    </row>
    <row r="13" spans="1:24" x14ac:dyDescent="0.25">
      <c r="A13" s="27">
        <v>3</v>
      </c>
      <c r="B13" s="27">
        <v>4</v>
      </c>
      <c r="C13" s="27">
        <v>1</v>
      </c>
      <c r="D13" s="27">
        <f>C13+D12</f>
        <v>2</v>
      </c>
      <c r="E13"/>
      <c r="F13" s="27">
        <v>3</v>
      </c>
      <c r="G13" s="27">
        <v>4</v>
      </c>
      <c r="H13">
        <v>3</v>
      </c>
      <c r="I13" s="27">
        <f>H13+I12</f>
        <v>5</v>
      </c>
      <c r="J13"/>
      <c r="K13" s="27">
        <v>3</v>
      </c>
      <c r="L13" s="27">
        <v>4</v>
      </c>
      <c r="M13" s="27">
        <v>3</v>
      </c>
      <c r="N13" s="27">
        <f>M13+N12</f>
        <v>6</v>
      </c>
      <c r="P13" s="27">
        <v>3</v>
      </c>
      <c r="Q13" s="27">
        <v>4</v>
      </c>
      <c r="R13" s="27">
        <v>3</v>
      </c>
      <c r="S13" s="27">
        <f>R13+S12</f>
        <v>6</v>
      </c>
      <c r="T13"/>
      <c r="U13" s="27">
        <v>3</v>
      </c>
      <c r="V13" s="27">
        <v>4</v>
      </c>
      <c r="W13">
        <v>2</v>
      </c>
      <c r="X13" s="27">
        <f>W13+X12</f>
        <v>4</v>
      </c>
    </row>
    <row r="14" spans="1:24" x14ac:dyDescent="0.25">
      <c r="A14" s="27">
        <v>4</v>
      </c>
      <c r="B14" s="27">
        <v>5</v>
      </c>
      <c r="C14" s="27">
        <v>1</v>
      </c>
      <c r="D14" s="27">
        <f t="shared" ref="D14:D28" si="0">C14+D13</f>
        <v>3</v>
      </c>
      <c r="E14"/>
      <c r="F14" s="27">
        <v>4</v>
      </c>
      <c r="G14" s="27">
        <v>5</v>
      </c>
      <c r="H14">
        <v>3</v>
      </c>
      <c r="I14" s="27">
        <f t="shared" ref="I14:I27" si="1">H14+I13</f>
        <v>8</v>
      </c>
      <c r="J14"/>
      <c r="K14" s="27">
        <v>4</v>
      </c>
      <c r="L14" s="27">
        <v>5</v>
      </c>
      <c r="M14" s="27">
        <v>3</v>
      </c>
      <c r="N14" s="27">
        <f t="shared" ref="N14:N27" si="2">M14+N13</f>
        <v>9</v>
      </c>
      <c r="P14" s="27">
        <v>4</v>
      </c>
      <c r="Q14" s="27">
        <v>5</v>
      </c>
      <c r="R14" s="27">
        <v>3</v>
      </c>
      <c r="S14" s="27">
        <f t="shared" ref="S14:S28" si="3">R14+S13</f>
        <v>9</v>
      </c>
      <c r="T14"/>
      <c r="U14" s="27">
        <v>4</v>
      </c>
      <c r="V14" s="27">
        <v>5</v>
      </c>
      <c r="W14">
        <v>2</v>
      </c>
      <c r="X14" s="27">
        <f t="shared" ref="X14:X28" si="4">W14+X13</f>
        <v>6</v>
      </c>
    </row>
    <row r="15" spans="1:24" x14ac:dyDescent="0.25">
      <c r="A15" s="27">
        <v>5</v>
      </c>
      <c r="B15" s="27">
        <v>6</v>
      </c>
      <c r="C15" s="27">
        <v>1</v>
      </c>
      <c r="D15" s="27">
        <f t="shared" si="0"/>
        <v>4</v>
      </c>
      <c r="E15"/>
      <c r="F15" s="27">
        <v>5</v>
      </c>
      <c r="G15" s="27">
        <v>6</v>
      </c>
      <c r="H15">
        <v>4</v>
      </c>
      <c r="I15" s="27">
        <f t="shared" si="1"/>
        <v>12</v>
      </c>
      <c r="J15"/>
      <c r="K15" s="27">
        <v>5</v>
      </c>
      <c r="L15" s="27">
        <v>6</v>
      </c>
      <c r="M15" s="27">
        <v>4</v>
      </c>
      <c r="N15" s="27">
        <f t="shared" si="2"/>
        <v>13</v>
      </c>
      <c r="P15" s="27">
        <v>5</v>
      </c>
      <c r="Q15" s="27">
        <v>6</v>
      </c>
      <c r="R15" s="27">
        <v>3</v>
      </c>
      <c r="S15" s="27">
        <f t="shared" si="3"/>
        <v>12</v>
      </c>
      <c r="T15"/>
      <c r="U15" s="27">
        <v>5</v>
      </c>
      <c r="V15" s="27">
        <v>6</v>
      </c>
      <c r="W15">
        <v>2</v>
      </c>
      <c r="X15" s="27">
        <f t="shared" si="4"/>
        <v>8</v>
      </c>
    </row>
    <row r="16" spans="1:24" x14ac:dyDescent="0.25">
      <c r="A16" s="27">
        <v>6</v>
      </c>
      <c r="B16" s="27">
        <v>7</v>
      </c>
      <c r="C16" s="27">
        <v>1</v>
      </c>
      <c r="D16" s="27">
        <f t="shared" si="0"/>
        <v>5</v>
      </c>
      <c r="E16"/>
      <c r="F16" s="27">
        <v>6</v>
      </c>
      <c r="G16" s="27">
        <v>7</v>
      </c>
      <c r="H16">
        <v>4</v>
      </c>
      <c r="I16" s="27">
        <f t="shared" si="1"/>
        <v>16</v>
      </c>
      <c r="J16"/>
      <c r="K16" s="27">
        <v>6</v>
      </c>
      <c r="L16" s="27">
        <v>7</v>
      </c>
      <c r="M16" s="27">
        <v>5</v>
      </c>
      <c r="N16" s="27">
        <f t="shared" si="2"/>
        <v>18</v>
      </c>
      <c r="P16" s="27">
        <v>6</v>
      </c>
      <c r="Q16" s="27">
        <v>7</v>
      </c>
      <c r="R16" s="27">
        <v>4</v>
      </c>
      <c r="S16" s="27">
        <f t="shared" si="3"/>
        <v>16</v>
      </c>
      <c r="T16"/>
      <c r="U16" s="27">
        <v>6</v>
      </c>
      <c r="V16" s="27">
        <v>7</v>
      </c>
      <c r="W16">
        <v>3</v>
      </c>
      <c r="X16" s="27">
        <f t="shared" si="4"/>
        <v>11</v>
      </c>
    </row>
    <row r="17" spans="1:24" x14ac:dyDescent="0.25">
      <c r="A17" s="27">
        <v>7</v>
      </c>
      <c r="B17" s="27">
        <v>8</v>
      </c>
      <c r="C17" s="27">
        <v>1</v>
      </c>
      <c r="D17" s="27">
        <f t="shared" si="0"/>
        <v>6</v>
      </c>
      <c r="E17"/>
      <c r="F17" s="27">
        <v>7</v>
      </c>
      <c r="G17" s="27">
        <v>8</v>
      </c>
      <c r="H17">
        <v>4</v>
      </c>
      <c r="I17" s="27">
        <f t="shared" si="1"/>
        <v>20</v>
      </c>
      <c r="J17"/>
      <c r="K17" s="27">
        <v>7</v>
      </c>
      <c r="L17" s="27">
        <v>8</v>
      </c>
      <c r="M17" s="27">
        <v>5</v>
      </c>
      <c r="N17" s="27">
        <f t="shared" si="2"/>
        <v>23</v>
      </c>
      <c r="P17" s="27">
        <v>7</v>
      </c>
      <c r="Q17" s="27">
        <v>8</v>
      </c>
      <c r="R17" s="27">
        <v>5</v>
      </c>
      <c r="S17" s="27">
        <f t="shared" si="3"/>
        <v>21</v>
      </c>
      <c r="T17"/>
      <c r="U17" s="27">
        <v>7</v>
      </c>
      <c r="V17" s="27">
        <v>8</v>
      </c>
      <c r="W17">
        <v>3</v>
      </c>
      <c r="X17" s="27">
        <f t="shared" si="4"/>
        <v>14</v>
      </c>
    </row>
    <row r="18" spans="1:24" x14ac:dyDescent="0.25">
      <c r="A18" s="27">
        <v>8</v>
      </c>
      <c r="B18" s="27">
        <v>9</v>
      </c>
      <c r="C18" s="27">
        <v>2</v>
      </c>
      <c r="D18" s="27">
        <f t="shared" si="0"/>
        <v>8</v>
      </c>
      <c r="E18"/>
      <c r="F18" s="27">
        <v>8</v>
      </c>
      <c r="G18" s="27">
        <v>9</v>
      </c>
      <c r="H18">
        <v>6</v>
      </c>
      <c r="I18" s="27">
        <f t="shared" si="1"/>
        <v>26</v>
      </c>
      <c r="J18"/>
      <c r="K18" s="27">
        <v>8</v>
      </c>
      <c r="L18" s="27">
        <v>9</v>
      </c>
      <c r="M18" s="27">
        <v>6</v>
      </c>
      <c r="N18" s="27">
        <f t="shared" si="2"/>
        <v>29</v>
      </c>
      <c r="P18" s="27">
        <v>8</v>
      </c>
      <c r="Q18" s="27">
        <v>9</v>
      </c>
      <c r="R18" s="27">
        <v>5</v>
      </c>
      <c r="S18" s="27">
        <f t="shared" si="3"/>
        <v>26</v>
      </c>
      <c r="T18"/>
      <c r="U18" s="27">
        <v>8</v>
      </c>
      <c r="V18" s="27">
        <v>9</v>
      </c>
      <c r="W18">
        <v>4</v>
      </c>
      <c r="X18" s="27">
        <f t="shared" si="4"/>
        <v>18</v>
      </c>
    </row>
    <row r="19" spans="1:24" x14ac:dyDescent="0.25">
      <c r="A19" s="27">
        <v>9</v>
      </c>
      <c r="B19" s="27">
        <v>10</v>
      </c>
      <c r="C19" s="27">
        <v>1</v>
      </c>
      <c r="D19" s="27">
        <f t="shared" si="0"/>
        <v>9</v>
      </c>
      <c r="E19"/>
      <c r="F19" s="27">
        <v>9</v>
      </c>
      <c r="G19" s="27">
        <v>10</v>
      </c>
      <c r="H19">
        <v>6</v>
      </c>
      <c r="I19" s="27">
        <f t="shared" si="1"/>
        <v>32</v>
      </c>
      <c r="J19"/>
      <c r="K19" s="27">
        <v>9</v>
      </c>
      <c r="L19" s="27">
        <v>10</v>
      </c>
      <c r="M19" s="27">
        <v>7</v>
      </c>
      <c r="N19" s="27">
        <f t="shared" si="2"/>
        <v>36</v>
      </c>
      <c r="P19" s="27">
        <v>9</v>
      </c>
      <c r="Q19" s="27">
        <v>10</v>
      </c>
      <c r="R19" s="27">
        <v>6</v>
      </c>
      <c r="S19" s="27">
        <f t="shared" si="3"/>
        <v>32</v>
      </c>
      <c r="T19"/>
      <c r="U19" s="27">
        <v>9</v>
      </c>
      <c r="V19" s="27">
        <v>10</v>
      </c>
      <c r="W19">
        <v>4</v>
      </c>
      <c r="X19" s="27">
        <f t="shared" si="4"/>
        <v>22</v>
      </c>
    </row>
    <row r="20" spans="1:24" x14ac:dyDescent="0.25">
      <c r="A20" s="27">
        <v>10</v>
      </c>
      <c r="B20" s="27">
        <v>11</v>
      </c>
      <c r="C20" s="27">
        <v>1</v>
      </c>
      <c r="D20" s="27">
        <f t="shared" si="0"/>
        <v>10</v>
      </c>
      <c r="E20"/>
      <c r="F20" s="27">
        <v>10</v>
      </c>
      <c r="G20" s="27">
        <v>11</v>
      </c>
      <c r="H20">
        <v>7</v>
      </c>
      <c r="I20" s="27">
        <f t="shared" si="1"/>
        <v>39</v>
      </c>
      <c r="J20"/>
      <c r="K20" s="27">
        <v>10</v>
      </c>
      <c r="L20" s="27">
        <v>11</v>
      </c>
      <c r="M20" s="27">
        <v>8</v>
      </c>
      <c r="N20" s="27">
        <f t="shared" si="2"/>
        <v>44</v>
      </c>
      <c r="P20" s="27">
        <v>10</v>
      </c>
      <c r="Q20" s="27">
        <v>11</v>
      </c>
      <c r="R20" s="27">
        <v>7</v>
      </c>
      <c r="S20" s="27">
        <f t="shared" si="3"/>
        <v>39</v>
      </c>
      <c r="T20"/>
      <c r="U20" s="27">
        <v>10</v>
      </c>
      <c r="V20" s="27">
        <v>11</v>
      </c>
      <c r="W20">
        <v>5</v>
      </c>
      <c r="X20" s="27">
        <f t="shared" si="4"/>
        <v>27</v>
      </c>
    </row>
    <row r="21" spans="1:24" x14ac:dyDescent="0.25">
      <c r="A21" s="27">
        <v>11</v>
      </c>
      <c r="B21" s="27">
        <v>12</v>
      </c>
      <c r="C21" s="27">
        <v>2</v>
      </c>
      <c r="D21" s="27">
        <f t="shared" si="0"/>
        <v>12</v>
      </c>
      <c r="E21"/>
      <c r="F21" s="27">
        <v>11</v>
      </c>
      <c r="G21" s="27">
        <v>12</v>
      </c>
      <c r="H21">
        <v>9</v>
      </c>
      <c r="I21" s="27">
        <f t="shared" si="1"/>
        <v>48</v>
      </c>
      <c r="J21"/>
      <c r="K21" s="27">
        <v>11</v>
      </c>
      <c r="L21" s="27">
        <v>12</v>
      </c>
      <c r="M21" s="27">
        <v>10</v>
      </c>
      <c r="N21" s="27">
        <f t="shared" si="2"/>
        <v>54</v>
      </c>
      <c r="P21" s="27">
        <v>11</v>
      </c>
      <c r="Q21" s="27">
        <v>12</v>
      </c>
      <c r="R21" s="27">
        <v>8</v>
      </c>
      <c r="S21" s="27">
        <f t="shared" si="3"/>
        <v>47</v>
      </c>
      <c r="T21"/>
      <c r="U21" s="27">
        <v>11</v>
      </c>
      <c r="V21" s="27">
        <v>12</v>
      </c>
      <c r="W21">
        <v>5</v>
      </c>
      <c r="X21" s="27">
        <f t="shared" si="4"/>
        <v>32</v>
      </c>
    </row>
    <row r="22" spans="1:24" x14ac:dyDescent="0.25">
      <c r="A22" s="27">
        <v>12</v>
      </c>
      <c r="B22" s="27">
        <v>13</v>
      </c>
      <c r="C22" s="27">
        <v>2</v>
      </c>
      <c r="D22" s="27">
        <f t="shared" si="0"/>
        <v>14</v>
      </c>
      <c r="E22"/>
      <c r="F22" s="27">
        <v>12</v>
      </c>
      <c r="G22" s="27">
        <v>13</v>
      </c>
      <c r="H22">
        <v>9</v>
      </c>
      <c r="I22" s="27">
        <f t="shared" si="1"/>
        <v>57</v>
      </c>
      <c r="J22"/>
      <c r="K22" s="27">
        <v>12</v>
      </c>
      <c r="L22" s="27">
        <v>13</v>
      </c>
      <c r="M22" s="27">
        <v>11</v>
      </c>
      <c r="N22" s="27">
        <f t="shared" si="2"/>
        <v>65</v>
      </c>
      <c r="P22" s="27">
        <v>12</v>
      </c>
      <c r="Q22" s="27">
        <v>13</v>
      </c>
      <c r="R22" s="27">
        <v>9</v>
      </c>
      <c r="S22" s="27">
        <f t="shared" si="3"/>
        <v>56</v>
      </c>
      <c r="T22"/>
      <c r="U22" s="27">
        <v>12</v>
      </c>
      <c r="V22" s="27">
        <v>13</v>
      </c>
      <c r="W22">
        <v>6</v>
      </c>
      <c r="X22" s="27">
        <f t="shared" si="4"/>
        <v>38</v>
      </c>
    </row>
    <row r="23" spans="1:24" x14ac:dyDescent="0.25">
      <c r="A23" s="27">
        <v>13</v>
      </c>
      <c r="B23" s="27">
        <v>14</v>
      </c>
      <c r="C23" s="27">
        <v>2</v>
      </c>
      <c r="D23" s="27">
        <f t="shared" si="0"/>
        <v>16</v>
      </c>
      <c r="E23"/>
      <c r="F23" s="27">
        <v>13</v>
      </c>
      <c r="G23" s="27">
        <v>14</v>
      </c>
      <c r="H23">
        <v>11</v>
      </c>
      <c r="I23" s="27">
        <f t="shared" si="1"/>
        <v>68</v>
      </c>
      <c r="J23"/>
      <c r="K23" s="27">
        <v>13</v>
      </c>
      <c r="L23" s="27">
        <v>14</v>
      </c>
      <c r="M23" s="27">
        <v>12</v>
      </c>
      <c r="N23" s="27">
        <f t="shared" si="2"/>
        <v>77</v>
      </c>
      <c r="P23" s="27">
        <v>13</v>
      </c>
      <c r="Q23" s="27">
        <v>14</v>
      </c>
      <c r="R23" s="27">
        <v>10</v>
      </c>
      <c r="S23" s="27">
        <f t="shared" si="3"/>
        <v>66</v>
      </c>
      <c r="T23"/>
      <c r="U23" s="27">
        <v>13</v>
      </c>
      <c r="V23" s="27">
        <v>14</v>
      </c>
      <c r="W23">
        <v>8</v>
      </c>
      <c r="X23" s="27">
        <f t="shared" si="4"/>
        <v>46</v>
      </c>
    </row>
    <row r="24" spans="1:24" x14ac:dyDescent="0.25">
      <c r="A24" s="27">
        <v>14</v>
      </c>
      <c r="B24" s="27">
        <v>15</v>
      </c>
      <c r="C24" s="27">
        <v>3</v>
      </c>
      <c r="D24" s="27">
        <f t="shared" si="0"/>
        <v>19</v>
      </c>
      <c r="E24"/>
      <c r="F24" s="27">
        <v>14</v>
      </c>
      <c r="G24" s="27">
        <v>15</v>
      </c>
      <c r="H24">
        <v>12</v>
      </c>
      <c r="I24" s="27">
        <f t="shared" si="1"/>
        <v>80</v>
      </c>
      <c r="J24"/>
      <c r="K24" s="27">
        <v>14</v>
      </c>
      <c r="L24" s="27">
        <v>15</v>
      </c>
      <c r="M24" s="27">
        <v>14</v>
      </c>
      <c r="N24" s="27">
        <f t="shared" si="2"/>
        <v>91</v>
      </c>
      <c r="P24" s="27">
        <v>14</v>
      </c>
      <c r="Q24" s="27">
        <v>15</v>
      </c>
      <c r="R24" s="27">
        <v>12</v>
      </c>
      <c r="S24" s="27">
        <f t="shared" si="3"/>
        <v>78</v>
      </c>
      <c r="T24"/>
      <c r="U24" s="27">
        <v>14</v>
      </c>
      <c r="V24" s="27">
        <v>15</v>
      </c>
      <c r="W24">
        <v>8</v>
      </c>
      <c r="X24" s="27">
        <f t="shared" si="4"/>
        <v>54</v>
      </c>
    </row>
    <row r="25" spans="1:24" x14ac:dyDescent="0.25">
      <c r="A25" s="27">
        <v>15</v>
      </c>
      <c r="B25" s="27">
        <v>16</v>
      </c>
      <c r="C25" s="27">
        <v>3</v>
      </c>
      <c r="D25" s="27">
        <f t="shared" si="0"/>
        <v>22</v>
      </c>
      <c r="E25"/>
      <c r="F25" s="27">
        <v>15</v>
      </c>
      <c r="G25" s="27">
        <v>16</v>
      </c>
      <c r="H25">
        <v>16</v>
      </c>
      <c r="I25" s="27">
        <f t="shared" si="1"/>
        <v>96</v>
      </c>
      <c r="J25"/>
      <c r="K25" s="27">
        <v>15</v>
      </c>
      <c r="L25" s="27">
        <v>16</v>
      </c>
      <c r="M25" s="27">
        <v>18</v>
      </c>
      <c r="N25" s="27">
        <f t="shared" si="2"/>
        <v>109</v>
      </c>
      <c r="P25" s="27">
        <v>15</v>
      </c>
      <c r="Q25" s="27">
        <v>16</v>
      </c>
      <c r="R25" s="27">
        <v>15</v>
      </c>
      <c r="S25" s="27">
        <f t="shared" si="3"/>
        <v>93</v>
      </c>
      <c r="T25"/>
      <c r="U25" s="27">
        <v>15</v>
      </c>
      <c r="V25" s="27">
        <v>16</v>
      </c>
      <c r="W25">
        <v>9</v>
      </c>
      <c r="X25" s="27">
        <f t="shared" si="4"/>
        <v>63</v>
      </c>
    </row>
    <row r="26" spans="1:24" x14ac:dyDescent="0.25">
      <c r="A26" s="27">
        <v>16</v>
      </c>
      <c r="B26" s="27">
        <v>17</v>
      </c>
      <c r="C26" s="27">
        <v>3</v>
      </c>
      <c r="D26" s="27">
        <f t="shared" si="0"/>
        <v>25</v>
      </c>
      <c r="E26"/>
      <c r="F26" s="27">
        <v>16</v>
      </c>
      <c r="G26" s="27">
        <v>17</v>
      </c>
      <c r="H26">
        <v>19</v>
      </c>
      <c r="I26" s="27">
        <f t="shared" si="1"/>
        <v>115</v>
      </c>
      <c r="J26"/>
      <c r="K26" s="27">
        <v>16</v>
      </c>
      <c r="L26" s="27">
        <v>17</v>
      </c>
      <c r="M26" s="27">
        <v>22</v>
      </c>
      <c r="N26" s="27">
        <f t="shared" si="2"/>
        <v>131</v>
      </c>
      <c r="P26" s="27">
        <v>16</v>
      </c>
      <c r="Q26" s="27">
        <v>17</v>
      </c>
      <c r="R26" s="27">
        <v>18</v>
      </c>
      <c r="S26" s="27">
        <f t="shared" si="3"/>
        <v>111</v>
      </c>
      <c r="T26"/>
      <c r="U26" s="27">
        <v>16</v>
      </c>
      <c r="V26" s="27">
        <v>17</v>
      </c>
      <c r="W26">
        <v>12</v>
      </c>
      <c r="X26" s="27">
        <f t="shared" si="4"/>
        <v>75</v>
      </c>
    </row>
    <row r="27" spans="1:24" x14ac:dyDescent="0.25">
      <c r="A27" s="27">
        <v>17</v>
      </c>
      <c r="B27" s="27">
        <v>18</v>
      </c>
      <c r="C27" s="27">
        <v>4</v>
      </c>
      <c r="D27" s="27">
        <f t="shared" si="0"/>
        <v>29</v>
      </c>
      <c r="E27"/>
      <c r="F27" s="27">
        <v>17</v>
      </c>
      <c r="G27" s="27">
        <v>18</v>
      </c>
      <c r="H27">
        <v>26</v>
      </c>
      <c r="I27" s="27">
        <f t="shared" si="1"/>
        <v>141</v>
      </c>
      <c r="J27"/>
      <c r="K27" s="27">
        <v>17</v>
      </c>
      <c r="L27" s="27">
        <v>18</v>
      </c>
      <c r="M27" s="27">
        <v>33</v>
      </c>
      <c r="N27" s="27">
        <f t="shared" si="2"/>
        <v>164</v>
      </c>
      <c r="P27" s="27">
        <v>17</v>
      </c>
      <c r="Q27" s="27">
        <v>18</v>
      </c>
      <c r="R27" s="27">
        <v>25</v>
      </c>
      <c r="S27" s="27">
        <f t="shared" si="3"/>
        <v>136</v>
      </c>
      <c r="T27"/>
      <c r="U27" s="27">
        <v>17</v>
      </c>
      <c r="V27" s="27">
        <v>18</v>
      </c>
      <c r="W27">
        <v>15</v>
      </c>
      <c r="X27" s="27">
        <f t="shared" si="4"/>
        <v>90</v>
      </c>
    </row>
    <row r="28" spans="1:24" x14ac:dyDescent="0.25">
      <c r="A28" s="27">
        <v>18</v>
      </c>
      <c r="B28" s="27">
        <v>19</v>
      </c>
      <c r="C28" s="27">
        <v>4</v>
      </c>
      <c r="D28" s="27">
        <f t="shared" si="0"/>
        <v>33</v>
      </c>
      <c r="E28"/>
      <c r="F28" s="27">
        <v>18</v>
      </c>
      <c r="G28" s="27">
        <v>19</v>
      </c>
      <c r="J28"/>
      <c r="K28" s="27">
        <v>18</v>
      </c>
      <c r="L28" s="27">
        <v>19</v>
      </c>
      <c r="N28" s="27"/>
      <c r="P28" s="27">
        <v>18</v>
      </c>
      <c r="Q28" s="27">
        <v>19</v>
      </c>
      <c r="R28" s="27">
        <v>46</v>
      </c>
      <c r="S28" s="27">
        <f t="shared" si="3"/>
        <v>182</v>
      </c>
      <c r="T28"/>
      <c r="U28" s="27">
        <v>18</v>
      </c>
      <c r="V28" s="27">
        <v>19</v>
      </c>
      <c r="W28">
        <v>20</v>
      </c>
      <c r="X28" s="27">
        <f t="shared" si="4"/>
        <v>110</v>
      </c>
    </row>
    <row r="29" spans="1:24" x14ac:dyDescent="0.25">
      <c r="E29"/>
      <c r="J29"/>
      <c r="K29" s="27"/>
      <c r="L29" s="27"/>
      <c r="N29" s="27"/>
      <c r="P29" s="27"/>
      <c r="Q29" s="27"/>
      <c r="R29" s="27"/>
      <c r="S29" s="27"/>
      <c r="T29"/>
    </row>
    <row r="30" spans="1:24" x14ac:dyDescent="0.25">
      <c r="E30"/>
      <c r="J30"/>
      <c r="N30" s="27"/>
      <c r="R30" s="27"/>
      <c r="S30" s="27"/>
      <c r="T30"/>
    </row>
    <row r="31" spans="1:24" x14ac:dyDescent="0.25">
      <c r="J31"/>
      <c r="S31" s="27"/>
      <c r="T31"/>
    </row>
    <row r="32" spans="1:24" x14ac:dyDescent="0.25">
      <c r="J32"/>
      <c r="S32" s="27"/>
      <c r="T32"/>
    </row>
    <row r="33" spans="10:20" x14ac:dyDescent="0.25">
      <c r="J33"/>
      <c r="S33" s="27"/>
      <c r="T33"/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M41"/>
  <sheetViews>
    <sheetView workbookViewId="0">
      <selection activeCell="E10" sqref="E10"/>
    </sheetView>
  </sheetViews>
  <sheetFormatPr baseColWidth="10" defaultRowHeight="15" x14ac:dyDescent="0.25"/>
  <cols>
    <col min="1" max="1" width="53" bestFit="1" customWidth="1"/>
    <col min="2" max="2" width="9.140625"/>
    <col min="3" max="3" width="11.42578125" style="27" bestFit="1" customWidth="1"/>
    <col min="4" max="4" width="10.42578125" style="27" bestFit="1" customWidth="1"/>
    <col min="5" max="5" width="8.85546875" style="27" bestFit="1" customWidth="1"/>
    <col min="6" max="6" width="8.5703125" style="27" bestFit="1" customWidth="1"/>
    <col min="7" max="7" width="9.85546875" style="27" bestFit="1" customWidth="1"/>
    <col min="8" max="8" width="11.42578125" style="27" bestFit="1" customWidth="1"/>
    <col min="9" max="9" width="12.42578125" style="27" bestFit="1" customWidth="1"/>
    <col min="10" max="10" width="8.85546875" style="27" bestFit="1" customWidth="1"/>
    <col min="11" max="11" width="13.28515625" style="27" bestFit="1" customWidth="1"/>
    <col min="12" max="12" width="9.42578125" bestFit="1" customWidth="1"/>
  </cols>
  <sheetData>
    <row r="1" spans="1:13" x14ac:dyDescent="0.25">
      <c r="A1" s="57" t="s">
        <v>107</v>
      </c>
      <c r="C1" s="26" t="s">
        <v>55</v>
      </c>
      <c r="D1" s="26" t="s">
        <v>28</v>
      </c>
      <c r="E1" s="26" t="s">
        <v>56</v>
      </c>
      <c r="F1" s="26" t="s">
        <v>57</v>
      </c>
      <c r="G1" s="26" t="s">
        <v>58</v>
      </c>
      <c r="H1" s="26" t="s">
        <v>59</v>
      </c>
      <c r="I1" s="26" t="s">
        <v>60</v>
      </c>
      <c r="J1" s="27" t="s">
        <v>61</v>
      </c>
      <c r="K1" s="26" t="s">
        <v>62</v>
      </c>
      <c r="L1" s="26" t="s">
        <v>63</v>
      </c>
    </row>
    <row r="2" spans="1:13" x14ac:dyDescent="0.25">
      <c r="A2" s="57" t="s">
        <v>108</v>
      </c>
      <c r="C2" s="27">
        <v>6</v>
      </c>
      <c r="D2" s="27">
        <v>23</v>
      </c>
      <c r="E2" s="28">
        <f t="shared" ref="E2:E13" si="0">(C2*1.66)+(D2*0.55)-7.6</f>
        <v>15.01</v>
      </c>
      <c r="F2" s="27">
        <v>6.5</v>
      </c>
      <c r="G2" s="27">
        <v>3.5</v>
      </c>
      <c r="H2" s="29">
        <v>29.5</v>
      </c>
      <c r="I2" s="29">
        <v>7</v>
      </c>
      <c r="J2" s="29">
        <f t="shared" ref="J2:J13" si="1">I2*10/6</f>
        <v>11.666666666666666</v>
      </c>
      <c r="K2" s="29">
        <f t="shared" ref="K2:K13" si="2">I2+H2</f>
        <v>36.5</v>
      </c>
      <c r="L2" s="30">
        <f t="shared" ref="L2:L13" si="3">J2+H2</f>
        <v>41.166666666666664</v>
      </c>
      <c r="M2" s="30"/>
    </row>
    <row r="3" spans="1:13" x14ac:dyDescent="0.25">
      <c r="A3" s="57" t="s">
        <v>109</v>
      </c>
      <c r="C3" s="27">
        <v>6.5</v>
      </c>
      <c r="D3" s="27">
        <v>21.5</v>
      </c>
      <c r="E3" s="28">
        <f t="shared" si="0"/>
        <v>15.015000000000002</v>
      </c>
      <c r="F3" s="27">
        <v>6.5</v>
      </c>
      <c r="G3" s="27">
        <v>3.5</v>
      </c>
      <c r="H3" s="29">
        <v>24</v>
      </c>
      <c r="I3" s="29">
        <v>8.5</v>
      </c>
      <c r="J3" s="29">
        <f t="shared" si="1"/>
        <v>14.166666666666666</v>
      </c>
      <c r="K3" s="29">
        <f t="shared" si="2"/>
        <v>32.5</v>
      </c>
      <c r="L3" s="30">
        <f t="shared" si="3"/>
        <v>38.166666666666664</v>
      </c>
      <c r="M3" s="30"/>
    </row>
    <row r="4" spans="1:13" x14ac:dyDescent="0.25">
      <c r="C4" s="27">
        <v>7</v>
      </c>
      <c r="D4" s="27">
        <v>20</v>
      </c>
      <c r="E4" s="28">
        <f t="shared" si="0"/>
        <v>15.019999999999998</v>
      </c>
      <c r="F4" s="27">
        <v>6.5</v>
      </c>
      <c r="G4" s="27">
        <v>3.5</v>
      </c>
      <c r="H4" s="29">
        <v>19.5</v>
      </c>
      <c r="I4" s="29">
        <v>10</v>
      </c>
      <c r="J4" s="29">
        <f t="shared" si="1"/>
        <v>16.666666666666668</v>
      </c>
      <c r="K4" s="29">
        <f t="shared" si="2"/>
        <v>29.5</v>
      </c>
      <c r="L4" s="30">
        <f t="shared" si="3"/>
        <v>36.166666666666671</v>
      </c>
      <c r="M4" s="30"/>
    </row>
    <row r="5" spans="1:13" x14ac:dyDescent="0.25">
      <c r="A5" s="57" t="s">
        <v>23</v>
      </c>
      <c r="C5" s="27">
        <v>7.5</v>
      </c>
      <c r="D5" s="27">
        <v>18.5</v>
      </c>
      <c r="E5" s="28">
        <f t="shared" si="0"/>
        <v>15.025</v>
      </c>
      <c r="F5" s="27">
        <v>6.5</v>
      </c>
      <c r="G5" s="27">
        <v>3.5</v>
      </c>
      <c r="H5" s="29">
        <v>15.5</v>
      </c>
      <c r="I5" s="29">
        <v>11.5</v>
      </c>
      <c r="J5" s="29">
        <f t="shared" si="1"/>
        <v>19.166666666666668</v>
      </c>
      <c r="K5" s="29">
        <f t="shared" si="2"/>
        <v>27</v>
      </c>
      <c r="L5" s="30">
        <f t="shared" si="3"/>
        <v>34.666666666666671</v>
      </c>
      <c r="M5" s="30"/>
    </row>
    <row r="6" spans="1:13" x14ac:dyDescent="0.25">
      <c r="A6" s="57" t="s">
        <v>24</v>
      </c>
      <c r="C6" s="27">
        <v>8</v>
      </c>
      <c r="D6" s="27">
        <v>17</v>
      </c>
      <c r="E6" s="28">
        <f t="shared" si="0"/>
        <v>15.030000000000003</v>
      </c>
      <c r="F6" s="27">
        <v>6.5</v>
      </c>
      <c r="G6" s="27">
        <v>3.5</v>
      </c>
      <c r="H6" s="29">
        <v>12.5</v>
      </c>
      <c r="I6" s="29">
        <v>13</v>
      </c>
      <c r="J6" s="29">
        <f t="shared" si="1"/>
        <v>21.666666666666668</v>
      </c>
      <c r="K6" s="29">
        <f t="shared" si="2"/>
        <v>25.5</v>
      </c>
      <c r="L6" s="30">
        <f t="shared" si="3"/>
        <v>34.166666666666671</v>
      </c>
      <c r="M6" s="30"/>
    </row>
    <row r="7" spans="1:13" x14ac:dyDescent="0.25">
      <c r="A7" s="57" t="s">
        <v>25</v>
      </c>
      <c r="C7" s="27">
        <v>8.5</v>
      </c>
      <c r="D7" s="27">
        <v>15.5</v>
      </c>
      <c r="E7" s="28">
        <f t="shared" si="0"/>
        <v>15.034999999999998</v>
      </c>
      <c r="F7" s="27">
        <v>6.5</v>
      </c>
      <c r="G7" s="27">
        <v>3.5</v>
      </c>
      <c r="H7" s="29">
        <v>9.5</v>
      </c>
      <c r="I7" s="29">
        <v>15</v>
      </c>
      <c r="J7" s="29">
        <f t="shared" si="1"/>
        <v>25</v>
      </c>
      <c r="K7" s="29">
        <f t="shared" si="2"/>
        <v>24.5</v>
      </c>
      <c r="L7" s="30">
        <f t="shared" si="3"/>
        <v>34.5</v>
      </c>
      <c r="M7" s="30"/>
    </row>
    <row r="8" spans="1:13" x14ac:dyDescent="0.25">
      <c r="C8" s="27">
        <v>9</v>
      </c>
      <c r="D8" s="27">
        <v>14</v>
      </c>
      <c r="E8" s="28">
        <f t="shared" si="0"/>
        <v>15.040000000000001</v>
      </c>
      <c r="F8" s="27">
        <v>6.5</v>
      </c>
      <c r="G8" s="27">
        <v>3.5</v>
      </c>
      <c r="H8" s="29">
        <v>7.5</v>
      </c>
      <c r="I8" s="29">
        <v>17</v>
      </c>
      <c r="J8" s="29">
        <f t="shared" si="1"/>
        <v>28.333333333333332</v>
      </c>
      <c r="K8" s="29">
        <f t="shared" si="2"/>
        <v>24.5</v>
      </c>
      <c r="L8" s="30">
        <f t="shared" si="3"/>
        <v>35.833333333333329</v>
      </c>
      <c r="M8" s="30"/>
    </row>
    <row r="9" spans="1:13" x14ac:dyDescent="0.25">
      <c r="A9" s="58" t="s">
        <v>110</v>
      </c>
      <c r="C9" s="27">
        <v>9.5</v>
      </c>
      <c r="D9" s="27">
        <v>12.5</v>
      </c>
      <c r="E9" s="28">
        <f t="shared" si="0"/>
        <v>15.045</v>
      </c>
      <c r="F9" s="27">
        <v>6.5</v>
      </c>
      <c r="G9" s="27">
        <v>3.5</v>
      </c>
      <c r="H9" s="29">
        <v>6</v>
      </c>
      <c r="I9" s="29">
        <v>19</v>
      </c>
      <c r="J9" s="29">
        <f t="shared" si="1"/>
        <v>31.666666666666668</v>
      </c>
      <c r="K9" s="29">
        <f t="shared" si="2"/>
        <v>25</v>
      </c>
      <c r="L9" s="30">
        <f t="shared" si="3"/>
        <v>37.666666666666671</v>
      </c>
      <c r="M9" s="30"/>
    </row>
    <row r="10" spans="1:13" x14ac:dyDescent="0.25">
      <c r="C10" s="27">
        <v>10</v>
      </c>
      <c r="D10" s="27">
        <v>11</v>
      </c>
      <c r="E10" s="28">
        <f t="shared" si="0"/>
        <v>15.049999999999999</v>
      </c>
      <c r="F10" s="27">
        <v>6.5</v>
      </c>
      <c r="G10" s="27">
        <v>3.5</v>
      </c>
      <c r="H10" s="29">
        <v>4.5</v>
      </c>
      <c r="I10" s="29">
        <v>21</v>
      </c>
      <c r="J10" s="29">
        <f t="shared" si="1"/>
        <v>35</v>
      </c>
      <c r="K10" s="29">
        <f t="shared" si="2"/>
        <v>25.5</v>
      </c>
      <c r="L10" s="30">
        <f t="shared" si="3"/>
        <v>39.5</v>
      </c>
      <c r="M10" s="30"/>
    </row>
    <row r="11" spans="1:13" x14ac:dyDescent="0.25">
      <c r="C11" s="27">
        <v>10.5</v>
      </c>
      <c r="D11" s="27">
        <v>9.5</v>
      </c>
      <c r="E11" s="28">
        <f t="shared" si="0"/>
        <v>15.055000000000001</v>
      </c>
      <c r="F11" s="27">
        <v>6.5</v>
      </c>
      <c r="G11" s="27">
        <v>3.5</v>
      </c>
      <c r="H11" s="29">
        <v>3</v>
      </c>
      <c r="I11" s="29">
        <v>23.5</v>
      </c>
      <c r="J11" s="29">
        <f t="shared" si="1"/>
        <v>39.166666666666664</v>
      </c>
      <c r="K11" s="29">
        <f t="shared" si="2"/>
        <v>26.5</v>
      </c>
      <c r="L11" s="30">
        <f t="shared" si="3"/>
        <v>42.166666666666664</v>
      </c>
      <c r="M11" s="30"/>
    </row>
    <row r="12" spans="1:13" x14ac:dyDescent="0.25">
      <c r="C12" s="27">
        <v>11</v>
      </c>
      <c r="D12" s="27">
        <v>8</v>
      </c>
      <c r="E12" s="28">
        <f t="shared" si="0"/>
        <v>15.059999999999997</v>
      </c>
      <c r="F12" s="27">
        <v>6.5</v>
      </c>
      <c r="G12" s="27">
        <v>3.5</v>
      </c>
      <c r="H12" s="29">
        <v>1.5</v>
      </c>
      <c r="I12" s="29">
        <v>26</v>
      </c>
      <c r="J12" s="29">
        <f t="shared" si="1"/>
        <v>43.333333333333336</v>
      </c>
      <c r="K12" s="29">
        <f t="shared" si="2"/>
        <v>27.5</v>
      </c>
      <c r="L12" s="30">
        <f t="shared" si="3"/>
        <v>44.833333333333336</v>
      </c>
      <c r="M12" s="30"/>
    </row>
    <row r="13" spans="1:13" x14ac:dyDescent="0.25">
      <c r="C13" s="27">
        <v>11.5</v>
      </c>
      <c r="D13" s="27">
        <v>6.5</v>
      </c>
      <c r="E13" s="28">
        <f t="shared" si="0"/>
        <v>15.065</v>
      </c>
      <c r="F13" s="27">
        <v>6.5</v>
      </c>
      <c r="G13" s="27">
        <v>3.5</v>
      </c>
      <c r="H13" s="29">
        <v>0</v>
      </c>
      <c r="I13" s="29">
        <v>29</v>
      </c>
      <c r="J13" s="29">
        <f t="shared" si="1"/>
        <v>48.333333333333336</v>
      </c>
      <c r="K13" s="29">
        <f t="shared" si="2"/>
        <v>29</v>
      </c>
      <c r="L13" s="30">
        <f t="shared" si="3"/>
        <v>48.333333333333336</v>
      </c>
      <c r="M13" s="30"/>
    </row>
    <row r="14" spans="1:13" x14ac:dyDescent="0.25">
      <c r="E14" s="28"/>
    </row>
    <row r="15" spans="1:13" x14ac:dyDescent="0.25">
      <c r="E15" s="28"/>
    </row>
    <row r="16" spans="1:13" x14ac:dyDescent="0.25">
      <c r="E16" s="28"/>
    </row>
    <row r="17" spans="1:11" x14ac:dyDescent="0.25">
      <c r="E17" s="28"/>
    </row>
    <row r="18" spans="1:11" x14ac:dyDescent="0.25">
      <c r="A18" s="59" t="s">
        <v>111</v>
      </c>
      <c r="C18" s="26" t="s">
        <v>28</v>
      </c>
      <c r="H18" s="26" t="s">
        <v>91</v>
      </c>
    </row>
    <row r="19" spans="1:11" x14ac:dyDescent="0.25">
      <c r="A19" s="57" t="s">
        <v>112</v>
      </c>
      <c r="C19" s="26" t="s">
        <v>95</v>
      </c>
      <c r="D19" s="26" t="s">
        <v>96</v>
      </c>
      <c r="E19" s="26" t="s">
        <v>97</v>
      </c>
      <c r="F19" s="26" t="s">
        <v>98</v>
      </c>
      <c r="G19" s="26"/>
      <c r="H19" s="26" t="s">
        <v>95</v>
      </c>
      <c r="I19" s="26" t="s">
        <v>96</v>
      </c>
      <c r="J19" s="26" t="s">
        <v>97</v>
      </c>
      <c r="K19" s="26" t="s">
        <v>98</v>
      </c>
    </row>
    <row r="20" spans="1:11" x14ac:dyDescent="0.25">
      <c r="A20" s="57" t="s">
        <v>113</v>
      </c>
      <c r="C20" s="27" t="s">
        <v>99</v>
      </c>
      <c r="D20" s="27">
        <v>6</v>
      </c>
      <c r="E20" s="27">
        <v>1</v>
      </c>
      <c r="F20" s="27">
        <f>E20</f>
        <v>1</v>
      </c>
      <c r="H20" s="27" t="s">
        <v>99</v>
      </c>
      <c r="I20" s="27">
        <v>6</v>
      </c>
      <c r="J20" s="27">
        <v>3</v>
      </c>
      <c r="K20" s="27">
        <f>J20</f>
        <v>3</v>
      </c>
    </row>
    <row r="21" spans="1:11" x14ac:dyDescent="0.25">
      <c r="A21" s="57" t="s">
        <v>114</v>
      </c>
      <c r="C21" s="27">
        <v>6</v>
      </c>
      <c r="D21" s="27">
        <v>7</v>
      </c>
      <c r="E21" s="27">
        <v>1</v>
      </c>
      <c r="F21" s="27">
        <f>F20+E21</f>
        <v>2</v>
      </c>
      <c r="H21" s="27">
        <v>6</v>
      </c>
      <c r="I21" s="27">
        <v>7</v>
      </c>
      <c r="J21" s="27">
        <v>3</v>
      </c>
      <c r="K21" s="27">
        <f>K20+J21</f>
        <v>6</v>
      </c>
    </row>
    <row r="22" spans="1:11" x14ac:dyDescent="0.25">
      <c r="A22" s="57" t="s">
        <v>115</v>
      </c>
      <c r="C22" s="27">
        <v>7</v>
      </c>
      <c r="D22" s="27">
        <v>8</v>
      </c>
      <c r="E22" s="27">
        <v>1</v>
      </c>
      <c r="F22" s="27">
        <f t="shared" ref="F22:F37" si="4">F21+E22</f>
        <v>3</v>
      </c>
      <c r="H22" s="27">
        <v>7</v>
      </c>
      <c r="I22" s="27">
        <v>8</v>
      </c>
      <c r="J22" s="27">
        <v>3</v>
      </c>
      <c r="K22" s="27">
        <f t="shared" ref="K22:K33" si="5">K21+J22</f>
        <v>9</v>
      </c>
    </row>
    <row r="23" spans="1:11" x14ac:dyDescent="0.25">
      <c r="A23" s="57" t="s">
        <v>116</v>
      </c>
      <c r="C23" s="27">
        <v>8</v>
      </c>
      <c r="D23" s="27">
        <v>9</v>
      </c>
      <c r="E23" s="27">
        <v>1</v>
      </c>
      <c r="F23" s="27">
        <f t="shared" si="4"/>
        <v>4</v>
      </c>
      <c r="H23" s="27">
        <v>8</v>
      </c>
      <c r="I23" s="27">
        <v>9</v>
      </c>
      <c r="J23" s="27">
        <v>4</v>
      </c>
      <c r="K23" s="27">
        <f t="shared" si="5"/>
        <v>13</v>
      </c>
    </row>
    <row r="24" spans="1:11" x14ac:dyDescent="0.25">
      <c r="A24" s="57" t="s">
        <v>117</v>
      </c>
      <c r="C24" s="27">
        <v>9</v>
      </c>
      <c r="D24" s="27">
        <v>10</v>
      </c>
      <c r="E24" s="27">
        <v>1</v>
      </c>
      <c r="F24" s="27">
        <f t="shared" si="4"/>
        <v>5</v>
      </c>
      <c r="H24" s="27">
        <v>9</v>
      </c>
      <c r="I24" s="27">
        <v>10</v>
      </c>
      <c r="J24" s="27">
        <v>4</v>
      </c>
      <c r="K24" s="27">
        <f t="shared" si="5"/>
        <v>17</v>
      </c>
    </row>
    <row r="25" spans="1:11" x14ac:dyDescent="0.25">
      <c r="A25" s="57" t="s">
        <v>118</v>
      </c>
      <c r="C25" s="27">
        <v>10</v>
      </c>
      <c r="D25" s="27">
        <v>11</v>
      </c>
      <c r="E25" s="27">
        <v>1</v>
      </c>
      <c r="F25" s="27">
        <f t="shared" si="4"/>
        <v>6</v>
      </c>
      <c r="H25" s="27">
        <v>10</v>
      </c>
      <c r="I25" s="27">
        <v>11</v>
      </c>
      <c r="J25" s="27">
        <v>5</v>
      </c>
      <c r="K25" s="27">
        <f t="shared" si="5"/>
        <v>22</v>
      </c>
    </row>
    <row r="26" spans="1:11" x14ac:dyDescent="0.25">
      <c r="A26" s="57" t="s">
        <v>119</v>
      </c>
      <c r="C26" s="27">
        <v>11</v>
      </c>
      <c r="D26" s="27">
        <v>12</v>
      </c>
      <c r="E26" s="27">
        <v>1</v>
      </c>
      <c r="F26" s="27">
        <f t="shared" si="4"/>
        <v>7</v>
      </c>
      <c r="H26" s="27">
        <v>11</v>
      </c>
      <c r="I26" s="27">
        <v>12</v>
      </c>
      <c r="J26" s="27">
        <v>6</v>
      </c>
      <c r="K26" s="27">
        <f t="shared" si="5"/>
        <v>28</v>
      </c>
    </row>
    <row r="27" spans="1:11" x14ac:dyDescent="0.25">
      <c r="A27" s="57" t="s">
        <v>120</v>
      </c>
      <c r="C27" s="27">
        <v>12</v>
      </c>
      <c r="D27" s="27">
        <v>13</v>
      </c>
      <c r="E27" s="27">
        <v>1</v>
      </c>
      <c r="F27" s="27">
        <f t="shared" si="4"/>
        <v>8</v>
      </c>
      <c r="H27" s="27">
        <v>12</v>
      </c>
      <c r="I27" s="27">
        <v>13</v>
      </c>
      <c r="J27" s="27">
        <v>6</v>
      </c>
      <c r="K27" s="27">
        <f t="shared" si="5"/>
        <v>34</v>
      </c>
    </row>
    <row r="28" spans="1:11" x14ac:dyDescent="0.25">
      <c r="A28" s="57" t="s">
        <v>121</v>
      </c>
      <c r="C28" s="27">
        <v>13</v>
      </c>
      <c r="D28" s="27">
        <v>14</v>
      </c>
      <c r="E28" s="27">
        <v>1</v>
      </c>
      <c r="F28" s="27">
        <f t="shared" si="4"/>
        <v>9</v>
      </c>
      <c r="H28" s="27">
        <v>13</v>
      </c>
      <c r="I28" s="27">
        <v>14</v>
      </c>
      <c r="J28" s="27">
        <v>7</v>
      </c>
      <c r="K28" s="27">
        <f t="shared" si="5"/>
        <v>41</v>
      </c>
    </row>
    <row r="29" spans="1:11" x14ac:dyDescent="0.25">
      <c r="A29" s="57" t="s">
        <v>122</v>
      </c>
      <c r="C29" s="27">
        <v>14</v>
      </c>
      <c r="D29" s="27">
        <v>15</v>
      </c>
      <c r="E29" s="27">
        <v>1</v>
      </c>
      <c r="F29" s="27">
        <f t="shared" si="4"/>
        <v>10</v>
      </c>
      <c r="H29" s="27">
        <v>14</v>
      </c>
      <c r="I29" s="27">
        <v>15</v>
      </c>
      <c r="J29" s="27">
        <v>9</v>
      </c>
      <c r="K29" s="27">
        <f t="shared" si="5"/>
        <v>50</v>
      </c>
    </row>
    <row r="30" spans="1:11" x14ac:dyDescent="0.25">
      <c r="A30" s="57" t="s">
        <v>123</v>
      </c>
      <c r="C30" s="27">
        <v>15</v>
      </c>
      <c r="D30" s="27">
        <v>16</v>
      </c>
      <c r="E30" s="27">
        <v>2</v>
      </c>
      <c r="F30" s="27">
        <f t="shared" si="4"/>
        <v>12</v>
      </c>
      <c r="H30" s="27">
        <v>15</v>
      </c>
      <c r="I30" s="27">
        <v>16</v>
      </c>
      <c r="J30" s="27">
        <v>10</v>
      </c>
      <c r="K30" s="27">
        <f t="shared" si="5"/>
        <v>60</v>
      </c>
    </row>
    <row r="31" spans="1:11" x14ac:dyDescent="0.25">
      <c r="A31" s="57" t="s">
        <v>124</v>
      </c>
      <c r="C31" s="27">
        <v>16</v>
      </c>
      <c r="D31" s="27">
        <v>17</v>
      </c>
      <c r="E31" s="27">
        <v>2</v>
      </c>
      <c r="F31" s="27">
        <f t="shared" si="4"/>
        <v>14</v>
      </c>
      <c r="H31" s="27">
        <v>16</v>
      </c>
      <c r="I31" s="27">
        <v>17</v>
      </c>
      <c r="J31" s="27">
        <v>11</v>
      </c>
      <c r="K31" s="27">
        <f t="shared" si="5"/>
        <v>71</v>
      </c>
    </row>
    <row r="32" spans="1:11" x14ac:dyDescent="0.25">
      <c r="A32" s="57" t="s">
        <v>125</v>
      </c>
      <c r="C32" s="27">
        <v>17</v>
      </c>
      <c r="D32" s="27">
        <v>18</v>
      </c>
      <c r="E32" s="27">
        <v>2</v>
      </c>
      <c r="F32" s="27">
        <f t="shared" si="4"/>
        <v>16</v>
      </c>
      <c r="H32" s="27">
        <v>17</v>
      </c>
      <c r="I32" s="27">
        <v>18</v>
      </c>
      <c r="J32" s="27">
        <v>14</v>
      </c>
      <c r="K32" s="27">
        <f t="shared" si="5"/>
        <v>85</v>
      </c>
    </row>
    <row r="33" spans="1:11" x14ac:dyDescent="0.25">
      <c r="A33" s="57" t="s">
        <v>126</v>
      </c>
      <c r="C33" s="27">
        <v>18</v>
      </c>
      <c r="D33" s="27">
        <v>19</v>
      </c>
      <c r="E33" s="27">
        <v>2</v>
      </c>
      <c r="F33" s="27">
        <f t="shared" si="4"/>
        <v>18</v>
      </c>
      <c r="H33" s="27">
        <v>18</v>
      </c>
      <c r="I33" s="27">
        <v>19</v>
      </c>
      <c r="J33" s="27">
        <v>16</v>
      </c>
      <c r="K33" s="27">
        <f t="shared" si="5"/>
        <v>101</v>
      </c>
    </row>
    <row r="34" spans="1:11" x14ac:dyDescent="0.25">
      <c r="A34" s="57" t="s">
        <v>127</v>
      </c>
      <c r="C34" s="27">
        <v>19</v>
      </c>
      <c r="D34" s="27">
        <v>20</v>
      </c>
      <c r="E34" s="27">
        <v>3</v>
      </c>
      <c r="F34" s="27">
        <f t="shared" si="4"/>
        <v>21</v>
      </c>
      <c r="H34" s="27">
        <v>19</v>
      </c>
      <c r="I34" s="27">
        <v>20</v>
      </c>
    </row>
    <row r="35" spans="1:11" x14ac:dyDescent="0.25">
      <c r="A35" s="57" t="s">
        <v>128</v>
      </c>
      <c r="C35" s="27">
        <v>20</v>
      </c>
      <c r="D35" s="27">
        <v>21</v>
      </c>
      <c r="E35" s="27">
        <v>3</v>
      </c>
      <c r="F35" s="27">
        <f t="shared" si="4"/>
        <v>24</v>
      </c>
      <c r="H35" s="27">
        <v>20</v>
      </c>
      <c r="I35" s="27">
        <v>21</v>
      </c>
    </row>
    <row r="36" spans="1:11" x14ac:dyDescent="0.25">
      <c r="A36" s="57" t="s">
        <v>129</v>
      </c>
      <c r="C36" s="27">
        <v>21</v>
      </c>
      <c r="D36" s="27">
        <v>22</v>
      </c>
      <c r="E36" s="27">
        <v>3</v>
      </c>
      <c r="F36" s="27">
        <f t="shared" si="4"/>
        <v>27</v>
      </c>
      <c r="H36" s="27">
        <v>21</v>
      </c>
      <c r="I36" s="27">
        <v>22</v>
      </c>
    </row>
    <row r="37" spans="1:11" x14ac:dyDescent="0.25">
      <c r="A37" s="57" t="s">
        <v>130</v>
      </c>
      <c r="C37" s="27">
        <v>22</v>
      </c>
      <c r="D37" s="27">
        <v>23</v>
      </c>
      <c r="E37" s="27">
        <v>4</v>
      </c>
      <c r="F37" s="27">
        <f t="shared" si="4"/>
        <v>31</v>
      </c>
      <c r="H37" s="27">
        <v>22</v>
      </c>
      <c r="I37" s="27">
        <v>23</v>
      </c>
    </row>
    <row r="39" spans="1:11" x14ac:dyDescent="0.25">
      <c r="A39" s="57" t="s">
        <v>131</v>
      </c>
    </row>
    <row r="40" spans="1:11" x14ac:dyDescent="0.25">
      <c r="A40" s="57" t="s">
        <v>132</v>
      </c>
    </row>
    <row r="41" spans="1:11" x14ac:dyDescent="0.25">
      <c r="A41" s="57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Q35"/>
  <sheetViews>
    <sheetView workbookViewId="0">
      <selection activeCell="E13" sqref="E13"/>
    </sheetView>
  </sheetViews>
  <sheetFormatPr baseColWidth="10" defaultRowHeight="15" x14ac:dyDescent="0.25"/>
  <cols>
    <col min="7" max="7" width="2" bestFit="1" customWidth="1"/>
    <col min="8" max="8" width="5.5703125" bestFit="1" customWidth="1"/>
    <col min="9" max="9" width="4.5703125" bestFit="1" customWidth="1"/>
    <col min="12" max="12" width="8.28515625" bestFit="1" customWidth="1"/>
    <col min="13" max="13" width="8.42578125" bestFit="1" customWidth="1"/>
    <col min="14" max="14" width="5.5703125" bestFit="1" customWidth="1"/>
    <col min="15" max="15" width="7.140625" bestFit="1" customWidth="1"/>
    <col min="16" max="16" width="11.5703125" bestFit="1" customWidth="1"/>
  </cols>
  <sheetData>
    <row r="1" spans="1:17" ht="30" x14ac:dyDescent="0.25">
      <c r="A1" t="s">
        <v>65</v>
      </c>
      <c r="L1" s="39" t="s">
        <v>69</v>
      </c>
      <c r="M1" s="39" t="s">
        <v>70</v>
      </c>
      <c r="N1" s="39" t="s">
        <v>71</v>
      </c>
      <c r="O1" s="39" t="s">
        <v>72</v>
      </c>
      <c r="P1" s="39" t="s">
        <v>79</v>
      </c>
      <c r="Q1" s="40" t="s">
        <v>80</v>
      </c>
    </row>
    <row r="2" spans="1:17" x14ac:dyDescent="0.25">
      <c r="L2" s="39" t="s">
        <v>29</v>
      </c>
      <c r="M2" s="41">
        <f>M8-M7-M6-M5-M4-M3</f>
        <v>1043</v>
      </c>
      <c r="N2" s="39">
        <v>0</v>
      </c>
      <c r="O2" s="42">
        <v>0</v>
      </c>
      <c r="P2" s="43">
        <f>11*(M2/M8)</f>
        <v>1.0088814632430532</v>
      </c>
      <c r="Q2" s="46">
        <f>N2/$N$8/P2</f>
        <v>0</v>
      </c>
    </row>
    <row r="3" spans="1:17" x14ac:dyDescent="0.25">
      <c r="A3" s="31">
        <v>0.25</v>
      </c>
      <c r="B3" t="s">
        <v>66</v>
      </c>
      <c r="L3" s="39" t="s">
        <v>73</v>
      </c>
      <c r="M3" s="41">
        <v>1626</v>
      </c>
      <c r="N3" s="39">
        <v>150</v>
      </c>
      <c r="O3" s="45">
        <v>9.2299999999999993E-2</v>
      </c>
      <c r="P3" s="47">
        <f>11*(M3/$M$8)</f>
        <v>1.5728104115371087</v>
      </c>
      <c r="Q3" s="46">
        <f>N3/$N$8/P3</f>
        <v>7.1013165286326937E-2</v>
      </c>
    </row>
    <row r="4" spans="1:17" x14ac:dyDescent="0.25">
      <c r="A4" s="31">
        <v>0.5</v>
      </c>
      <c r="B4" t="s">
        <v>67</v>
      </c>
      <c r="L4" s="39" t="s">
        <v>74</v>
      </c>
      <c r="M4" s="41">
        <v>2041</v>
      </c>
      <c r="N4" s="39">
        <v>180</v>
      </c>
      <c r="O4" s="45">
        <v>8.8200000000000001E-2</v>
      </c>
      <c r="P4" s="47">
        <f t="shared" ref="P4:P7" si="0">11*(M4/$M$8)</f>
        <v>1.9742349630671825</v>
      </c>
      <c r="Q4" s="46">
        <f t="shared" ref="Q4:Q7" si="1">N4/$N$8/P4</f>
        <v>6.7888725187006921E-2</v>
      </c>
    </row>
    <row r="5" spans="1:17" x14ac:dyDescent="0.25">
      <c r="A5" s="31">
        <v>0.25</v>
      </c>
      <c r="B5" t="s">
        <v>68</v>
      </c>
      <c r="G5">
        <v>4</v>
      </c>
      <c r="H5">
        <f>G5</f>
        <v>4</v>
      </c>
      <c r="I5" s="32">
        <f>H5*H9</f>
        <v>0.2857142857142857</v>
      </c>
      <c r="L5" s="39" t="s">
        <v>75</v>
      </c>
      <c r="M5" s="41">
        <v>2691</v>
      </c>
      <c r="N5" s="39">
        <v>523</v>
      </c>
      <c r="O5" s="45">
        <v>0.19439999999999999</v>
      </c>
      <c r="P5" s="47">
        <f t="shared" si="0"/>
        <v>2.6029722124516357</v>
      </c>
      <c r="Q5" s="46">
        <f t="shared" si="1"/>
        <v>0.14960845716130769</v>
      </c>
    </row>
    <row r="6" spans="1:17" x14ac:dyDescent="0.25">
      <c r="G6">
        <v>4</v>
      </c>
      <c r="H6">
        <f>G6*2</f>
        <v>8</v>
      </c>
      <c r="I6" s="32">
        <f>H9*G6</f>
        <v>0.2857142857142857</v>
      </c>
      <c r="L6" s="39" t="s">
        <v>76</v>
      </c>
      <c r="M6" s="41">
        <v>1877</v>
      </c>
      <c r="N6" s="39">
        <v>319</v>
      </c>
      <c r="O6" s="45">
        <v>0.17</v>
      </c>
      <c r="P6" s="47">
        <f t="shared" si="0"/>
        <v>1.8155997186071051</v>
      </c>
      <c r="Q6" s="46">
        <f t="shared" si="1"/>
        <v>0.13082615079036072</v>
      </c>
    </row>
    <row r="7" spans="1:17" x14ac:dyDescent="0.25">
      <c r="A7" s="64">
        <v>451</v>
      </c>
      <c r="B7" s="65"/>
      <c r="C7" s="65"/>
      <c r="G7">
        <v>2</v>
      </c>
      <c r="H7">
        <f>G7</f>
        <v>2</v>
      </c>
      <c r="I7" s="32">
        <f>G7*H9</f>
        <v>0.14285714285714285</v>
      </c>
      <c r="L7" s="39" t="s">
        <v>77</v>
      </c>
      <c r="M7" s="41">
        <v>2094</v>
      </c>
      <c r="N7" s="39">
        <v>171</v>
      </c>
      <c r="O7" s="45">
        <v>8.1699999999999995E-2</v>
      </c>
      <c r="P7" s="47">
        <f t="shared" si="0"/>
        <v>2.0255012310939149</v>
      </c>
      <c r="Q7" s="46">
        <f t="shared" si="1"/>
        <v>6.2861911987271757E-2</v>
      </c>
    </row>
    <row r="8" spans="1:17" x14ac:dyDescent="0.25">
      <c r="A8" s="66">
        <f>C8*4</f>
        <v>0.26666666666666666</v>
      </c>
      <c r="B8" s="65" t="s">
        <v>66</v>
      </c>
      <c r="C8" s="67">
        <v>6.6666666666666666E-2</v>
      </c>
      <c r="H8">
        <f>H7+H6+H5</f>
        <v>14</v>
      </c>
      <c r="L8" s="39" t="s">
        <v>78</v>
      </c>
      <c r="M8" s="41">
        <v>11372</v>
      </c>
      <c r="N8" s="41">
        <v>1343</v>
      </c>
      <c r="O8" s="45">
        <v>0.1181</v>
      </c>
      <c r="P8" s="44">
        <f>SUM(P2:P7)</f>
        <v>11</v>
      </c>
      <c r="Q8" s="13"/>
    </row>
    <row r="9" spans="1:17" x14ac:dyDescent="0.25">
      <c r="A9" s="66">
        <f>C9*5</f>
        <v>0.66666666666666663</v>
      </c>
      <c r="B9" s="65" t="s">
        <v>67</v>
      </c>
      <c r="C9" s="67">
        <v>0.13333333333333333</v>
      </c>
      <c r="H9" s="2">
        <f>1/H8</f>
        <v>7.1428571428571425E-2</v>
      </c>
    </row>
    <row r="10" spans="1:17" x14ac:dyDescent="0.25">
      <c r="A10" s="66">
        <v>6.6666666666666666E-2</v>
      </c>
      <c r="B10" s="65" t="s">
        <v>68</v>
      </c>
      <c r="C10" s="67">
        <v>6.6666666666666666E-2</v>
      </c>
    </row>
    <row r="12" spans="1:17" x14ac:dyDescent="0.25">
      <c r="A12" s="33">
        <v>352</v>
      </c>
    </row>
    <row r="13" spans="1:17" x14ac:dyDescent="0.25">
      <c r="A13" s="35">
        <f>C13*3</f>
        <v>0.2</v>
      </c>
      <c r="B13" t="s">
        <v>66</v>
      </c>
      <c r="C13" s="34">
        <v>6.6666666666666666E-2</v>
      </c>
    </row>
    <row r="14" spans="1:17" x14ac:dyDescent="0.25">
      <c r="A14" s="35">
        <f>C14*5</f>
        <v>0.66666666666666663</v>
      </c>
      <c r="B14" t="s">
        <v>67</v>
      </c>
      <c r="C14" s="34">
        <v>0.13333333333333333</v>
      </c>
    </row>
    <row r="15" spans="1:17" x14ac:dyDescent="0.25">
      <c r="A15" s="35">
        <f>C15*2</f>
        <v>0.13333333333333333</v>
      </c>
      <c r="B15" t="s">
        <v>68</v>
      </c>
      <c r="C15" s="34">
        <v>6.6666666666666666E-2</v>
      </c>
      <c r="M15">
        <v>3</v>
      </c>
      <c r="N15">
        <v>5</v>
      </c>
      <c r="O15">
        <v>2</v>
      </c>
      <c r="P15">
        <v>10</v>
      </c>
    </row>
    <row r="17" spans="1:3" x14ac:dyDescent="0.25">
      <c r="A17" s="33">
        <v>550</v>
      </c>
    </row>
    <row r="18" spans="1:3" x14ac:dyDescent="0.25">
      <c r="A18" s="35">
        <v>0.33333333333333331</v>
      </c>
      <c r="B18" t="s">
        <v>66</v>
      </c>
      <c r="C18" s="34">
        <v>6.6666666666666666E-2</v>
      </c>
    </row>
    <row r="19" spans="1:3" x14ac:dyDescent="0.25">
      <c r="A19" s="35">
        <f>C19*5</f>
        <v>0.66666666666666663</v>
      </c>
      <c r="B19" t="s">
        <v>67</v>
      </c>
      <c r="C19" s="34">
        <v>0.13333333333333333</v>
      </c>
    </row>
    <row r="20" spans="1:3" x14ac:dyDescent="0.25">
      <c r="A20" s="35">
        <v>0</v>
      </c>
      <c r="B20" t="s">
        <v>68</v>
      </c>
      <c r="C20" s="34">
        <v>0</v>
      </c>
    </row>
    <row r="22" spans="1:3" x14ac:dyDescent="0.25">
      <c r="A22" s="33">
        <v>442</v>
      </c>
    </row>
    <row r="23" spans="1:3" x14ac:dyDescent="0.25">
      <c r="A23" s="35">
        <f>C23*4</f>
        <v>0.2857142857142857</v>
      </c>
      <c r="B23" t="s">
        <v>66</v>
      </c>
      <c r="C23" s="34">
        <f>H9</f>
        <v>7.1428571428571425E-2</v>
      </c>
    </row>
    <row r="24" spans="1:3" x14ac:dyDescent="0.25">
      <c r="A24" s="35">
        <f>C24*4</f>
        <v>0.5714285714285714</v>
      </c>
      <c r="B24" t="s">
        <v>67</v>
      </c>
      <c r="C24" s="34">
        <f>H9*2</f>
        <v>0.14285714285714285</v>
      </c>
    </row>
    <row r="25" spans="1:3" x14ac:dyDescent="0.25">
      <c r="A25" s="35">
        <f>C25*2</f>
        <v>0.14285714285714285</v>
      </c>
      <c r="B25" t="s">
        <v>68</v>
      </c>
      <c r="C25" s="34">
        <f>H9</f>
        <v>7.1428571428571425E-2</v>
      </c>
    </row>
    <row r="27" spans="1:3" x14ac:dyDescent="0.25">
      <c r="A27" s="33">
        <v>253</v>
      </c>
    </row>
    <row r="28" spans="1:3" x14ac:dyDescent="0.25">
      <c r="A28" s="35">
        <f>C28*2</f>
        <v>0.13333333333333333</v>
      </c>
      <c r="B28" t="s">
        <v>66</v>
      </c>
      <c r="C28" s="34">
        <v>6.6666666666666666E-2</v>
      </c>
    </row>
    <row r="29" spans="1:3" x14ac:dyDescent="0.25">
      <c r="A29" s="35">
        <f>C29*5</f>
        <v>0.66666666666666663</v>
      </c>
      <c r="B29" t="s">
        <v>67</v>
      </c>
      <c r="C29" s="34">
        <v>0.13333333333333333</v>
      </c>
    </row>
    <row r="30" spans="1:3" x14ac:dyDescent="0.25">
      <c r="A30" s="35">
        <f>C30*3</f>
        <v>0.2</v>
      </c>
      <c r="B30" t="s">
        <v>68</v>
      </c>
      <c r="C30" s="34">
        <v>6.6666666666666666E-2</v>
      </c>
    </row>
    <row r="32" spans="1:3" x14ac:dyDescent="0.25">
      <c r="A32" s="33">
        <v>343</v>
      </c>
    </row>
    <row r="33" spans="1:3" x14ac:dyDescent="0.25">
      <c r="A33" s="35">
        <f>C33*3</f>
        <v>0.21428571428571427</v>
      </c>
      <c r="B33" t="s">
        <v>66</v>
      </c>
      <c r="C33" s="34">
        <v>7.1428571428571425E-2</v>
      </c>
    </row>
    <row r="34" spans="1:3" x14ac:dyDescent="0.25">
      <c r="A34" s="35">
        <f>C34*4</f>
        <v>0.5714285714285714</v>
      </c>
      <c r="B34" t="s">
        <v>67</v>
      </c>
      <c r="C34" s="34">
        <v>0.14285714285714285</v>
      </c>
    </row>
    <row r="35" spans="1:3" x14ac:dyDescent="0.25">
      <c r="A35" s="35">
        <f>C35*3</f>
        <v>0.21428571428571427</v>
      </c>
      <c r="B35" t="s">
        <v>68</v>
      </c>
      <c r="C35" s="34">
        <v>7.1428571428571425E-2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A13"/>
  <sheetViews>
    <sheetView workbookViewId="0">
      <selection activeCell="A13" sqref="A13"/>
    </sheetView>
  </sheetViews>
  <sheetFormatPr baseColWidth="10" defaultRowHeight="15" x14ac:dyDescent="0.25"/>
  <sheetData>
    <row r="1" spans="1:1" x14ac:dyDescent="0.25">
      <c r="A1" t="s">
        <v>82</v>
      </c>
    </row>
    <row r="3" spans="1:1" x14ac:dyDescent="0.25">
      <c r="A3" s="1" t="s">
        <v>83</v>
      </c>
    </row>
    <row r="5" spans="1:1" x14ac:dyDescent="0.25">
      <c r="A5" s="1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9" spans="1:1" x14ac:dyDescent="0.25">
      <c r="A9" t="s">
        <v>87</v>
      </c>
    </row>
    <row r="11" spans="1:1" x14ac:dyDescent="0.25">
      <c r="A11" s="1" t="s">
        <v>88</v>
      </c>
    </row>
    <row r="13" spans="1:1" x14ac:dyDescent="0.25">
      <c r="A13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I1:I17"/>
  <sheetViews>
    <sheetView workbookViewId="0">
      <selection activeCell="M22" sqref="M22"/>
    </sheetView>
  </sheetViews>
  <sheetFormatPr baseColWidth="10" defaultRowHeight="15" x14ac:dyDescent="0.25"/>
  <sheetData>
    <row r="1" spans="9:9" x14ac:dyDescent="0.25">
      <c r="I1" s="63" t="s">
        <v>138</v>
      </c>
    </row>
    <row r="2" spans="9:9" x14ac:dyDescent="0.25">
      <c r="I2" s="63" t="s">
        <v>139</v>
      </c>
    </row>
    <row r="3" spans="9:9" x14ac:dyDescent="0.25">
      <c r="I3" s="63" t="s">
        <v>140</v>
      </c>
    </row>
    <row r="4" spans="9:9" x14ac:dyDescent="0.25">
      <c r="I4" s="63" t="s">
        <v>141</v>
      </c>
    </row>
    <row r="5" spans="9:9" x14ac:dyDescent="0.25">
      <c r="I5" s="63" t="s">
        <v>142</v>
      </c>
    </row>
    <row r="6" spans="9:9" x14ac:dyDescent="0.25">
      <c r="I6" s="63" t="s">
        <v>143</v>
      </c>
    </row>
    <row r="7" spans="9:9" x14ac:dyDescent="0.25">
      <c r="I7" s="63" t="s">
        <v>144</v>
      </c>
    </row>
    <row r="8" spans="9:9" x14ac:dyDescent="0.25">
      <c r="I8" s="63" t="s">
        <v>145</v>
      </c>
    </row>
    <row r="9" spans="9:9" x14ac:dyDescent="0.25">
      <c r="I9" s="63" t="s">
        <v>146</v>
      </c>
    </row>
    <row r="10" spans="9:9" x14ac:dyDescent="0.25">
      <c r="I10" s="63" t="s">
        <v>147</v>
      </c>
    </row>
    <row r="11" spans="9:9" x14ac:dyDescent="0.25">
      <c r="I11" s="63" t="s">
        <v>148</v>
      </c>
    </row>
    <row r="12" spans="9:9" x14ac:dyDescent="0.25">
      <c r="I12" s="63" t="s">
        <v>149</v>
      </c>
    </row>
    <row r="13" spans="9:9" x14ac:dyDescent="0.25">
      <c r="I13" s="63" t="s">
        <v>150</v>
      </c>
    </row>
    <row r="14" spans="9:9" x14ac:dyDescent="0.25">
      <c r="I14" s="63" t="s">
        <v>151</v>
      </c>
    </row>
    <row r="15" spans="9:9" x14ac:dyDescent="0.25">
      <c r="I15" s="63" t="s">
        <v>152</v>
      </c>
    </row>
    <row r="16" spans="9:9" x14ac:dyDescent="0.25">
      <c r="I16" s="63" t="s">
        <v>153</v>
      </c>
    </row>
    <row r="17" spans="9:9" x14ac:dyDescent="0.25">
      <c r="I17" s="63" t="s">
        <v>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1:N25"/>
  <sheetViews>
    <sheetView workbookViewId="0">
      <selection activeCell="D17" sqref="D17"/>
    </sheetView>
  </sheetViews>
  <sheetFormatPr baseColWidth="10" defaultRowHeight="15" x14ac:dyDescent="0.25"/>
  <cols>
    <col min="1" max="1" width="9.5703125" bestFit="1" customWidth="1"/>
    <col min="2" max="2" width="15.85546875" bestFit="1" customWidth="1"/>
    <col min="4" max="4" width="21" bestFit="1" customWidth="1"/>
    <col min="5" max="5" width="9.28515625" bestFit="1" customWidth="1"/>
    <col min="6" max="6" width="15.140625" bestFit="1" customWidth="1"/>
    <col min="8" max="8" width="21" bestFit="1" customWidth="1"/>
    <col min="10" max="10" width="19.28515625" bestFit="1" customWidth="1"/>
    <col min="12" max="12" width="7.42578125" bestFit="1" customWidth="1"/>
    <col min="13" max="13" width="4.5703125" bestFit="1" customWidth="1"/>
    <col min="14" max="14" width="27.28515625" bestFit="1" customWidth="1"/>
  </cols>
  <sheetData>
    <row r="1" spans="1:14" x14ac:dyDescent="0.25">
      <c r="B1" s="1"/>
      <c r="C1" s="1"/>
      <c r="D1" s="1"/>
      <c r="E1" s="1"/>
      <c r="F1" s="1" t="s">
        <v>159</v>
      </c>
      <c r="G1" s="1"/>
      <c r="H1" s="1"/>
      <c r="I1" s="1"/>
      <c r="J1" s="1"/>
      <c r="L1" t="s">
        <v>178</v>
      </c>
      <c r="M1" t="s">
        <v>179</v>
      </c>
      <c r="N1" t="s">
        <v>180</v>
      </c>
    </row>
    <row r="2" spans="1:14" x14ac:dyDescent="0.25">
      <c r="B2" s="1"/>
      <c r="C2" s="1"/>
      <c r="D2" s="1"/>
      <c r="E2" s="1"/>
      <c r="F2" s="1"/>
      <c r="G2" s="1"/>
      <c r="H2" s="1"/>
      <c r="I2" s="1"/>
      <c r="J2" s="1"/>
      <c r="M2" t="s">
        <v>181</v>
      </c>
      <c r="N2" t="s">
        <v>182</v>
      </c>
    </row>
    <row r="3" spans="1:14" x14ac:dyDescent="0.25">
      <c r="B3" s="1" t="s">
        <v>160</v>
      </c>
      <c r="C3" s="1"/>
      <c r="D3" s="1" t="s">
        <v>161</v>
      </c>
      <c r="E3" s="1"/>
      <c r="F3" s="26" t="s">
        <v>162</v>
      </c>
      <c r="G3" s="1"/>
      <c r="H3" s="1" t="s">
        <v>161</v>
      </c>
      <c r="I3" s="1"/>
      <c r="J3" s="1" t="s">
        <v>163</v>
      </c>
      <c r="M3" t="s">
        <v>183</v>
      </c>
      <c r="N3" t="s">
        <v>184</v>
      </c>
    </row>
    <row r="4" spans="1:14" x14ac:dyDescent="0.25">
      <c r="A4" t="s">
        <v>32</v>
      </c>
      <c r="B4" s="76">
        <v>1</v>
      </c>
      <c r="C4" s="27"/>
      <c r="D4" s="76">
        <v>1</v>
      </c>
      <c r="E4" s="27"/>
      <c r="F4" s="27"/>
      <c r="G4" s="27"/>
      <c r="H4" s="76">
        <v>1</v>
      </c>
      <c r="I4" s="27"/>
      <c r="J4" s="72">
        <v>0.91900000000000004</v>
      </c>
    </row>
    <row r="5" spans="1:14" x14ac:dyDescent="0.25">
      <c r="A5" t="s">
        <v>26</v>
      </c>
      <c r="B5" s="75">
        <v>6.6000000000000003E-2</v>
      </c>
      <c r="C5" s="27"/>
      <c r="D5" s="74">
        <v>0.23599999999999999</v>
      </c>
      <c r="E5" s="27"/>
      <c r="F5" s="27"/>
      <c r="G5" s="27"/>
      <c r="H5" s="74">
        <v>0.23599999999999999</v>
      </c>
      <c r="I5" s="27"/>
      <c r="J5" s="75">
        <v>0.16700000000000001</v>
      </c>
    </row>
    <row r="6" spans="1:14" x14ac:dyDescent="0.25">
      <c r="A6" t="s">
        <v>168</v>
      </c>
      <c r="B6" s="70">
        <v>0.376</v>
      </c>
      <c r="C6" s="27"/>
      <c r="D6" s="69">
        <v>0</v>
      </c>
      <c r="E6" s="27"/>
      <c r="F6" s="27"/>
      <c r="G6" s="27"/>
      <c r="H6" s="69">
        <v>0</v>
      </c>
      <c r="I6" s="27"/>
      <c r="J6" s="72">
        <v>0.58799999999999997</v>
      </c>
    </row>
    <row r="7" spans="1:14" x14ac:dyDescent="0.25">
      <c r="A7" t="s">
        <v>176</v>
      </c>
      <c r="B7" s="70">
        <v>6.7000000000000004E-2</v>
      </c>
      <c r="C7" s="27"/>
      <c r="D7" s="70">
        <v>6.7000000000000004E-2</v>
      </c>
      <c r="E7" s="27"/>
      <c r="F7" s="27"/>
      <c r="G7" s="27"/>
      <c r="H7" s="70">
        <v>6.7000000000000004E-2</v>
      </c>
      <c r="I7" s="27"/>
      <c r="J7" s="70">
        <v>6.7000000000000004E-2</v>
      </c>
    </row>
    <row r="8" spans="1:14" x14ac:dyDescent="0.25">
      <c r="A8" t="s">
        <v>177</v>
      </c>
      <c r="B8" s="70" t="s">
        <v>106</v>
      </c>
      <c r="C8" s="27"/>
      <c r="D8" s="70" t="s">
        <v>106</v>
      </c>
      <c r="E8" s="27"/>
      <c r="F8" s="27"/>
      <c r="G8" s="27"/>
      <c r="H8" s="70" t="s">
        <v>106</v>
      </c>
      <c r="I8" s="27"/>
      <c r="J8" s="70" t="s">
        <v>106</v>
      </c>
    </row>
    <row r="10" spans="1:14" x14ac:dyDescent="0.25">
      <c r="B10" s="1" t="s">
        <v>164</v>
      </c>
      <c r="C10" s="1"/>
      <c r="D10" s="1" t="s">
        <v>165</v>
      </c>
      <c r="E10" s="1"/>
      <c r="F10" s="1" t="s">
        <v>165</v>
      </c>
      <c r="G10" s="1"/>
      <c r="H10" s="1" t="s">
        <v>105</v>
      </c>
      <c r="I10" s="1"/>
      <c r="J10" s="1" t="s">
        <v>166</v>
      </c>
    </row>
    <row r="11" spans="1:14" x14ac:dyDescent="0.25">
      <c r="A11" t="s">
        <v>32</v>
      </c>
      <c r="B11" s="51" t="s">
        <v>170</v>
      </c>
      <c r="C11" s="27"/>
      <c r="D11" s="51" t="s">
        <v>171</v>
      </c>
      <c r="E11" s="27"/>
      <c r="F11" s="51" t="s">
        <v>171</v>
      </c>
      <c r="G11" s="27"/>
      <c r="H11" s="51" t="s">
        <v>172</v>
      </c>
      <c r="I11" s="27"/>
      <c r="J11" s="51" t="s">
        <v>173</v>
      </c>
    </row>
    <row r="12" spans="1:14" x14ac:dyDescent="0.25">
      <c r="A12" t="s">
        <v>26</v>
      </c>
      <c r="B12" s="73">
        <v>0.63100000000000001</v>
      </c>
      <c r="C12" s="27"/>
      <c r="D12" s="71" t="s">
        <v>174</v>
      </c>
      <c r="E12" s="27"/>
      <c r="F12" s="71" t="s">
        <v>174</v>
      </c>
      <c r="G12" s="27"/>
      <c r="H12" s="72">
        <v>0.88100000000000001</v>
      </c>
      <c r="I12" s="27"/>
      <c r="J12" s="73">
        <v>0.45500000000000002</v>
      </c>
    </row>
    <row r="13" spans="1:14" x14ac:dyDescent="0.25">
      <c r="A13" t="s">
        <v>168</v>
      </c>
      <c r="B13" s="70">
        <v>0.70099999999999996</v>
      </c>
      <c r="C13" s="27"/>
      <c r="D13" s="69">
        <v>0</v>
      </c>
      <c r="E13" s="27"/>
      <c r="F13" s="69">
        <v>0</v>
      </c>
      <c r="G13" s="27"/>
      <c r="H13" s="72">
        <v>0.57399999999999995</v>
      </c>
      <c r="I13" s="27"/>
      <c r="J13" s="72">
        <v>0.86399999999999999</v>
      </c>
    </row>
    <row r="14" spans="1:14" x14ac:dyDescent="0.25">
      <c r="A14" t="s">
        <v>55</v>
      </c>
      <c r="B14" s="69">
        <v>0</v>
      </c>
      <c r="C14" s="27"/>
      <c r="D14" s="69">
        <v>0.12</v>
      </c>
      <c r="E14" s="27"/>
      <c r="F14" s="69">
        <v>0.12</v>
      </c>
      <c r="G14" s="27"/>
      <c r="H14" s="70">
        <v>0</v>
      </c>
      <c r="I14" s="27"/>
      <c r="J14" s="69">
        <v>0</v>
      </c>
    </row>
    <row r="15" spans="1:14" x14ac:dyDescent="0.25">
      <c r="A15" t="s">
        <v>169</v>
      </c>
      <c r="B15" s="70">
        <v>0.193</v>
      </c>
      <c r="C15" s="27"/>
      <c r="D15" s="70">
        <v>0.17499999999999999</v>
      </c>
      <c r="E15" s="27"/>
      <c r="F15" s="70">
        <v>0.17499999999999999</v>
      </c>
      <c r="G15" s="27"/>
      <c r="H15" s="70">
        <v>0.314</v>
      </c>
      <c r="I15" s="27"/>
      <c r="J15" s="70">
        <v>0.24399999999999999</v>
      </c>
    </row>
    <row r="16" spans="1:14" x14ac:dyDescent="0.25">
      <c r="A16" t="s">
        <v>176</v>
      </c>
      <c r="B16" s="70">
        <v>0.13300000000000001</v>
      </c>
      <c r="C16" s="27"/>
      <c r="D16" s="70">
        <v>0.13300000000000001</v>
      </c>
      <c r="E16" s="27"/>
      <c r="F16" s="70">
        <v>0.13300000000000001</v>
      </c>
      <c r="G16" s="27"/>
      <c r="H16" s="70">
        <v>0.13300000000000001</v>
      </c>
      <c r="I16" s="27"/>
      <c r="J16" s="70">
        <v>0.13300000000000001</v>
      </c>
    </row>
    <row r="17" spans="1:10" x14ac:dyDescent="0.25">
      <c r="A17" t="s">
        <v>177</v>
      </c>
      <c r="B17" s="70" t="s">
        <v>106</v>
      </c>
      <c r="C17" s="27"/>
      <c r="D17" s="70" t="s">
        <v>106</v>
      </c>
      <c r="E17" s="27"/>
      <c r="F17" s="70" t="s">
        <v>106</v>
      </c>
      <c r="G17" s="27"/>
      <c r="H17" s="70" t="s">
        <v>106</v>
      </c>
      <c r="I17" s="27"/>
      <c r="J17" s="70" t="s">
        <v>106</v>
      </c>
    </row>
    <row r="18" spans="1:10" x14ac:dyDescent="0.25">
      <c r="B18" s="27"/>
      <c r="C18" s="27"/>
      <c r="D18" s="27"/>
      <c r="E18" s="27"/>
      <c r="F18" s="70"/>
      <c r="G18" s="27"/>
      <c r="H18" s="70"/>
      <c r="I18" s="27"/>
      <c r="J18" s="70"/>
    </row>
    <row r="19" spans="1:10" x14ac:dyDescent="0.25">
      <c r="D19" s="27" t="s">
        <v>162</v>
      </c>
      <c r="F19" s="26" t="s">
        <v>175</v>
      </c>
      <c r="G19" s="1"/>
      <c r="H19" s="1" t="s">
        <v>167</v>
      </c>
    </row>
    <row r="20" spans="1:10" x14ac:dyDescent="0.25">
      <c r="A20" t="s">
        <v>26</v>
      </c>
      <c r="B20" s="27"/>
      <c r="C20" s="27"/>
      <c r="D20" s="27"/>
      <c r="E20" s="27"/>
      <c r="F20" s="73">
        <v>0.40600000000000003</v>
      </c>
      <c r="G20" s="27"/>
      <c r="H20" s="69">
        <v>0.25</v>
      </c>
      <c r="I20" s="27"/>
      <c r="J20" s="27"/>
    </row>
    <row r="21" spans="1:10" x14ac:dyDescent="0.25">
      <c r="A21" t="s">
        <v>168</v>
      </c>
      <c r="B21" s="27"/>
      <c r="C21" s="27"/>
      <c r="D21" s="27"/>
      <c r="E21" s="27"/>
      <c r="F21" s="70">
        <v>0.14399999999999999</v>
      </c>
      <c r="G21" s="27"/>
      <c r="H21" s="72">
        <v>0.60699999999999998</v>
      </c>
      <c r="I21" s="27"/>
      <c r="J21" s="27"/>
    </row>
    <row r="22" spans="1:10" x14ac:dyDescent="0.25">
      <c r="A22" t="s">
        <v>55</v>
      </c>
      <c r="B22" s="27"/>
      <c r="C22" s="27"/>
      <c r="D22" s="27"/>
      <c r="E22" s="27"/>
      <c r="F22" s="70">
        <v>0.127</v>
      </c>
      <c r="G22" s="27"/>
      <c r="H22" s="70">
        <v>0.52400000000000002</v>
      </c>
      <c r="I22" s="27"/>
      <c r="J22" s="27"/>
    </row>
    <row r="23" spans="1:10" x14ac:dyDescent="0.25">
      <c r="A23" t="s">
        <v>169</v>
      </c>
      <c r="B23" s="27"/>
      <c r="C23" s="27"/>
      <c r="D23" s="27"/>
      <c r="E23" s="27"/>
      <c r="F23" s="69">
        <v>0.25</v>
      </c>
      <c r="G23" s="27"/>
      <c r="H23" s="70">
        <v>0.20899999999999999</v>
      </c>
      <c r="I23" s="27"/>
      <c r="J23" s="27"/>
    </row>
    <row r="24" spans="1:10" x14ac:dyDescent="0.25">
      <c r="A24" t="s">
        <v>176</v>
      </c>
      <c r="F24" s="70">
        <v>6.7000000000000004E-2</v>
      </c>
      <c r="H24" s="70">
        <v>6.7000000000000004E-2</v>
      </c>
    </row>
    <row r="25" spans="1:10" x14ac:dyDescent="0.25">
      <c r="A25" t="s">
        <v>177</v>
      </c>
      <c r="F25" s="70" t="s">
        <v>106</v>
      </c>
      <c r="H25" s="70" t="s">
        <v>106</v>
      </c>
    </row>
  </sheetData>
  <pageMargins left="0.7" right="0.7" top="0.75" bottom="0.75" header="0.3" footer="0.3"/>
  <pageSetup paperSize="9"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J24"/>
  <sheetViews>
    <sheetView zoomScale="110" zoomScaleNormal="110" workbookViewId="0">
      <selection activeCell="G12" sqref="G12"/>
    </sheetView>
  </sheetViews>
  <sheetFormatPr baseColWidth="10" defaultRowHeight="15" x14ac:dyDescent="0.25"/>
  <cols>
    <col min="1" max="1" width="5.140625" bestFit="1" customWidth="1"/>
    <col min="2" max="2" width="13" bestFit="1" customWidth="1"/>
    <col min="3" max="3" width="4.7109375" bestFit="1" customWidth="1"/>
    <col min="4" max="5" width="4.5703125" bestFit="1" customWidth="1"/>
    <col min="6" max="6" width="4.85546875" bestFit="1" customWidth="1"/>
    <col min="7" max="7" width="7" bestFit="1" customWidth="1"/>
    <col min="8" max="8" width="4.85546875" bestFit="1" customWidth="1"/>
    <col min="9" max="9" width="5.42578125" bestFit="1" customWidth="1"/>
    <col min="10" max="10" width="4.5703125" bestFit="1" customWidth="1"/>
    <col min="11" max="11" width="5.140625" bestFit="1" customWidth="1"/>
    <col min="12" max="12" width="13" bestFit="1" customWidth="1"/>
    <col min="13" max="17" width="4.5703125" bestFit="1" customWidth="1"/>
    <col min="18" max="18" width="3.5703125" bestFit="1" customWidth="1"/>
    <col min="19" max="20" width="4.5703125" bestFit="1" customWidth="1"/>
    <col min="21" max="21" width="7.28515625" bestFit="1" customWidth="1"/>
    <col min="22" max="22" width="8" bestFit="1" customWidth="1"/>
    <col min="23" max="23" width="4.5703125" bestFit="1" customWidth="1"/>
    <col min="24" max="24" width="5.140625" bestFit="1" customWidth="1"/>
    <col min="25" max="25" width="11.5703125" bestFit="1" customWidth="1"/>
    <col min="26" max="29" width="4.5703125" bestFit="1" customWidth="1"/>
    <col min="30" max="31" width="3.5703125" bestFit="1" customWidth="1"/>
    <col min="32" max="33" width="4.5703125" bestFit="1" customWidth="1"/>
    <col min="34" max="34" width="7.28515625" bestFit="1" customWidth="1"/>
    <col min="35" max="35" width="8" bestFit="1" customWidth="1"/>
  </cols>
  <sheetData>
    <row r="1" spans="1:36" x14ac:dyDescent="0.25">
      <c r="A1" s="4"/>
      <c r="B1" s="68" t="s">
        <v>155</v>
      </c>
      <c r="C1" s="103"/>
      <c r="D1" s="103"/>
      <c r="E1" s="103"/>
      <c r="F1" s="103"/>
      <c r="G1" s="103"/>
      <c r="H1" s="103"/>
      <c r="I1" s="103"/>
      <c r="K1" s="1" t="s">
        <v>187</v>
      </c>
      <c r="N1" s="4"/>
      <c r="O1" s="4"/>
      <c r="P1" s="4"/>
      <c r="Q1" s="4"/>
      <c r="T1" s="27"/>
      <c r="X1" s="1" t="s">
        <v>187</v>
      </c>
      <c r="AA1" s="4"/>
      <c r="AB1" s="4"/>
      <c r="AC1" s="4"/>
      <c r="AD1" s="4"/>
      <c r="AG1" s="78"/>
    </row>
    <row r="2" spans="1:36" x14ac:dyDescent="0.25">
      <c r="A2" s="4"/>
      <c r="B2" s="49" t="s">
        <v>56</v>
      </c>
      <c r="C2" s="24" t="s">
        <v>29</v>
      </c>
      <c r="D2" s="24" t="s">
        <v>100</v>
      </c>
      <c r="E2" s="24" t="s">
        <v>101</v>
      </c>
      <c r="F2" s="24" t="s">
        <v>102</v>
      </c>
      <c r="G2" s="24" t="s">
        <v>103</v>
      </c>
      <c r="H2" s="24" t="s">
        <v>52</v>
      </c>
      <c r="I2" s="52" t="s">
        <v>78</v>
      </c>
      <c r="K2">
        <v>1</v>
      </c>
      <c r="L2" s="78" t="s">
        <v>188</v>
      </c>
      <c r="M2" s="104" t="s">
        <v>192</v>
      </c>
      <c r="N2" s="104"/>
      <c r="O2" s="104"/>
      <c r="P2" s="104"/>
      <c r="Q2" s="104"/>
      <c r="R2" s="104"/>
      <c r="S2" s="104"/>
      <c r="T2" s="104"/>
      <c r="U2" s="104"/>
      <c r="V2" s="104"/>
      <c r="W2" s="104"/>
      <c r="X2">
        <v>1</v>
      </c>
      <c r="Y2" s="78" t="s">
        <v>188</v>
      </c>
      <c r="Z2" s="104" t="s">
        <v>192</v>
      </c>
      <c r="AA2" s="104"/>
      <c r="AB2" s="104"/>
      <c r="AC2" s="104"/>
      <c r="AD2" s="104"/>
      <c r="AE2" s="104"/>
      <c r="AF2" s="104"/>
      <c r="AG2" s="104"/>
      <c r="AH2" s="104"/>
      <c r="AI2" s="104"/>
      <c r="AJ2" s="104"/>
    </row>
    <row r="3" spans="1:36" x14ac:dyDescent="0.25">
      <c r="A3" s="4"/>
      <c r="B3" s="49">
        <v>451</v>
      </c>
      <c r="C3" s="14">
        <v>1</v>
      </c>
      <c r="D3" s="14">
        <v>3</v>
      </c>
      <c r="E3" s="14">
        <v>3</v>
      </c>
      <c r="F3" s="14">
        <v>4</v>
      </c>
      <c r="G3" s="14">
        <v>2</v>
      </c>
      <c r="H3" s="14">
        <v>2</v>
      </c>
      <c r="I3" s="14">
        <f>SUM(C3:H3)</f>
        <v>15</v>
      </c>
      <c r="K3">
        <v>2</v>
      </c>
      <c r="L3" s="78" t="s">
        <v>189</v>
      </c>
      <c r="M3" s="104" t="s">
        <v>193</v>
      </c>
      <c r="N3" s="104"/>
      <c r="O3" s="104"/>
      <c r="P3" s="104"/>
      <c r="Q3" s="104"/>
      <c r="R3" s="104"/>
      <c r="S3" s="104"/>
      <c r="T3" s="104"/>
      <c r="U3" s="104"/>
      <c r="V3" s="104"/>
      <c r="W3" s="104"/>
      <c r="X3">
        <v>2</v>
      </c>
      <c r="Y3" s="78" t="s">
        <v>189</v>
      </c>
      <c r="Z3" s="104" t="s">
        <v>193</v>
      </c>
      <c r="AA3" s="104"/>
      <c r="AB3" s="104"/>
      <c r="AC3" s="104"/>
      <c r="AD3" s="104"/>
      <c r="AE3" s="104"/>
      <c r="AF3" s="104"/>
      <c r="AG3" s="104"/>
      <c r="AH3" s="104"/>
      <c r="AI3" s="104"/>
      <c r="AJ3" s="104"/>
    </row>
    <row r="4" spans="1:36" x14ac:dyDescent="0.25">
      <c r="A4" s="4"/>
      <c r="B4" s="49">
        <v>550</v>
      </c>
      <c r="C4" s="14">
        <v>1</v>
      </c>
      <c r="D4" s="14">
        <v>4</v>
      </c>
      <c r="E4" s="14">
        <v>3</v>
      </c>
      <c r="F4" s="14">
        <v>4</v>
      </c>
      <c r="G4" s="14">
        <v>0</v>
      </c>
      <c r="H4" s="14">
        <v>0</v>
      </c>
      <c r="I4" s="14">
        <f>SUM(C4:H4)</f>
        <v>12</v>
      </c>
      <c r="K4">
        <v>3</v>
      </c>
      <c r="L4" s="78" t="s">
        <v>191</v>
      </c>
      <c r="M4" s="104" t="s">
        <v>190</v>
      </c>
      <c r="N4" s="104"/>
      <c r="O4" s="104"/>
      <c r="P4" s="104"/>
      <c r="Q4" s="104"/>
      <c r="R4" s="104"/>
      <c r="S4" s="104"/>
      <c r="T4" s="104"/>
      <c r="U4" s="104"/>
      <c r="V4" s="104"/>
      <c r="W4" s="104"/>
      <c r="X4">
        <v>3</v>
      </c>
      <c r="Y4" s="78" t="s">
        <v>191</v>
      </c>
      <c r="Z4" s="104" t="s">
        <v>197</v>
      </c>
      <c r="AA4" s="104"/>
      <c r="AB4" s="104"/>
      <c r="AC4" s="104"/>
      <c r="AD4" s="104"/>
      <c r="AE4" s="104"/>
      <c r="AF4" s="104"/>
      <c r="AG4" s="104"/>
      <c r="AH4" s="104"/>
      <c r="AI4" s="104"/>
      <c r="AJ4" s="104"/>
    </row>
    <row r="5" spans="1:36" x14ac:dyDescent="0.25">
      <c r="A5" s="4"/>
      <c r="B5" s="49">
        <v>352</v>
      </c>
      <c r="C5" s="14">
        <v>1</v>
      </c>
      <c r="D5" s="14">
        <v>2</v>
      </c>
      <c r="E5" s="14">
        <v>3</v>
      </c>
      <c r="F5" s="14">
        <v>4</v>
      </c>
      <c r="G5" s="14">
        <v>3</v>
      </c>
      <c r="H5" s="14">
        <v>3</v>
      </c>
      <c r="I5" s="14">
        <f>SUM(C5:H5)</f>
        <v>16</v>
      </c>
    </row>
    <row r="6" spans="1:36" x14ac:dyDescent="0.25">
      <c r="A6" s="4"/>
      <c r="B6" s="49" t="s">
        <v>104</v>
      </c>
      <c r="C6" s="49">
        <f>MAX(C3:C5)</f>
        <v>1</v>
      </c>
      <c r="D6" s="49">
        <f t="shared" ref="D6:I6" si="0">MAX(D3:D5)</f>
        <v>4</v>
      </c>
      <c r="E6" s="49">
        <f t="shared" si="0"/>
        <v>3</v>
      </c>
      <c r="F6" s="49">
        <f t="shared" si="0"/>
        <v>4</v>
      </c>
      <c r="G6" s="49">
        <f t="shared" si="0"/>
        <v>3</v>
      </c>
      <c r="H6" s="49">
        <f t="shared" si="0"/>
        <v>3</v>
      </c>
      <c r="I6" s="49">
        <f t="shared" si="0"/>
        <v>16</v>
      </c>
      <c r="L6" s="78"/>
      <c r="U6" s="50">
        <f>SUM(U8:U19)</f>
        <v>316005.08</v>
      </c>
      <c r="V6" s="50">
        <f>SUM(V8:V19)</f>
        <v>379206.09600000002</v>
      </c>
      <c r="Y6" s="78"/>
      <c r="AH6" s="50">
        <f>SUM(AH8:AH19)</f>
        <v>313679.12</v>
      </c>
      <c r="AI6" s="50">
        <f>SUM(AI8:AI19)</f>
        <v>376414.94400000002</v>
      </c>
    </row>
    <row r="7" spans="1:36" x14ac:dyDescent="0.25">
      <c r="K7" s="53" t="s">
        <v>53</v>
      </c>
      <c r="L7" s="18" t="s">
        <v>34</v>
      </c>
      <c r="M7" s="18" t="s">
        <v>54</v>
      </c>
      <c r="N7" s="18" t="s">
        <v>36</v>
      </c>
      <c r="O7" s="18" t="s">
        <v>37</v>
      </c>
      <c r="P7" s="18" t="s">
        <v>38</v>
      </c>
      <c r="Q7" s="18" t="s">
        <v>39</v>
      </c>
      <c r="R7" s="18" t="s">
        <v>40</v>
      </c>
      <c r="S7" s="18" t="s">
        <v>41</v>
      </c>
      <c r="T7" s="18" t="s">
        <v>35</v>
      </c>
      <c r="U7" s="18" t="s">
        <v>81</v>
      </c>
      <c r="V7" s="77" t="s">
        <v>186</v>
      </c>
      <c r="X7" s="53" t="s">
        <v>53</v>
      </c>
      <c r="Y7" s="18" t="s">
        <v>34</v>
      </c>
      <c r="Z7" s="18" t="s">
        <v>54</v>
      </c>
      <c r="AA7" s="18" t="s">
        <v>36</v>
      </c>
      <c r="AB7" s="18" t="s">
        <v>37</v>
      </c>
      <c r="AC7" s="18" t="s">
        <v>38</v>
      </c>
      <c r="AD7" s="18" t="s">
        <v>39</v>
      </c>
      <c r="AE7" s="18" t="s">
        <v>40</v>
      </c>
      <c r="AF7" s="18" t="s">
        <v>41</v>
      </c>
      <c r="AG7" s="18" t="s">
        <v>35</v>
      </c>
      <c r="AH7" s="18" t="s">
        <v>81</v>
      </c>
      <c r="AI7" s="77" t="s">
        <v>186</v>
      </c>
    </row>
    <row r="8" spans="1:36" x14ac:dyDescent="0.25">
      <c r="K8" s="54" t="s">
        <v>42</v>
      </c>
      <c r="L8" s="55" t="s">
        <v>29</v>
      </c>
      <c r="M8" s="19"/>
      <c r="N8" s="56">
        <v>14</v>
      </c>
      <c r="O8" s="20">
        <v>14</v>
      </c>
      <c r="P8" s="56">
        <v>5</v>
      </c>
      <c r="Q8" s="20">
        <v>0</v>
      </c>
      <c r="R8" s="56">
        <v>0</v>
      </c>
      <c r="S8" s="20">
        <v>0</v>
      </c>
      <c r="T8" s="56">
        <v>19</v>
      </c>
      <c r="U8" s="48">
        <f>(18290+9186)*1.06</f>
        <v>29124.560000000001</v>
      </c>
      <c r="V8" s="50">
        <f>U8*1.2</f>
        <v>34949.472000000002</v>
      </c>
      <c r="X8" s="54" t="s">
        <v>42</v>
      </c>
      <c r="Y8" s="55" t="s">
        <v>29</v>
      </c>
      <c r="Z8" s="19"/>
      <c r="AA8" s="56">
        <v>14</v>
      </c>
      <c r="AB8" s="20">
        <v>13.2</v>
      </c>
      <c r="AC8" s="56">
        <v>4</v>
      </c>
      <c r="AD8" s="20">
        <v>0</v>
      </c>
      <c r="AE8" s="56">
        <v>0</v>
      </c>
      <c r="AF8" s="20">
        <v>0</v>
      </c>
      <c r="AG8" s="56">
        <v>19</v>
      </c>
      <c r="AH8" s="48">
        <f>(18290+6200)*1.06</f>
        <v>25959.4</v>
      </c>
      <c r="AI8" s="50">
        <f>AH8*1.2</f>
        <v>31151.279999999999</v>
      </c>
    </row>
    <row r="9" spans="1:36" x14ac:dyDescent="0.25">
      <c r="K9" s="54" t="s">
        <v>90</v>
      </c>
      <c r="L9" s="55" t="s">
        <v>101</v>
      </c>
      <c r="M9" s="21" t="s">
        <v>106</v>
      </c>
      <c r="N9" s="23">
        <v>0</v>
      </c>
      <c r="O9" s="22">
        <v>14</v>
      </c>
      <c r="P9" s="22">
        <f>10+1/7</f>
        <v>10.142857142857142</v>
      </c>
      <c r="Q9" s="20">
        <v>2</v>
      </c>
      <c r="R9" s="23">
        <v>2</v>
      </c>
      <c r="S9" s="22">
        <v>10</v>
      </c>
      <c r="T9" s="23">
        <v>17.5</v>
      </c>
      <c r="U9" s="48">
        <f>(18370+1500+1315)*1.049</f>
        <v>22223.064999999999</v>
      </c>
      <c r="V9" s="50">
        <f t="shared" ref="V9:V18" si="1">U9*1.2</f>
        <v>26667.677999999996</v>
      </c>
      <c r="X9" s="54" t="s">
        <v>90</v>
      </c>
      <c r="Y9" s="55" t="s">
        <v>101</v>
      </c>
      <c r="Z9" s="21" t="s">
        <v>106</v>
      </c>
      <c r="AA9" s="23">
        <v>0</v>
      </c>
      <c r="AB9" s="22">
        <v>14</v>
      </c>
      <c r="AC9" s="22">
        <f>10+2/7</f>
        <v>10.285714285714286</v>
      </c>
      <c r="AD9" s="20">
        <v>2</v>
      </c>
      <c r="AE9" s="23">
        <v>2</v>
      </c>
      <c r="AF9" s="22">
        <v>10</v>
      </c>
      <c r="AG9" s="23">
        <v>17.5</v>
      </c>
      <c r="AH9" s="48">
        <f>(18370+1700+1315)*1.049</f>
        <v>22432.864999999998</v>
      </c>
      <c r="AI9" s="50">
        <f t="shared" ref="AI9:AI18" si="2">AH9*1.2</f>
        <v>26919.437999999998</v>
      </c>
    </row>
    <row r="10" spans="1:36" x14ac:dyDescent="0.25">
      <c r="K10" s="54" t="s">
        <v>45</v>
      </c>
      <c r="L10" s="55" t="s">
        <v>195</v>
      </c>
      <c r="M10" s="21" t="s">
        <v>106</v>
      </c>
      <c r="N10" s="23">
        <v>0</v>
      </c>
      <c r="O10" s="22">
        <v>14</v>
      </c>
      <c r="P10" s="22">
        <f>10+1/7</f>
        <v>10.142857142857142</v>
      </c>
      <c r="Q10" s="20">
        <v>2</v>
      </c>
      <c r="R10" s="23">
        <v>2</v>
      </c>
      <c r="S10" s="22">
        <v>10</v>
      </c>
      <c r="T10" s="23">
        <v>17.5</v>
      </c>
      <c r="U10" s="48">
        <f>(18370+1500+1315)*1.049</f>
        <v>22223.064999999999</v>
      </c>
      <c r="V10" s="50">
        <f t="shared" si="1"/>
        <v>26667.677999999996</v>
      </c>
      <c r="X10" s="54" t="s">
        <v>45</v>
      </c>
      <c r="Y10" s="55" t="s">
        <v>195</v>
      </c>
      <c r="Z10" s="21" t="s">
        <v>106</v>
      </c>
      <c r="AA10" s="23">
        <v>0</v>
      </c>
      <c r="AB10" s="22">
        <v>14</v>
      </c>
      <c r="AC10" s="22">
        <f>10+2/7</f>
        <v>10.285714285714286</v>
      </c>
      <c r="AD10" s="20">
        <v>2</v>
      </c>
      <c r="AE10" s="23">
        <v>2</v>
      </c>
      <c r="AF10" s="22">
        <v>10</v>
      </c>
      <c r="AG10" s="23">
        <v>17.5</v>
      </c>
      <c r="AH10" s="48">
        <f t="shared" ref="AH10:AH12" si="3">(18370+1700+1315)*1.049</f>
        <v>22432.864999999998</v>
      </c>
      <c r="AI10" s="50">
        <f t="shared" si="2"/>
        <v>26919.437999999998</v>
      </c>
    </row>
    <row r="11" spans="1:36" x14ac:dyDescent="0.25">
      <c r="K11" s="54" t="s">
        <v>43</v>
      </c>
      <c r="L11" s="55" t="s">
        <v>195</v>
      </c>
      <c r="M11" s="21" t="s">
        <v>106</v>
      </c>
      <c r="N11" s="23">
        <v>0</v>
      </c>
      <c r="O11" s="22">
        <v>14</v>
      </c>
      <c r="P11" s="22">
        <f>10+1/7</f>
        <v>10.142857142857142</v>
      </c>
      <c r="Q11" s="20">
        <v>2</v>
      </c>
      <c r="R11" s="23">
        <v>2</v>
      </c>
      <c r="S11" s="22">
        <v>10</v>
      </c>
      <c r="T11" s="23">
        <v>17.5</v>
      </c>
      <c r="U11" s="48">
        <f>(18370+1500+1315)*1.049</f>
        <v>22223.064999999999</v>
      </c>
      <c r="V11" s="50">
        <f t="shared" si="1"/>
        <v>26667.677999999996</v>
      </c>
      <c r="X11" s="54" t="s">
        <v>43</v>
      </c>
      <c r="Y11" s="55" t="s">
        <v>195</v>
      </c>
      <c r="Z11" s="21" t="s">
        <v>106</v>
      </c>
      <c r="AA11" s="23">
        <v>0</v>
      </c>
      <c r="AB11" s="22">
        <v>14</v>
      </c>
      <c r="AC11" s="22">
        <f>10+2/7</f>
        <v>10.285714285714286</v>
      </c>
      <c r="AD11" s="20">
        <v>2</v>
      </c>
      <c r="AE11" s="23">
        <v>2</v>
      </c>
      <c r="AF11" s="22">
        <v>10</v>
      </c>
      <c r="AG11" s="23">
        <v>17.5</v>
      </c>
      <c r="AH11" s="48">
        <f t="shared" si="3"/>
        <v>22432.864999999998</v>
      </c>
      <c r="AI11" s="50">
        <f t="shared" si="2"/>
        <v>26919.437999999998</v>
      </c>
    </row>
    <row r="12" spans="1:36" x14ac:dyDescent="0.25">
      <c r="K12" s="54" t="s">
        <v>44</v>
      </c>
      <c r="L12" s="55" t="s">
        <v>195</v>
      </c>
      <c r="M12" s="21" t="s">
        <v>106</v>
      </c>
      <c r="N12" s="23">
        <v>0</v>
      </c>
      <c r="O12" s="22">
        <v>14</v>
      </c>
      <c r="P12" s="22">
        <f>10+1/7</f>
        <v>10.142857142857142</v>
      </c>
      <c r="Q12" s="20">
        <v>2</v>
      </c>
      <c r="R12" s="23">
        <v>2</v>
      </c>
      <c r="S12" s="22">
        <v>10</v>
      </c>
      <c r="T12" s="23">
        <v>17.5</v>
      </c>
      <c r="U12" s="48">
        <f>(18370+1500+1315)*1.049</f>
        <v>22223.064999999999</v>
      </c>
      <c r="V12" s="50">
        <f t="shared" si="1"/>
        <v>26667.677999999996</v>
      </c>
      <c r="X12" s="54" t="s">
        <v>44</v>
      </c>
      <c r="Y12" s="55" t="s">
        <v>195</v>
      </c>
      <c r="Z12" s="21" t="s">
        <v>106</v>
      </c>
      <c r="AA12" s="23">
        <v>0</v>
      </c>
      <c r="AB12" s="22">
        <v>14</v>
      </c>
      <c r="AC12" s="22">
        <f>10+2/7</f>
        <v>10.285714285714286</v>
      </c>
      <c r="AD12" s="20">
        <v>2</v>
      </c>
      <c r="AE12" s="23">
        <v>2</v>
      </c>
      <c r="AF12" s="22">
        <v>10</v>
      </c>
      <c r="AG12" s="23">
        <v>17.5</v>
      </c>
      <c r="AH12" s="48">
        <f t="shared" si="3"/>
        <v>22432.864999999998</v>
      </c>
      <c r="AI12" s="50">
        <f t="shared" si="2"/>
        <v>26919.437999999998</v>
      </c>
    </row>
    <row r="13" spans="1:36" x14ac:dyDescent="0.25">
      <c r="K13" s="54" t="s">
        <v>50</v>
      </c>
      <c r="L13" s="55" t="s">
        <v>196</v>
      </c>
      <c r="M13" s="21" t="s">
        <v>106</v>
      </c>
      <c r="N13" s="23">
        <v>0</v>
      </c>
      <c r="O13" s="22">
        <v>14</v>
      </c>
      <c r="P13" s="22">
        <v>14</v>
      </c>
      <c r="Q13" s="20">
        <v>2</v>
      </c>
      <c r="R13" s="23">
        <v>2</v>
      </c>
      <c r="S13" s="22">
        <v>10</v>
      </c>
      <c r="T13" s="23">
        <v>17.5</v>
      </c>
      <c r="U13" s="48">
        <f>(22460+9186+1315)*1.049</f>
        <v>34576.089</v>
      </c>
      <c r="V13" s="50">
        <f t="shared" si="1"/>
        <v>41491.306799999998</v>
      </c>
      <c r="X13" s="54" t="s">
        <v>50</v>
      </c>
      <c r="Y13" s="55" t="s">
        <v>196</v>
      </c>
      <c r="Z13" s="21" t="s">
        <v>106</v>
      </c>
      <c r="AA13" s="23">
        <v>0</v>
      </c>
      <c r="AB13" s="22">
        <v>14</v>
      </c>
      <c r="AC13" s="22">
        <v>14</v>
      </c>
      <c r="AD13" s="20">
        <v>2</v>
      </c>
      <c r="AE13" s="23">
        <v>2</v>
      </c>
      <c r="AF13" s="22">
        <v>10</v>
      </c>
      <c r="AG13" s="23">
        <v>17.5</v>
      </c>
      <c r="AH13" s="48">
        <f>(22460+9186+1315)*1.049</f>
        <v>34576.089</v>
      </c>
      <c r="AI13" s="50">
        <f t="shared" si="2"/>
        <v>41491.306799999998</v>
      </c>
    </row>
    <row r="14" spans="1:36" x14ac:dyDescent="0.25">
      <c r="K14" s="54" t="s">
        <v>48</v>
      </c>
      <c r="L14" s="55" t="s">
        <v>196</v>
      </c>
      <c r="M14" s="21" t="s">
        <v>106</v>
      </c>
      <c r="N14" s="23">
        <v>0</v>
      </c>
      <c r="O14" s="22">
        <v>14</v>
      </c>
      <c r="P14" s="22">
        <v>14</v>
      </c>
      <c r="Q14" s="20">
        <v>2</v>
      </c>
      <c r="R14" s="23">
        <v>2</v>
      </c>
      <c r="S14" s="22">
        <v>10</v>
      </c>
      <c r="T14" s="23">
        <v>17.5</v>
      </c>
      <c r="U14" s="48">
        <f t="shared" ref="U14:U17" si="4">(22460+9186+1315)*1.049</f>
        <v>34576.089</v>
      </c>
      <c r="V14" s="50">
        <f t="shared" si="1"/>
        <v>41491.306799999998</v>
      </c>
      <c r="X14" s="54" t="s">
        <v>48</v>
      </c>
      <c r="Y14" s="55" t="s">
        <v>196</v>
      </c>
      <c r="Z14" s="21" t="s">
        <v>106</v>
      </c>
      <c r="AA14" s="23">
        <v>0</v>
      </c>
      <c r="AB14" s="22">
        <v>14</v>
      </c>
      <c r="AC14" s="22">
        <v>14</v>
      </c>
      <c r="AD14" s="20">
        <v>2</v>
      </c>
      <c r="AE14" s="23">
        <v>2</v>
      </c>
      <c r="AF14" s="22">
        <v>10</v>
      </c>
      <c r="AG14" s="23">
        <v>17.5</v>
      </c>
      <c r="AH14" s="48">
        <f t="shared" ref="AH14:AH17" si="5">(22460+9186+1315)*1.049</f>
        <v>34576.089</v>
      </c>
      <c r="AI14" s="50">
        <f t="shared" si="2"/>
        <v>41491.306799999998</v>
      </c>
    </row>
    <row r="15" spans="1:36" x14ac:dyDescent="0.25">
      <c r="K15" s="54" t="s">
        <v>46</v>
      </c>
      <c r="L15" s="55" t="s">
        <v>196</v>
      </c>
      <c r="M15" s="21" t="s">
        <v>106</v>
      </c>
      <c r="N15" s="23">
        <v>0</v>
      </c>
      <c r="O15" s="22">
        <v>14</v>
      </c>
      <c r="P15" s="22">
        <v>14</v>
      </c>
      <c r="Q15" s="20">
        <v>2</v>
      </c>
      <c r="R15" s="23">
        <v>2</v>
      </c>
      <c r="S15" s="22">
        <v>10</v>
      </c>
      <c r="T15" s="23">
        <v>19</v>
      </c>
      <c r="U15" s="48">
        <f t="shared" si="4"/>
        <v>34576.089</v>
      </c>
      <c r="V15" s="50">
        <f t="shared" si="1"/>
        <v>41491.306799999998</v>
      </c>
      <c r="X15" s="54" t="s">
        <v>46</v>
      </c>
      <c r="Y15" s="55" t="s">
        <v>196</v>
      </c>
      <c r="Z15" s="21" t="s">
        <v>106</v>
      </c>
      <c r="AA15" s="23">
        <v>0</v>
      </c>
      <c r="AB15" s="22">
        <v>14</v>
      </c>
      <c r="AC15" s="22">
        <v>14</v>
      </c>
      <c r="AD15" s="20">
        <v>2</v>
      </c>
      <c r="AE15" s="23">
        <v>2</v>
      </c>
      <c r="AF15" s="22">
        <v>10</v>
      </c>
      <c r="AG15" s="23">
        <v>19</v>
      </c>
      <c r="AH15" s="48">
        <f t="shared" si="5"/>
        <v>34576.089</v>
      </c>
      <c r="AI15" s="50">
        <f t="shared" si="2"/>
        <v>41491.306799999998</v>
      </c>
    </row>
    <row r="16" spans="1:36" x14ac:dyDescent="0.25">
      <c r="K16" s="54" t="s">
        <v>47</v>
      </c>
      <c r="L16" s="55" t="s">
        <v>196</v>
      </c>
      <c r="M16" s="21" t="s">
        <v>181</v>
      </c>
      <c r="N16" s="23">
        <v>0</v>
      </c>
      <c r="O16" s="22">
        <v>14</v>
      </c>
      <c r="P16" s="22">
        <v>14</v>
      </c>
      <c r="Q16" s="20">
        <v>2</v>
      </c>
      <c r="R16" s="23">
        <v>2</v>
      </c>
      <c r="S16" s="22">
        <v>10</v>
      </c>
      <c r="T16" s="23">
        <v>19</v>
      </c>
      <c r="U16" s="48">
        <f t="shared" si="4"/>
        <v>34576.089</v>
      </c>
      <c r="V16" s="50">
        <f t="shared" si="1"/>
        <v>41491.306799999998</v>
      </c>
      <c r="X16" s="54" t="s">
        <v>47</v>
      </c>
      <c r="Y16" s="55" t="s">
        <v>196</v>
      </c>
      <c r="Z16" s="21" t="s">
        <v>181</v>
      </c>
      <c r="AA16" s="23">
        <v>0</v>
      </c>
      <c r="AB16" s="22">
        <v>14</v>
      </c>
      <c r="AC16" s="22">
        <v>14</v>
      </c>
      <c r="AD16" s="20">
        <v>2</v>
      </c>
      <c r="AE16" s="23">
        <v>2</v>
      </c>
      <c r="AF16" s="22">
        <v>10</v>
      </c>
      <c r="AG16" s="23">
        <v>19</v>
      </c>
      <c r="AH16" s="48">
        <f t="shared" si="5"/>
        <v>34576.089</v>
      </c>
      <c r="AI16" s="50">
        <f t="shared" si="2"/>
        <v>41491.306799999998</v>
      </c>
    </row>
    <row r="17" spans="1:35" x14ac:dyDescent="0.25">
      <c r="K17" s="54" t="s">
        <v>49</v>
      </c>
      <c r="L17" s="55" t="s">
        <v>196</v>
      </c>
      <c r="M17" s="21" t="s">
        <v>181</v>
      </c>
      <c r="N17" s="23">
        <v>0</v>
      </c>
      <c r="O17" s="22">
        <v>14</v>
      </c>
      <c r="P17" s="22">
        <v>14</v>
      </c>
      <c r="Q17" s="20">
        <v>2</v>
      </c>
      <c r="R17" s="23">
        <v>2</v>
      </c>
      <c r="S17" s="22">
        <v>10</v>
      </c>
      <c r="T17" s="23">
        <v>19</v>
      </c>
      <c r="U17" s="48">
        <f t="shared" si="4"/>
        <v>34576.089</v>
      </c>
      <c r="V17" s="50">
        <f t="shared" si="1"/>
        <v>41491.306799999998</v>
      </c>
      <c r="X17" s="54" t="s">
        <v>49</v>
      </c>
      <c r="Y17" s="55" t="s">
        <v>196</v>
      </c>
      <c r="Z17" s="21" t="s">
        <v>181</v>
      </c>
      <c r="AA17" s="23">
        <v>0</v>
      </c>
      <c r="AB17" s="22">
        <v>14</v>
      </c>
      <c r="AC17" s="22">
        <v>14</v>
      </c>
      <c r="AD17" s="20">
        <v>2</v>
      </c>
      <c r="AE17" s="23">
        <v>2</v>
      </c>
      <c r="AF17" s="22">
        <v>10</v>
      </c>
      <c r="AG17" s="23">
        <v>19</v>
      </c>
      <c r="AH17" s="48">
        <f t="shared" si="5"/>
        <v>34576.089</v>
      </c>
      <c r="AI17" s="50">
        <f t="shared" si="2"/>
        <v>41491.306799999998</v>
      </c>
    </row>
    <row r="18" spans="1:35" x14ac:dyDescent="0.25">
      <c r="K18" s="54" t="s">
        <v>51</v>
      </c>
      <c r="L18" s="55" t="s">
        <v>175</v>
      </c>
      <c r="M18" s="21" t="s">
        <v>106</v>
      </c>
      <c r="N18" s="23">
        <v>0</v>
      </c>
      <c r="O18" s="22">
        <v>6</v>
      </c>
      <c r="P18" s="22">
        <v>14</v>
      </c>
      <c r="Q18" s="20">
        <v>2</v>
      </c>
      <c r="R18" s="23">
        <v>2</v>
      </c>
      <c r="S18" s="22">
        <v>10</v>
      </c>
      <c r="T18" s="23">
        <v>17.5</v>
      </c>
      <c r="U18" s="48">
        <f>(22460+160+1315)*1.049</f>
        <v>25107.814999999999</v>
      </c>
      <c r="V18" s="50">
        <f t="shared" si="1"/>
        <v>30129.377999999997</v>
      </c>
      <c r="X18" s="54" t="s">
        <v>51</v>
      </c>
      <c r="Y18" s="55" t="s">
        <v>175</v>
      </c>
      <c r="Z18" s="21" t="s">
        <v>106</v>
      </c>
      <c r="AA18" s="23">
        <v>0</v>
      </c>
      <c r="AB18" s="22">
        <v>6</v>
      </c>
      <c r="AC18" s="22">
        <v>14</v>
      </c>
      <c r="AD18" s="20">
        <v>2</v>
      </c>
      <c r="AE18" s="23">
        <v>2</v>
      </c>
      <c r="AF18" s="22">
        <v>10</v>
      </c>
      <c r="AG18" s="23">
        <v>17.5</v>
      </c>
      <c r="AH18" s="48">
        <f>(22460+160+1315)*1.049</f>
        <v>25107.814999999999</v>
      </c>
      <c r="AI18" s="50">
        <f t="shared" si="2"/>
        <v>30129.377999999997</v>
      </c>
    </row>
    <row r="20" spans="1:35" x14ac:dyDescent="0.25">
      <c r="L20" s="79" t="s">
        <v>136</v>
      </c>
      <c r="M20">
        <v>77</v>
      </c>
      <c r="Y20" s="79" t="s">
        <v>136</v>
      </c>
      <c r="Z20">
        <v>68</v>
      </c>
    </row>
    <row r="21" spans="1:35" s="1" customFormat="1" x14ac:dyDescent="0.25">
      <c r="A21"/>
      <c r="B21"/>
      <c r="C21"/>
      <c r="D21"/>
      <c r="E21"/>
      <c r="F21"/>
      <c r="G21"/>
      <c r="H21"/>
      <c r="I21"/>
      <c r="J21"/>
      <c r="K21"/>
      <c r="L21" s="79" t="s">
        <v>134</v>
      </c>
      <c r="M21">
        <v>66</v>
      </c>
      <c r="N21"/>
      <c r="O21"/>
      <c r="P21"/>
      <c r="Q21"/>
      <c r="R21"/>
      <c r="S21"/>
      <c r="T21"/>
      <c r="U21"/>
      <c r="V21"/>
      <c r="X21"/>
      <c r="Y21" s="79" t="s">
        <v>134</v>
      </c>
      <c r="Z21">
        <v>57</v>
      </c>
      <c r="AA21"/>
      <c r="AB21"/>
      <c r="AC21"/>
      <c r="AD21"/>
      <c r="AE21"/>
      <c r="AF21"/>
      <c r="AG21"/>
      <c r="AH21"/>
      <c r="AI21"/>
    </row>
    <row r="22" spans="1:35" x14ac:dyDescent="0.25">
      <c r="L22" s="79" t="s">
        <v>28</v>
      </c>
      <c r="M22">
        <v>27</v>
      </c>
      <c r="Y22" s="79" t="s">
        <v>28</v>
      </c>
      <c r="Z22">
        <v>24</v>
      </c>
    </row>
    <row r="23" spans="1:35" x14ac:dyDescent="0.25">
      <c r="L23" s="79" t="s">
        <v>78</v>
      </c>
      <c r="M23">
        <f>M22+M21+M20</f>
        <v>170</v>
      </c>
      <c r="Y23" s="79" t="s">
        <v>78</v>
      </c>
      <c r="Z23">
        <f>Z22+Z21+Z20</f>
        <v>149</v>
      </c>
    </row>
    <row r="24" spans="1:35" x14ac:dyDescent="0.25">
      <c r="L24" s="79" t="s">
        <v>194</v>
      </c>
      <c r="M24" s="30">
        <f>M23/16</f>
        <v>10.625</v>
      </c>
      <c r="Y24" s="79" t="s">
        <v>194</v>
      </c>
      <c r="Z24" s="30">
        <f>Z23/16</f>
        <v>9.3125</v>
      </c>
    </row>
  </sheetData>
  <mergeCells count="7">
    <mergeCell ref="C1:I1"/>
    <mergeCell ref="M2:W2"/>
    <mergeCell ref="M3:W3"/>
    <mergeCell ref="M4:W4"/>
    <mergeCell ref="Z2:AJ2"/>
    <mergeCell ref="Z3:AJ3"/>
    <mergeCell ref="Z4:AJ4"/>
  </mergeCells>
  <conditionalFormatting sqref="N8:T18">
    <cfRule type="colorScale" priority="4">
      <colorScale>
        <cfvo type="min"/>
        <cfvo type="max"/>
        <color rgb="FFFFEF9C"/>
        <color rgb="FF63BE7B"/>
      </colorScale>
    </cfRule>
  </conditionalFormatting>
  <conditionalFormatting sqref="AA8:AG1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CR30"/>
  <sheetViews>
    <sheetView workbookViewId="0">
      <selection activeCell="D19" sqref="D19"/>
    </sheetView>
  </sheetViews>
  <sheetFormatPr baseColWidth="10" defaultRowHeight="15" x14ac:dyDescent="0.25"/>
  <cols>
    <col min="1" max="1" width="5.140625" bestFit="1" customWidth="1"/>
    <col min="2" max="2" width="10.42578125" bestFit="1" customWidth="1"/>
    <col min="3" max="3" width="8.5703125" bestFit="1" customWidth="1"/>
    <col min="4" max="7" width="4.5703125" bestFit="1" customWidth="1"/>
    <col min="8" max="8" width="3.5703125" bestFit="1" customWidth="1"/>
    <col min="9" max="10" width="4.5703125" bestFit="1" customWidth="1"/>
    <col min="11" max="11" width="8.28515625" bestFit="1" customWidth="1"/>
    <col min="12" max="12" width="13.140625" bestFit="1" customWidth="1"/>
    <col min="13" max="13" width="8.42578125" bestFit="1" customWidth="1"/>
    <col min="14" max="14" width="7.7109375" bestFit="1" customWidth="1"/>
    <col min="15" max="15" width="11.28515625" customWidth="1"/>
    <col min="17" max="17" width="9.5703125" bestFit="1" customWidth="1"/>
    <col min="18" max="18" width="9.7109375" customWidth="1"/>
    <col min="19" max="19" width="6" customWidth="1"/>
    <col min="20" max="20" width="9.140625" customWidth="1"/>
    <col min="21" max="21" width="6" customWidth="1"/>
    <col min="22" max="22" width="9" customWidth="1"/>
    <col min="23" max="23" width="6" customWidth="1"/>
    <col min="24" max="24" width="12.85546875" bestFit="1" customWidth="1"/>
    <col min="25" max="25" width="6" customWidth="1"/>
    <col min="26" max="26" width="9" customWidth="1"/>
    <col min="29" max="29" width="7.28515625" bestFit="1" customWidth="1"/>
    <col min="30" max="30" width="13" bestFit="1" customWidth="1"/>
    <col min="31" max="31" width="7.42578125" bestFit="1" customWidth="1"/>
    <col min="32" max="32" width="7.7109375" bestFit="1" customWidth="1"/>
    <col min="33" max="33" width="7.42578125" bestFit="1" customWidth="1"/>
    <col min="34" max="34" width="5.5703125" bestFit="1" customWidth="1"/>
    <col min="35" max="35" width="6.42578125" bestFit="1" customWidth="1"/>
    <col min="36" max="36" width="6.85546875" bestFit="1" customWidth="1"/>
    <col min="37" max="37" width="6.42578125" bestFit="1" customWidth="1"/>
    <col min="38" max="40" width="5.5703125" bestFit="1" customWidth="1"/>
    <col min="41" max="42" width="6.140625" bestFit="1" customWidth="1"/>
    <col min="43" max="43" width="6.85546875" bestFit="1" customWidth="1"/>
    <col min="44" max="44" width="7.140625" bestFit="1" customWidth="1"/>
    <col min="45" max="45" width="7.7109375" bestFit="1" customWidth="1"/>
    <col min="46" max="46" width="7.85546875" bestFit="1" customWidth="1"/>
    <col min="47" max="47" width="7.42578125" bestFit="1" customWidth="1"/>
    <col min="48" max="48" width="10" bestFit="1" customWidth="1"/>
    <col min="49" max="49" width="7.85546875" bestFit="1" customWidth="1"/>
    <col min="50" max="50" width="7.42578125" bestFit="1" customWidth="1"/>
    <col min="51" max="51" width="5.140625" bestFit="1" customWidth="1"/>
    <col min="52" max="52" width="9.7109375" bestFit="1" customWidth="1"/>
    <col min="53" max="53" width="7.85546875" bestFit="1" customWidth="1"/>
    <col min="54" max="54" width="5.14062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7.42578125" bestFit="1" customWidth="1"/>
    <col min="61" max="61" width="7.85546875" bestFit="1" customWidth="1"/>
    <col min="62" max="62" width="5.140625" bestFit="1" customWidth="1"/>
    <col min="63" max="63" width="6.42578125" bestFit="1" customWidth="1"/>
    <col min="64" max="64" width="6.85546875" bestFit="1" customWidth="1"/>
    <col min="65" max="65" width="7.42578125" bestFit="1" customWidth="1"/>
    <col min="66" max="66" width="7.85546875" bestFit="1" customWidth="1"/>
    <col min="67" max="67" width="7.4257812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6.42578125" bestFit="1" customWidth="1"/>
    <col min="72" max="72" width="7.42578125" bestFit="1" customWidth="1"/>
    <col min="73" max="73" width="7.85546875" bestFit="1" customWidth="1"/>
    <col min="74" max="74" width="7.42578125" bestFit="1" customWidth="1"/>
    <col min="75" max="75" width="5.140625" bestFit="1" customWidth="1"/>
    <col min="76" max="76" width="6.42578125" bestFit="1" customWidth="1"/>
    <col min="77" max="77" width="6.85546875" bestFit="1" customWidth="1"/>
    <col min="78" max="78" width="6.42578125" bestFit="1" customWidth="1"/>
    <col min="79" max="79" width="7.42578125" bestFit="1" customWidth="1"/>
    <col min="80" max="80" width="7.85546875" bestFit="1" customWidth="1"/>
    <col min="81" max="81" width="5.140625" bestFit="1" customWidth="1"/>
    <col min="82" max="82" width="6.42578125" bestFit="1" customWidth="1"/>
    <col min="83" max="83" width="6.85546875" bestFit="1" customWidth="1"/>
    <col min="84" max="84" width="7.42578125" bestFit="1" customWidth="1"/>
    <col min="85" max="85" width="7.85546875" bestFit="1" customWidth="1"/>
    <col min="86" max="86" width="5.140625" bestFit="1" customWidth="1"/>
    <col min="87" max="87" width="6.42578125" bestFit="1" customWidth="1"/>
    <col min="88" max="88" width="6.85546875" bestFit="1" customWidth="1"/>
    <col min="89" max="89" width="5.140625" bestFit="1" customWidth="1"/>
    <col min="90" max="90" width="6.42578125" bestFit="1" customWidth="1"/>
    <col min="91" max="91" width="6.85546875" bestFit="1" customWidth="1"/>
    <col min="92" max="93" width="6.42578125" bestFit="1" customWidth="1"/>
    <col min="94" max="94" width="6.85546875" bestFit="1" customWidth="1"/>
    <col min="95" max="95" width="6.42578125" bestFit="1" customWidth="1"/>
    <col min="96" max="96" width="5.140625" bestFit="1" customWidth="1"/>
  </cols>
  <sheetData>
    <row r="1" spans="1:96" x14ac:dyDescent="0.25">
      <c r="A1" s="1" t="s">
        <v>187</v>
      </c>
      <c r="D1" s="4"/>
      <c r="E1" s="4"/>
      <c r="F1" s="4"/>
      <c r="G1" s="4"/>
      <c r="J1" s="84"/>
      <c r="K1" s="84"/>
      <c r="L1" s="84"/>
      <c r="R1" s="1"/>
      <c r="S1" s="1"/>
      <c r="T1" s="1"/>
      <c r="U1" s="1"/>
      <c r="V1" s="1" t="s">
        <v>159</v>
      </c>
      <c r="W1" s="1"/>
      <c r="X1" s="1"/>
      <c r="Y1" s="1"/>
      <c r="Z1" s="1"/>
      <c r="AS1" t="s">
        <v>188</v>
      </c>
      <c r="AV1" t="s">
        <v>215</v>
      </c>
      <c r="AZ1" t="s">
        <v>216</v>
      </c>
      <c r="BD1" t="s">
        <v>217</v>
      </c>
      <c r="BH1" t="s">
        <v>218</v>
      </c>
      <c r="BM1" t="s">
        <v>219</v>
      </c>
      <c r="BT1" t="s">
        <v>220</v>
      </c>
      <c r="CA1" t="s">
        <v>105</v>
      </c>
      <c r="CF1" t="s">
        <v>221</v>
      </c>
      <c r="CK1" t="s">
        <v>175</v>
      </c>
      <c r="CO1" t="s">
        <v>52</v>
      </c>
    </row>
    <row r="2" spans="1:96" x14ac:dyDescent="0.25">
      <c r="A2">
        <v>1</v>
      </c>
      <c r="B2" s="84" t="s">
        <v>188</v>
      </c>
      <c r="C2" s="104" t="s">
        <v>200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R2" s="1"/>
      <c r="S2" s="1"/>
      <c r="T2" s="1"/>
      <c r="U2" s="1"/>
      <c r="V2" s="1"/>
      <c r="W2" s="1"/>
      <c r="X2" s="1"/>
      <c r="Y2" s="1"/>
      <c r="Z2" s="1"/>
      <c r="AC2" s="87" t="s">
        <v>54</v>
      </c>
      <c r="AD2" s="87" t="s">
        <v>222</v>
      </c>
      <c r="AE2" s="88" t="s">
        <v>223</v>
      </c>
      <c r="AF2" s="88" t="s">
        <v>224</v>
      </c>
      <c r="AG2" s="88" t="s">
        <v>29</v>
      </c>
      <c r="AH2" s="88" t="s">
        <v>32</v>
      </c>
      <c r="AI2" s="88" t="s">
        <v>26</v>
      </c>
      <c r="AJ2" s="88" t="s">
        <v>225</v>
      </c>
      <c r="AK2" s="88" t="s">
        <v>169</v>
      </c>
      <c r="AL2" s="88" t="s">
        <v>55</v>
      </c>
      <c r="AM2" s="88" t="s">
        <v>28</v>
      </c>
      <c r="AN2" s="89" t="s">
        <v>226</v>
      </c>
      <c r="AO2" s="89" t="s">
        <v>227</v>
      </c>
      <c r="AP2" s="89" t="s">
        <v>228</v>
      </c>
      <c r="AQ2" s="89" t="s">
        <v>229</v>
      </c>
      <c r="AR2" s="89" t="s">
        <v>230</v>
      </c>
      <c r="AS2" s="90" t="s">
        <v>185</v>
      </c>
      <c r="AT2" s="90" t="s">
        <v>231</v>
      </c>
      <c r="AU2" s="90" t="s">
        <v>185</v>
      </c>
      <c r="AV2" s="91" t="s">
        <v>185</v>
      </c>
      <c r="AW2" s="91" t="s">
        <v>231</v>
      </c>
      <c r="AX2" s="91" t="s">
        <v>185</v>
      </c>
      <c r="AY2" s="91" t="s">
        <v>232</v>
      </c>
      <c r="AZ2" s="90" t="s">
        <v>185</v>
      </c>
      <c r="BA2" s="90" t="s">
        <v>231</v>
      </c>
      <c r="BB2" s="90" t="s">
        <v>232</v>
      </c>
      <c r="BC2" s="90" t="s">
        <v>233</v>
      </c>
      <c r="BD2" s="90" t="s">
        <v>185</v>
      </c>
      <c r="BE2" s="90" t="s">
        <v>231</v>
      </c>
      <c r="BF2" s="90" t="s">
        <v>232</v>
      </c>
      <c r="BG2" s="90" t="s">
        <v>233</v>
      </c>
      <c r="BH2" s="91" t="s">
        <v>185</v>
      </c>
      <c r="BI2" s="91" t="s">
        <v>231</v>
      </c>
      <c r="BJ2" s="91" t="s">
        <v>232</v>
      </c>
      <c r="BK2" s="91" t="s">
        <v>233</v>
      </c>
      <c r="BL2" s="91" t="s">
        <v>234</v>
      </c>
      <c r="BM2" s="90" t="s">
        <v>185</v>
      </c>
      <c r="BN2" s="90" t="s">
        <v>231</v>
      </c>
      <c r="BO2" s="90" t="s">
        <v>185</v>
      </c>
      <c r="BP2" s="90" t="s">
        <v>232</v>
      </c>
      <c r="BQ2" s="90" t="s">
        <v>233</v>
      </c>
      <c r="BR2" s="90" t="s">
        <v>234</v>
      </c>
      <c r="BS2" s="90" t="s">
        <v>233</v>
      </c>
      <c r="BT2" s="90" t="s">
        <v>185</v>
      </c>
      <c r="BU2" s="90" t="s">
        <v>231</v>
      </c>
      <c r="BV2" s="90" t="s">
        <v>185</v>
      </c>
      <c r="BW2" s="90" t="s">
        <v>232</v>
      </c>
      <c r="BX2" s="90" t="s">
        <v>233</v>
      </c>
      <c r="BY2" s="90" t="s">
        <v>234</v>
      </c>
      <c r="BZ2" s="90" t="s">
        <v>233</v>
      </c>
      <c r="CA2" s="91" t="s">
        <v>185</v>
      </c>
      <c r="CB2" s="91" t="s">
        <v>231</v>
      </c>
      <c r="CC2" s="91" t="s">
        <v>232</v>
      </c>
      <c r="CD2" s="91" t="s">
        <v>233</v>
      </c>
      <c r="CE2" s="91" t="s">
        <v>234</v>
      </c>
      <c r="CF2" s="90" t="s">
        <v>185</v>
      </c>
      <c r="CG2" s="90" t="s">
        <v>231</v>
      </c>
      <c r="CH2" s="90" t="s">
        <v>232</v>
      </c>
      <c r="CI2" s="90" t="s">
        <v>233</v>
      </c>
      <c r="CJ2" s="90" t="s">
        <v>234</v>
      </c>
      <c r="CK2" s="91" t="s">
        <v>232</v>
      </c>
      <c r="CL2" s="91" t="s">
        <v>233</v>
      </c>
      <c r="CM2" s="91" t="s">
        <v>234</v>
      </c>
      <c r="CN2" s="91" t="s">
        <v>233</v>
      </c>
      <c r="CO2" s="90" t="s">
        <v>233</v>
      </c>
      <c r="CP2" s="90" t="s">
        <v>234</v>
      </c>
      <c r="CQ2" s="90" t="s">
        <v>233</v>
      </c>
      <c r="CR2" s="90" t="s">
        <v>232</v>
      </c>
    </row>
    <row r="3" spans="1:96" x14ac:dyDescent="0.25">
      <c r="A3">
        <v>2</v>
      </c>
      <c r="B3" s="84" t="s">
        <v>189</v>
      </c>
      <c r="C3" s="104" t="s">
        <v>209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1" t="s">
        <v>160</v>
      </c>
      <c r="S3" s="1"/>
      <c r="T3" s="1" t="s">
        <v>161</v>
      </c>
      <c r="U3" s="1"/>
      <c r="V3" s="26" t="s">
        <v>162</v>
      </c>
      <c r="W3" s="1"/>
      <c r="X3" s="1" t="s">
        <v>206</v>
      </c>
      <c r="Y3" s="1"/>
      <c r="Z3" s="1" t="s">
        <v>163</v>
      </c>
      <c r="AD3" s="92">
        <v>41974</v>
      </c>
      <c r="AE3" s="85">
        <v>6</v>
      </c>
      <c r="AF3" s="29">
        <v>6</v>
      </c>
      <c r="AG3" s="28">
        <v>15</v>
      </c>
      <c r="AH3" s="28">
        <v>2</v>
      </c>
      <c r="AI3" s="28">
        <v>0</v>
      </c>
      <c r="AJ3" s="28">
        <v>0</v>
      </c>
      <c r="AK3" s="28">
        <v>0</v>
      </c>
      <c r="AL3" s="28">
        <v>0</v>
      </c>
      <c r="AM3" s="28">
        <v>19</v>
      </c>
      <c r="AN3" s="28">
        <f>((2*(AK3+1))+(AH3+1))/8</f>
        <v>0.625</v>
      </c>
      <c r="AO3" s="28">
        <f>(0.5*AL3+ 0.3*AM3)/10</f>
        <v>0.57000000000000006</v>
      </c>
      <c r="AP3" s="28">
        <f>(0.4*AH3+0.3*AM3)/10</f>
        <v>0.65</v>
      </c>
      <c r="AQ3" s="28">
        <f t="shared" ref="AQ3:AQ13" ca="1" si="0">IF(TODAY()-AD3&gt;335,(AM3+1+(LOG(AF3)*4/3))*(AE3/7)^0.5,(AM3+((TODAY()-AD3)^0.5)/(336^0.5)+(LOG(AF3)*4/3))*(AE3/7)^0.5)</f>
        <v>19.476972753142121</v>
      </c>
      <c r="AR3" s="28">
        <f t="shared" ref="AR3:AR13" ca="1" si="1">IF(AE3=7,AQ3,IF(TODAY()-AD3&gt;335,(AM3+1+(LOG(AF3)*4/3))*((AE3+0.99)/7)^0.5,(AM3+((TODAY()-AD3)^0.5)/(336^0.5)+(LOG(AF3)*4/3))*((AE3+0.99)/7)^0.5))</f>
        <v>21.022502819241964</v>
      </c>
      <c r="AS3" s="32">
        <f ca="1">IF(TODAY()-AD3&gt;335,((AG3+1+(LOG(AF3)*4/3))*0.597)+((AH3+1+(LOG(AF3)*4/3))*0.276),((AG3+(((TODAY()-AD3)^0.5)/(336^0.5))+(LOG(AF3)*4/3))*0.597)+((AH3+(((TODAY()-AD3)^0.5)/(336^0.5))+(LOG(AF3)*4/3))*0.276))</f>
        <v>11.285768055446562</v>
      </c>
      <c r="AT3" s="32">
        <f ca="1">IF(TODAY()-AD3&gt;335,((AG3+1+(LOG(AF3)*4/3))*0.866)+((AH3+1+(LOG(AF3)*4/3))*0.425),((AG3+(((TODAY()-AD3)^0.5)/(336^0.5))+(LOG(AF3)*4/3))*0.866)+((AH3+(((TODAY()-AD3)^0.5)/(336^0.5))+(LOG(AF3)*4/3))*0.425))</f>
        <v>16.470457685660378</v>
      </c>
      <c r="AU3" s="32">
        <f ca="1">AS3</f>
        <v>11.285768055446562</v>
      </c>
      <c r="AV3" s="32">
        <f ca="1">IF(TODAY()-AD3&gt;335,((AH3+1+(LOG(AF3)*4/3))*0.516),((AH3+(((TODAY()-AD3)^0.5)/(336^0.516))+(LOG(AF3)*4/3))*0.516))</f>
        <v>2.0833680602639468</v>
      </c>
      <c r="AW3" s="32">
        <f t="shared" ref="AW3:AW13" ca="1" si="2">IF(TODAY()-AD3&gt;335,((AH3+1+(LOG(AF3)*4/3))*1),((AH3+(((TODAY()-AD3)^0.5)/(336^0.5))+(LOG(AF3)*4/3))*1))</f>
        <v>4.0375350005115251</v>
      </c>
      <c r="AX3" s="32">
        <f ca="1">AV3/2</f>
        <v>1.0416840301319734</v>
      </c>
      <c r="AY3" s="32">
        <f ca="1">IF(TODAY()-AD3&gt;335,((AI3+1+(LOG(AF3)*4/3))*0.238),((AI3+(((TODAY()-AD3)^0.5)/(336^0.238))+(LOG(AF3)*4/3))*0.238))</f>
        <v>0.48493333012174294</v>
      </c>
      <c r="AZ3" s="32">
        <f t="shared" ref="AZ3:AZ13" ca="1" si="3">IF(TODAY()-AD3&gt;335,((AH3+1+(LOG(AF3)*4/3))*0.92),((AH3+(((TODAY()-AD3)^0.5)/(336^0.5))+(LOG(AF3)*4/3))*0.92))</f>
        <v>3.7145322004706034</v>
      </c>
      <c r="BA3" s="32">
        <f ca="1">IF(TODAY()-AD3&gt;335,((AH3+1+(LOG(AF3)*4/3))*0.414),((AH3+(((TODAY()-AD3)^0.5)/(336^0.414))+(LOG(AF3)*4/3))*0.414))</f>
        <v>1.6715394902117713</v>
      </c>
      <c r="BB3" s="32">
        <f ca="1">IF(TODAY()-AD3&gt;335,((AI3+1+(LOG(AF3)*4/3))*0.167),((AI3+(((TODAY()-AD3)^0.5)/(336^0.5))+(LOG(AF3)*4/3))*0.167))</f>
        <v>0.34026834508542469</v>
      </c>
      <c r="BC3" s="32">
        <f ca="1">IF(TODAY()-AD3&gt;335,((AJ3+1+(LOG(AF3)*4/3))*0.588),((AJ3+(((TODAY()-AD3)^0.5)/(336^0.5))+(LOG(AF3)*4/3))*0.588))</f>
        <v>1.1980705803007767</v>
      </c>
      <c r="BD3" s="32">
        <f ca="1">IF(TODAY()-AD3&gt;335,((AH3+1+(LOG(AF3)*4/3))*0.754),((AH3+(((TODAY()-AD3)^0.5)/(336^0.5))+(LOG(AF3)*4/3))*0.754))</f>
        <v>3.0443013903856899</v>
      </c>
      <c r="BE3" s="32">
        <f ca="1">IF(TODAY()-AD3&gt;335,((AH3+1+(LOG(AF3)*4/3))*0.708),((AH3+(((TODAY()-AD3)^0.5)/(336^0.414))+(LOG(AF3)*4/3))*0.708))</f>
        <v>2.8585747803621597</v>
      </c>
      <c r="BF3" s="32" t="e">
        <f ca="1">IF(TODAY()-AH3&gt;335,((AM3+1+(LOG(AJ3)*4/3))*0.167),((AM3+(((TODAY()-AH3)^0.5)/(336^0.5))+(LOG(AJ3)*4/3))*0.167))</f>
        <v>#NUM!</v>
      </c>
      <c r="BG3" s="32" t="e">
        <f ca="1">IF(TODAY()-AH3&gt;335,((AN3+1+(LOG(AJ3)*4/3))*0.288),((AN3+(((TODAY()-AH3)^0.5)/(336^0.5))+(LOG(AJ3)*4/3))*0.288))</f>
        <v>#NUM!</v>
      </c>
      <c r="BH3" s="32">
        <f ca="1">IF(TODAY()-AD3&gt;335,((AH3+1+(LOG(AF3)*4/3))*0.485),((AH3+(((TODAY()-AD3)^0.5)/(336^0.5))+(LOG(AF3)*4/3))*0.485))</f>
        <v>1.9582044752480896</v>
      </c>
      <c r="BI3" s="32">
        <f ca="1">IF(TODAY()-AD3&gt;335,((AH3+1+(LOG(AF3)*4/3))*0.264),((AH3+(((TODAY()-AD3)^0.5)/(336^0.5))+(LOG(AF3)*4/3))*0.264))</f>
        <v>1.0659092401350427</v>
      </c>
      <c r="BJ3" s="32">
        <f ca="1">IF(TODAY()-AD3&gt;335,((AI3+1+(LOG(AF3)*4/3))*0.381),((AI3+(((TODAY()-AD3)^0.5)/(336^0.5))+(LOG(AF3)*4/3))*0.381))</f>
        <v>0.77630083519489113</v>
      </c>
      <c r="BK3" s="32">
        <f ca="1">IF(TODAY()-AD3&gt;335,((AJ3+1+(LOG(AF3)*4/3))*0.673)+((AK3+1+(LOG(AF3)*4/3))*0.201),((AJ3+(((TODAY()-AD3)^0.5)/(336^0.5))+(LOG(AF3)*4/3))*0.673)+((AK3+(((TODAY()-AD3)^0.5)/(336^0.5))+(LOG(AF3)*4/3))*0.201))</f>
        <v>1.7808055904470732</v>
      </c>
      <c r="BL3" s="32">
        <f ca="1">IF(TODAY()-AD3&gt;335,((AK3+1+(LOG(AF3)*4/3))*0.052),((AK3+(((TODAY()-AD3)^0.5)/(336^0.5))+(LOG(AF3)*4/3))*0.052))</f>
        <v>0.10595182002659931</v>
      </c>
      <c r="BM3" s="32">
        <f ca="1">IF(TODAY()-AD3&gt;335,((AH3+1+(LOG(AF3)*4/3))*0.27),((AH3+(((TODAY()-AD3)^0.5)/(336^0.5))+(LOG(AF3)*4/3))*0.27))</f>
        <v>1.0901344501381118</v>
      </c>
      <c r="BN3" s="32">
        <f ca="1">IF(TODAY()-AD3&gt;335,((AH3+1+(LOG(AF3)*4/3))*0.594),((AH3+(((TODAY()-AD3)^0.5)/(336^0.5))+(LOG(AF3)*4/3))*0.594))</f>
        <v>2.398295790303846</v>
      </c>
      <c r="BO3" s="32">
        <f ca="1">BM3/2</f>
        <v>0.54506722506905592</v>
      </c>
      <c r="BP3" s="32">
        <f ca="1">IF(TODAY()-AD3&gt;335,((AI3+1+(LOG(AF3)*4/3))*0.944),((AI3+(((TODAY()-AD3)^0.5)/(336^0.5))+(LOG(AF3)*4/3))*0.944))</f>
        <v>1.9234330404828797</v>
      </c>
      <c r="BQ3" s="32">
        <f ca="1">IF(TODAY()-AD3&gt;335,((AK3+1+(LOG(AF3)*4/3))*0.13),((AK3+(((TODAY()-AD3)^0.5)/(336^0.5))+(LOG(AF3)*4/3))*0.13))</f>
        <v>0.26487955006649827</v>
      </c>
      <c r="BR3" s="32">
        <f ca="1">IF(TODAY()-AD3&gt;335,((AL3+1+(LOG(AF3)*4/3))*0.173)+((AK3+1+(LOG(AF3)*4/3))*0.12),((AL3+(((TODAY()-AD3)^0.5)/(336^0.5))+(LOG(AF3)*4/3))*0.173)+((AK3+(((TODAY()-AD3)^0.5)/(336^0.5))+(LOG(AF3)*4/3))*0.12))</f>
        <v>0.59699775514987685</v>
      </c>
      <c r="BS3" s="32">
        <f ca="1">BQ3/2</f>
        <v>0.13243977503324914</v>
      </c>
      <c r="BT3" s="32">
        <f ca="1">IF(TODAY()-AD3&gt;335,((AH3+1+(LOG(AF3)*4/3))*0.189),((AH3+(((TODAY()-AD3)^0.5)/(336^0.5))+(LOG(AF3)*4/3))*0.189))</f>
        <v>0.76309411509667824</v>
      </c>
      <c r="BU3" s="32">
        <f ca="1">IF(TODAY()-AD3&gt;335,((AH3+1+(LOG(AF3)*4/3))*0.189),((AH3+(((TODAY()-AD3)^0.5)/(336^0.5))+(LOG(AF3)*4/3))*0.189))</f>
        <v>0.76309411509667824</v>
      </c>
      <c r="BV3" s="32">
        <f ca="1">BT3/2</f>
        <v>0.38154705754833912</v>
      </c>
      <c r="BW3" s="32">
        <f ca="1">IF(TODAY()-AD3&gt;335,((AI3+1+(LOG(AF3)*4/3))*1),((AI3+(((TODAY()-AD3)^0.5)/(336^0.5))+(LOG(AF3)*4/3))*1))</f>
        <v>2.0375350005115251</v>
      </c>
      <c r="BX3" s="32">
        <f ca="1">IF(TODAY()-AD3&gt;335,((AK3+1+(LOG(AF3)*4/3))*0.253),((AK3+(((TODAY()-AD3)^0.5)/(336^0.5))+(LOG(AF3)*4/3))*0.253))</f>
        <v>0.51549635512941583</v>
      </c>
      <c r="BY3" s="32">
        <f ca="1">IF(TODAY()-AD3&gt;335,((AL3+1+(LOG(AF3)*4/3))*0.21)+((AK3+1+(LOG(AF3)*4/3))*0.341),((AL3+(((TODAY()-AD3)^0.5)/(336^0.5))+(LOG(AF3)*4/3))*0.21)+((AK3+(((TODAY()-AD3)^0.5)/(336^0.5))+(LOG(AF3)*4/3))*0.341))</f>
        <v>1.1226817852818503</v>
      </c>
      <c r="BZ3" s="32">
        <f ca="1">BX3/2</f>
        <v>0.25774817756470791</v>
      </c>
      <c r="CA3" s="32">
        <f ca="1">IF(TODAY()-AD3&gt;335,((AH3+1+(LOG(AF3)*4/3))*0.291),((AH3+(((TODAY()-AD3)^0.5)/(336^0.5))+(LOG(AF3)*4/3))*0.291))</f>
        <v>1.1749226851488537</v>
      </c>
      <c r="CB3" s="32">
        <f ca="1">IF(TODAY()-AD3&gt;335,((AH3+1+(LOG(AF3)*4/3))*0.348),((AH3+(((TODAY()-AD3)^0.5)/(336^0.5))+(LOG(AF3)*4/3))*0.348))</f>
        <v>1.4050621801780105</v>
      </c>
      <c r="CC3" s="32">
        <f ca="1">IF(TODAY()-AD3&gt;335,((AI3+1+(LOG(AF3)*4/3))*0.881),((AI3+(((TODAY()-AD3)^0.5)/(336^0.5))+(LOG(AF3)*4/3))*0.881))</f>
        <v>1.7950683354506536</v>
      </c>
      <c r="CD3" s="32">
        <f ca="1">IF(TODAY()-AD3&gt;335,((AJ3+1+(LOG(AF3)*4/3))*0.574)+((AK3+1+(LOG(AF3)*4/3))*0.315),((AJ3+(((TODAY()-AD3)^0.5)/(336^0.5))+(LOG(AF3)*4/3))*0.574)+((AK3+(((TODAY()-AD3)^0.5)/(336^0.5))+(LOG(AF3)*4/3))*0.315))</f>
        <v>1.8113686154547457</v>
      </c>
      <c r="CE3" s="32">
        <f ca="1">IF(TODAY()-AD3&gt;335,((AK3+1+(LOG(AF3)*4/3))*0.241),((AK3+(((TODAY()-AD3)^0.5)/(336^0.5))+(LOG(AF3)*4/3))*0.241))</f>
        <v>0.49104593512327754</v>
      </c>
      <c r="CF3" s="32">
        <f ca="1">IF(TODAY()-AD3&gt;335,((AH3+1+(LOG(AF3)*4/3))*0.18),((AH3+(((TODAY()-AD3)^0.5)/(336^0.5))+(LOG(AF3)*4/3))*0.18))</f>
        <v>0.72675630009207448</v>
      </c>
      <c r="CG3" s="32">
        <f ca="1">IF(TODAY()-AD3&gt;335,((AH3+1+(LOG(AF3)*4/3))*0.068),((AH3+(((TODAY()-AD3)^0.5)/(336^0.5))+(LOG(AF3)*4/3))*0.068))</f>
        <v>0.27455238003478372</v>
      </c>
      <c r="CH3" s="32">
        <f ca="1">IF(TODAY()-AD3&gt;335,((AI3+1+(LOG(AF3)*4/3))*0.305),((AI3+(((TODAY()-AD3)^0.5)/(336^0.5))+(LOG(AF3)*4/3))*0.305))</f>
        <v>0.62144817515601514</v>
      </c>
      <c r="CI3" s="32">
        <f ca="1">IF(TODAY()-AD3&gt;335,((AJ3+1+(LOG(AF3)*4/3))*1)+((AK3+1+(LOG(AF3)*4/3))*0.286),((AJ3+(((TODAY()-AD3)^0.5)/(336^0.5))+(LOG(AF3)*4/3))*1)+((AK3+(((TODAY()-AD3)^0.5)/(336^0.5))+(LOG(AF3)*4/3))*0.286))</f>
        <v>2.6202700106578214</v>
      </c>
      <c r="CJ3" s="32">
        <f ca="1">IF(TODAY()-AD3&gt;335,((AK3+1+(LOG(AF3)*4/3))*0.135),((AK3+(((TODAY()-AD3)^0.5)/(336^0.5))+(LOG(AF3)*4/3))*0.135))</f>
        <v>0.2750672250690559</v>
      </c>
      <c r="CK3" s="32">
        <f ca="1">IF(TODAY()-AD3&gt;335,((AI3+1+(LOG(AF3)*4/3))*0.406),((AI3+(((TODAY()-AD3)^0.5)/(336^0.5))+(LOG(AF3)*4/3))*0.406))</f>
        <v>0.82723921020767921</v>
      </c>
      <c r="CL3" s="32">
        <f ca="1">IF(AC3="TEC",IF(TODAY()-AD3&gt;335,((AJ3+1+(LOG(AF3)*4/3))*0.15)+((AK3+1+(LOG(AF3)*4/3))*0.324)+((AL3+1+(LOG(AF3)*4/3))*0.127),((AJ3+(((TODAY()-AD3)^0.5)/(336^0.5))+(LOG(AF3)*4/3))*0.15)+((AK3+(((TODAY()-AD3)^0.5)/(336^0.5))+(LOG(AF3)*4/3))*0.324)+((AL3+(((TODAY()-AD3)^0.5)/(336^0.5))+(LOG(AF3)*4/3))*0.127)),IF(TODAY()-AD3&gt;335,((AJ3+1+(LOG(AF3)*4/3))*0.144)+((AK3+1+(LOG(AF3)*4/3))*0.25)+((AL3+1+(LOG(AF3)*4/3))*0.127),((AJ3+(((TODAY()-AD3)^0.5)/(336^0.5))+(LOG(AF3)*4/3))*0.144)+((AK3+(((TODAY()-AD3)^0.5)/(336^0.5))+(LOG(AF3)*4/3))*0.25)+((AL3+(((TODAY()-AD3)^0.5)/(336^0.5))+(LOG(AF3)*4/3))*0.127)))</f>
        <v>1.0615557352665046</v>
      </c>
      <c r="CM3" s="32">
        <f ca="1">IF(AC3="TEC",IF(TODAY()-AD3&gt;335,((AK3+1+(LOG(AF3)*4/3))*0.543)+((AL3+1+(LOG(AF3)*4/3))*0.583),((AK3+(((TODAY()-AD3)^0.5)/(336^0.5))+(LOG(AF3)*4/3))*0.543)+((AL3+(((TODAY()-AD3)^0.5)/(336^0.5))+(LOG(AF3)*4/3))*0.583)),IF(TODAY()-AD3&gt;335,((AK3+1+(LOG(AF3)*4/3))*0.543)+((AL3+1+(LOG(AF3)*4/3))*0.583),((AK3+(((TODAY()-AD3)^0.5)/(336^0.5))+(LOG(AF3)*4/3))*0.543)+((AL3+(((TODAY()-AD3)^0.5)/(336^0.5))+(LOG(AF3)*4/3))*0.583)))</f>
        <v>2.2942644105759773</v>
      </c>
      <c r="CN3" s="32">
        <f ca="1">CL3</f>
        <v>1.0615557352665046</v>
      </c>
      <c r="CO3" s="32">
        <f ca="1">IF(TODAY()-AD3&gt;335,((AL3+1+(LOG(AF3)*4/3))*0.26)+((AJ3+1+(LOG(AF3)*4/3))*0.221)+((AK3+1+(LOG(AF3)*4/3))*0.142),((AL3+(((TODAY()-AD3)^0.5)/(336^0.5))+(LOG(AF3)*4/3))*0.26)+((AJ3+(((TODAY()-AD3)^0.5)/(336^0.5))+(LOG(AF3)*4/3))*0.221)+((AL3+(((TODAY()-AD3)^0.5)/(336^0.5))+(LOG(AF3)*4/3))*0.142))</f>
        <v>1.2693843053186802</v>
      </c>
      <c r="CP3" s="32">
        <f ca="1">IF(TODAY()-AD3&gt;335,((AL3+1+(LOG(AF3)*4/3))*1)+((AK3+1+(LOG(AF3)*4/3))*0.369),((AL3+(((TODAY()-AD3)^0.5)/(336^0.5))+(LOG(AF3)*4/3))*1)+((AK3+(((TODAY()-AD3)^0.5)/(336^0.5))+(LOG(AF3)*4/3))*0.369))</f>
        <v>2.789385415700278</v>
      </c>
      <c r="CQ3" s="32">
        <f ca="1">CO3</f>
        <v>1.2693843053186802</v>
      </c>
      <c r="CR3" s="32">
        <f ca="1">IF(TODAY()-AD3&gt;335,((AI3+1+(LOG(AF3)*4/3))*0.25),((AI3+(((TODAY()-AD3)^0.5)/(336^0.5))+(LOG(AF3)*4/3))*0.25))</f>
        <v>0.50938375012788129</v>
      </c>
    </row>
    <row r="4" spans="1:96" x14ac:dyDescent="0.25">
      <c r="A4">
        <v>3</v>
      </c>
      <c r="B4" s="84" t="s">
        <v>205</v>
      </c>
      <c r="C4" s="104" t="s">
        <v>210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Q4" t="s">
        <v>32</v>
      </c>
      <c r="R4" s="76">
        <v>1</v>
      </c>
      <c r="S4" s="84"/>
      <c r="T4" s="76">
        <v>1</v>
      </c>
      <c r="U4" s="84"/>
      <c r="V4" s="84"/>
      <c r="W4" s="84"/>
      <c r="X4" s="76" t="s">
        <v>207</v>
      </c>
      <c r="Y4" s="84"/>
      <c r="Z4" s="72">
        <v>0.91900000000000004</v>
      </c>
      <c r="AD4" s="92">
        <v>41974</v>
      </c>
      <c r="AE4" s="85">
        <v>6</v>
      </c>
      <c r="AF4" s="29">
        <v>6</v>
      </c>
      <c r="AG4" s="28">
        <v>0</v>
      </c>
      <c r="AH4" s="28">
        <v>5</v>
      </c>
      <c r="AI4" s="28">
        <v>7</v>
      </c>
      <c r="AJ4" s="28">
        <v>2</v>
      </c>
      <c r="AK4" s="28">
        <v>2</v>
      </c>
      <c r="AL4" s="28">
        <v>10</v>
      </c>
      <c r="AM4" s="28">
        <v>16</v>
      </c>
      <c r="AN4" s="28">
        <f>((2*(AK4+1))+(AH4+1))/8</f>
        <v>1.5</v>
      </c>
      <c r="AO4" s="28">
        <f>(0.5*AL4+ 0.3*AM4)/10</f>
        <v>0.98000000000000009</v>
      </c>
      <c r="AP4" s="28">
        <f>(0.4*AH4+0.3*AM4)/10</f>
        <v>0.67999999999999994</v>
      </c>
      <c r="AQ4" s="28">
        <f t="shared" ca="1" si="0"/>
        <v>16.699512453824468</v>
      </c>
      <c r="AR4" s="28">
        <f t="shared" ca="1" si="1"/>
        <v>18.02464644223808</v>
      </c>
      <c r="AS4" s="32">
        <f t="shared" ref="AS4:AS13" ca="1" si="4">IF(TODAY()-AD4&gt;335,((AG4+1+(LOG(AF4)*4/3))*0.597)+((AH4+1+(LOG(AF4)*4/3))*0.276),((AG4+(((TODAY()-AD4)^0.5)/(336^0.5))+(LOG(AF4)*4/3))*0.597)+((AH4+(((TODAY()-AD4)^0.5)/(336^0.5))+(LOG(AF4)*4/3))*0.276))</f>
        <v>3.1587680554465614</v>
      </c>
      <c r="AT4" s="32">
        <f t="shared" ref="AT4:AT13" ca="1" si="5">IF(TODAY()-AD4&gt;335,((AG4+1+(LOG(AF4)*4/3))*0.866)+((AH4+1+(LOG(AF4)*4/3))*0.425),((AG4+(((TODAY()-AD4)^0.5)/(336^0.5))+(LOG(AF4)*4/3))*0.866)+((AH4+(((TODAY()-AD4)^0.5)/(336^0.5))+(LOG(AF4)*4/3))*0.425))</f>
        <v>4.755457685660379</v>
      </c>
      <c r="AU4" s="32">
        <f t="shared" ref="AU4:AU13" ca="1" si="6">AS4</f>
        <v>3.1587680554465614</v>
      </c>
      <c r="AV4" s="32">
        <f t="shared" ref="AV4:AV13" ca="1" si="7">IF(TODAY()-AD4&gt;335,((AH4+1+(LOG(AF4)*4/3))*0.516),((AH4+(((TODAY()-AD4)^0.5)/(336^0.516))+(LOG(AF4)*4/3))*0.516))</f>
        <v>3.6313680602639469</v>
      </c>
      <c r="AW4" s="32">
        <f t="shared" ca="1" si="2"/>
        <v>7.0375350005115251</v>
      </c>
      <c r="AX4" s="32">
        <f t="shared" ref="AX4:AX13" ca="1" si="8">AV4/2</f>
        <v>1.8156840301319734</v>
      </c>
      <c r="AY4" s="32">
        <f t="shared" ref="AY4:AY13" ca="1" si="9">IF(TODAY()-AD4&gt;335,((AI4+1+(LOG(AF4)*4/3))*0.238),((AI4+(((TODAY()-AD4)^0.5)/(336^0.238))+(LOG(AF4)*4/3))*0.238))</f>
        <v>2.150933330121743</v>
      </c>
      <c r="AZ4" s="32">
        <f t="shared" ca="1" si="3"/>
        <v>6.4745322004706036</v>
      </c>
      <c r="BA4" s="32">
        <f t="shared" ref="BA4:BA13" ca="1" si="10">IF(TODAY()-AD4&gt;335,((AH4+1+(LOG(AF4)*4/3))*0.414),((AH4+(((TODAY()-AD4)^0.5)/(336^0.414))+(LOG(AF4)*4/3))*0.414))</f>
        <v>2.9135394902117713</v>
      </c>
      <c r="BB4" s="32">
        <f t="shared" ref="BB4:BB13" ca="1" si="11">IF(TODAY()-AD4&gt;335,((AI4+1+(LOG(AF4)*4/3))*0.167),((AI4+(((TODAY()-AD4)^0.5)/(336^0.5))+(LOG(AF4)*4/3))*0.167))</f>
        <v>1.5092683450854247</v>
      </c>
      <c r="BC4" s="32">
        <f t="shared" ref="BC4:BC13" ca="1" si="12">IF(TODAY()-AD4&gt;335,((AJ4+1+(LOG(AF4)*4/3))*0.588),((AJ4+(((TODAY()-AD4)^0.5)/(336^0.5))+(LOG(AF4)*4/3))*0.588))</f>
        <v>2.3740705803007764</v>
      </c>
      <c r="BD4" s="32">
        <f t="shared" ref="BD4:BD13" ca="1" si="13">IF(TODAY()-AD4&gt;335,((AH4+1+(LOG(AF4)*4/3))*0.754),((AH4+(((TODAY()-AD4)^0.5)/(336^0.5))+(LOG(AF4)*4/3))*0.754))</f>
        <v>5.3063013903856904</v>
      </c>
      <c r="BE4" s="32">
        <f t="shared" ref="BE4:BE13" ca="1" si="14">IF(TODAY()-AD4&gt;335,((AH4+1+(LOG(AF4)*4/3))*0.708),((AH4+(((TODAY()-AD4)^0.5)/(336^0.414))+(LOG(AF4)*4/3))*0.708))</f>
        <v>4.9825747803621594</v>
      </c>
      <c r="BF4" s="32">
        <f t="shared" ref="BF4:BF13" ca="1" si="15">IF(TODAY()-AH4&gt;335,((AM4+1+(LOG(AJ4)*4/3))*0.167),((AM4+(((TODAY()-AH4)^0.5)/(336^0.5))+(LOG(AJ4)*4/3))*0.167))</f>
        <v>2.9060293457011803</v>
      </c>
      <c r="BG4" s="32">
        <f t="shared" ref="BG4:BG13" ca="1" si="16">IF(TODAY()-AH4&gt;335,((AN4+1+(LOG(AJ4)*4/3))*0.288),((AN4+(((TODAY()-AH4)^0.5)/(336^0.5))+(LOG(AJ4)*4/3))*0.288))</f>
        <v>0.8355955183349687</v>
      </c>
      <c r="BH4" s="32">
        <f t="shared" ref="BH4:BH13" ca="1" si="17">IF(TODAY()-AD4&gt;335,((AH4+1+(LOG(AF4)*4/3))*0.485),((AH4+(((TODAY()-AD4)^0.5)/(336^0.5))+(LOG(AF4)*4/3))*0.485))</f>
        <v>3.4132044752480897</v>
      </c>
      <c r="BI4" s="32">
        <f t="shared" ref="BI4:BI13" ca="1" si="18">IF(TODAY()-AD4&gt;335,((AH4+1+(LOG(AF4)*4/3))*0.264),((AH4+(((TODAY()-AD4)^0.5)/(336^0.5))+(LOG(AF4)*4/3))*0.264))</f>
        <v>1.8579092401350428</v>
      </c>
      <c r="BJ4" s="32">
        <f t="shared" ref="BJ4:BJ13" ca="1" si="19">IF(TODAY()-AD4&gt;335,((AI4+1+(LOG(AF4)*4/3))*0.381),((AI4+(((TODAY()-AD4)^0.5)/(336^0.5))+(LOG(AF4)*4/3))*0.381))</f>
        <v>3.4433008351948913</v>
      </c>
      <c r="BK4" s="32">
        <f t="shared" ref="BK4:BK13" ca="1" si="20">IF(TODAY()-AD4&gt;335,((AJ4+1+(LOG(AF4)*4/3))*0.673)+((AK4+1+(LOG(AF4)*4/3))*0.201),((AJ4+(((TODAY()-AD4)^0.5)/(336^0.5))+(LOG(AF4)*4/3))*0.673)+((AK4+(((TODAY()-AD4)^0.5)/(336^0.5))+(LOG(AF4)*4/3))*0.201))</f>
        <v>3.5288055904470732</v>
      </c>
      <c r="BL4" s="32">
        <f t="shared" ref="BL4:BL13" ca="1" si="21">IF(TODAY()-AD4&gt;335,((AK4+1+(LOG(AF4)*4/3))*0.052),((AK4+(((TODAY()-AD4)^0.5)/(336^0.5))+(LOG(AF4)*4/3))*0.052))</f>
        <v>0.20995182002659929</v>
      </c>
      <c r="BM4" s="32">
        <f t="shared" ref="BM4:BM13" ca="1" si="22">IF(TODAY()-AD4&gt;335,((AH4+1+(LOG(AF4)*4/3))*0.27),((AH4+(((TODAY()-AD4)^0.5)/(336^0.5))+(LOG(AF4)*4/3))*0.27))</f>
        <v>1.9001344501381119</v>
      </c>
      <c r="BN4" s="32">
        <f t="shared" ref="BN4:BN13" ca="1" si="23">IF(TODAY()-AD4&gt;335,((AH4+1+(LOG(AF4)*4/3))*0.594),((AH4+(((TODAY()-AD4)^0.5)/(336^0.5))+(LOG(AF4)*4/3))*0.594))</f>
        <v>4.1802957903038456</v>
      </c>
      <c r="BO4" s="32">
        <f t="shared" ref="BO4:BO13" ca="1" si="24">BM4/2</f>
        <v>0.95006722506905594</v>
      </c>
      <c r="BP4" s="32">
        <f t="shared" ref="BP4:BP13" ca="1" si="25">IF(TODAY()-AD4&gt;335,((AI4+1+(LOG(AF4)*4/3))*0.944),((AI4+(((TODAY()-AD4)^0.5)/(336^0.5))+(LOG(AF4)*4/3))*0.944))</f>
        <v>8.5314330404828791</v>
      </c>
      <c r="BQ4" s="32">
        <f t="shared" ref="BQ4:BQ13" ca="1" si="26">IF(TODAY()-AD4&gt;335,((AK4+1+(LOG(AF4)*4/3))*0.13),((AK4+(((TODAY()-AD4)^0.5)/(336^0.5))+(LOG(AF4)*4/3))*0.13))</f>
        <v>0.52487955006649833</v>
      </c>
      <c r="BR4" s="32">
        <f t="shared" ref="BR4:BR13" ca="1" si="27">IF(TODAY()-AD4&gt;335,((AL4+1+(LOG(AF4)*4/3))*0.173)+((AK4+1+(LOG(AF4)*4/3))*0.12),((AL4+(((TODAY()-AD4)^0.5)/(336^0.5))+(LOG(AF4)*4/3))*0.173)+((AK4+(((TODAY()-AD4)^0.5)/(336^0.5))+(LOG(AF4)*4/3))*0.12))</f>
        <v>2.5669977551498766</v>
      </c>
      <c r="BS4" s="32">
        <f t="shared" ref="BS4:BS13" ca="1" si="28">BQ4/2</f>
        <v>0.26243977503324917</v>
      </c>
      <c r="BT4" s="32">
        <f t="shared" ref="BT4:BT13" ca="1" si="29">IF(TODAY()-AD4&gt;335,((AH4+1+(LOG(AF4)*4/3))*0.189),((AH4+(((TODAY()-AD4)^0.5)/(336^0.5))+(LOG(AF4)*4/3))*0.189))</f>
        <v>1.3300941150966783</v>
      </c>
      <c r="BU4" s="32">
        <f t="shared" ref="BU4:BU13" ca="1" si="30">IF(TODAY()-AD4&gt;335,((AH4+1+(LOG(AF4)*4/3))*0.189),((AH4+(((TODAY()-AD4)^0.5)/(336^0.5))+(LOG(AF4)*4/3))*0.189))</f>
        <v>1.3300941150966783</v>
      </c>
      <c r="BV4" s="32">
        <f t="shared" ref="BV4:BV13" ca="1" si="31">BT4/2</f>
        <v>0.66504705754833915</v>
      </c>
      <c r="BW4" s="32">
        <f t="shared" ref="BW4:BW13" ca="1" si="32">IF(TODAY()-AD4&gt;335,((AI4+1+(LOG(AF4)*4/3))*1),((AI4+(((TODAY()-AD4)^0.5)/(336^0.5))+(LOG(AF4)*4/3))*1))</f>
        <v>9.0375350005115251</v>
      </c>
      <c r="BX4" s="32">
        <f t="shared" ref="BX4:BX13" ca="1" si="33">IF(TODAY()-AD4&gt;335,((AK4+1+(LOG(AF4)*4/3))*0.253),((AK4+(((TODAY()-AD4)^0.5)/(336^0.5))+(LOG(AF4)*4/3))*0.253))</f>
        <v>1.0214963551294158</v>
      </c>
      <c r="BY4" s="32">
        <f t="shared" ref="BY4:BY13" ca="1" si="34">IF(TODAY()-AD4&gt;335,((AL4+1+(LOG(AF4)*4/3))*0.21)+((AK4+1+(LOG(AF4)*4/3))*0.341),((AL4+(((TODAY()-AD4)^0.5)/(336^0.5))+(LOG(AF4)*4/3))*0.21)+((AK4+(((TODAY()-AD4)^0.5)/(336^0.5))+(LOG(AF4)*4/3))*0.341))</f>
        <v>3.9046817852818503</v>
      </c>
      <c r="BZ4" s="32">
        <f t="shared" ref="BZ4:BZ13" ca="1" si="35">BX4/2</f>
        <v>0.51074817756470792</v>
      </c>
      <c r="CA4" s="32">
        <f t="shared" ref="CA4:CA13" ca="1" si="36">IF(TODAY()-AD4&gt;335,((AH4+1+(LOG(AF4)*4/3))*0.291),((AH4+(((TODAY()-AD4)^0.5)/(336^0.5))+(LOG(AF4)*4/3))*0.291))</f>
        <v>2.0479226851488539</v>
      </c>
      <c r="CB4" s="32">
        <f t="shared" ref="CB4:CB13" ca="1" si="37">IF(TODAY()-AD4&gt;335,((AH4+1+(LOG(AF4)*4/3))*0.348),((AH4+(((TODAY()-AD4)^0.5)/(336^0.5))+(LOG(AF4)*4/3))*0.348))</f>
        <v>2.4490621801780104</v>
      </c>
      <c r="CC4" s="32">
        <f t="shared" ref="CC4:CC13" ca="1" si="38">IF(TODAY()-AD4&gt;335,((AI4+1+(LOG(AF4)*4/3))*0.881),((AI4+(((TODAY()-AD4)^0.5)/(336^0.5))+(LOG(AF4)*4/3))*0.881))</f>
        <v>7.9620683354506534</v>
      </c>
      <c r="CD4" s="32">
        <f t="shared" ref="CD4:CD13" ca="1" si="39">IF(TODAY()-AD4&gt;335,((AJ4+1+(LOG(AF4)*4/3))*0.574)+((AK4+1+(LOG(AF4)*4/3))*0.315),((AJ4+(((TODAY()-AD4)^0.5)/(336^0.5))+(LOG(AF4)*4/3))*0.574)+((AK4+(((TODAY()-AD4)^0.5)/(336^0.5))+(LOG(AF4)*4/3))*0.315))</f>
        <v>3.5893686154547457</v>
      </c>
      <c r="CE4" s="32">
        <f t="shared" ref="CE4:CE13" ca="1" si="40">IF(TODAY()-AD4&gt;335,((AK4+1+(LOG(AF4)*4/3))*0.241),((AK4+(((TODAY()-AD4)^0.5)/(336^0.5))+(LOG(AF4)*4/3))*0.241))</f>
        <v>0.97304593512327753</v>
      </c>
      <c r="CF4" s="32">
        <f t="shared" ref="CF4:CF13" ca="1" si="41">IF(TODAY()-AD4&gt;335,((AH4+1+(LOG(AF4)*4/3))*0.18),((AH4+(((TODAY()-AD4)^0.5)/(336^0.5))+(LOG(AF4)*4/3))*0.18))</f>
        <v>1.2667563000920745</v>
      </c>
      <c r="CG4" s="32">
        <f t="shared" ref="CG4:CG13" ca="1" si="42">IF(TODAY()-AD4&gt;335,((AH4+1+(LOG(AF4)*4/3))*0.068),((AH4+(((TODAY()-AD4)^0.5)/(336^0.5))+(LOG(AF4)*4/3))*0.068))</f>
        <v>0.47855238003478373</v>
      </c>
      <c r="CH4" s="32">
        <f t="shared" ref="CH4:CH13" ca="1" si="43">IF(TODAY()-AD4&gt;335,((AI4+1+(LOG(AF4)*4/3))*0.305),((AI4+(((TODAY()-AD4)^0.5)/(336^0.5))+(LOG(AF4)*4/3))*0.305))</f>
        <v>2.7564481751560153</v>
      </c>
      <c r="CI4" s="32">
        <f t="shared" ref="CI4:CI13" ca="1" si="44">IF(TODAY()-AD4&gt;335,((AJ4+1+(LOG(AF4)*4/3))*1)+((AK4+1+(LOG(AF4)*4/3))*0.286),((AJ4+(((TODAY()-AD4)^0.5)/(336^0.5))+(LOG(AF4)*4/3))*1)+((AK4+(((TODAY()-AD4)^0.5)/(336^0.5))+(LOG(AF4)*4/3))*0.286))</f>
        <v>5.192270010657821</v>
      </c>
      <c r="CJ4" s="32">
        <f t="shared" ref="CJ4:CJ13" ca="1" si="45">IF(TODAY()-AD4&gt;335,((AK4+1+(LOG(AF4)*4/3))*0.135),((AK4+(((TODAY()-AD4)^0.5)/(336^0.5))+(LOG(AF4)*4/3))*0.135))</f>
        <v>0.54506722506905592</v>
      </c>
      <c r="CK4" s="32">
        <f t="shared" ref="CK4:CK13" ca="1" si="46">IF(TODAY()-AD4&gt;335,((AI4+1+(LOG(AF4)*4/3))*0.406),((AI4+(((TODAY()-AD4)^0.5)/(336^0.5))+(LOG(AF4)*4/3))*0.406))</f>
        <v>3.6692392102076794</v>
      </c>
      <c r="CL4" s="32">
        <f t="shared" ref="CL4:CL13" ca="1" si="47">IF(AC4="TEC",IF(TODAY()-AD4&gt;335,((AJ4+1+(LOG(AF4)*4/3))*0.15)+((AK4+1+(LOG(AF4)*4/3))*0.324)+((AL4+1+(LOG(AF4)*4/3))*0.127),((AJ4+(((TODAY()-AD4)^0.5)/(336^0.5))+(LOG(AF4)*4/3))*0.15)+((AK4+(((TODAY()-AD4)^0.5)/(336^0.5))+(LOG(AF4)*4/3))*0.324)+((AL4+(((TODAY()-AD4)^0.5)/(336^0.5))+(LOG(AF4)*4/3))*0.127)),IF(TODAY()-AD4&gt;335,((AJ4+1+(LOG(AF4)*4/3))*0.144)+((AK4+1+(LOG(AF4)*4/3))*0.25)+((AL4+1+(LOG(AF4)*4/3))*0.127),((AJ4+(((TODAY()-AD4)^0.5)/(336^0.5))+(LOG(AF4)*4/3))*0.144)+((AK4+(((TODAY()-AD4)^0.5)/(336^0.5))+(LOG(AF4)*4/3))*0.25)+((AL4+(((TODAY()-AD4)^0.5)/(336^0.5))+(LOG(AF4)*4/3))*0.127)))</f>
        <v>3.1195557352665046</v>
      </c>
      <c r="CM4" s="32">
        <f t="shared" ref="CM4:CM13" ca="1" si="48">IF(AC4="TEC",IF(TODAY()-AD4&gt;335,((AK4+1+(LOG(AF4)*4/3))*0.543)+((AL4+1+(LOG(AF4)*4/3))*0.583),((AK4+(((TODAY()-AD4)^0.5)/(336^0.5))+(LOG(AF4)*4/3))*0.543)+((AL4+(((TODAY()-AD4)^0.5)/(336^0.5))+(LOG(AF4)*4/3))*0.583)),IF(TODAY()-AD4&gt;335,((AK4+1+(LOG(AF4)*4/3))*0.543)+((AL4+1+(LOG(AF4)*4/3))*0.583),((AK4+(((TODAY()-AD4)^0.5)/(336^0.5))+(LOG(AF4)*4/3))*0.543)+((AL4+(((TODAY()-AD4)^0.5)/(336^0.5))+(LOG(AF4)*4/3))*0.583)))</f>
        <v>9.2102644105759772</v>
      </c>
      <c r="CN4" s="32">
        <f t="shared" ref="CN4:CN13" ca="1" si="49">CL4</f>
        <v>3.1195557352665046</v>
      </c>
      <c r="CO4" s="32">
        <f t="shared" ref="CO4:CO13" ca="1" si="50">IF(TODAY()-AD4&gt;335,((AL4+1+(LOG(AF4)*4/3))*0.26)+((AJ4+1+(LOG(AF4)*4/3))*0.221)+((AK4+1+(LOG(AF4)*4/3))*0.142),((AL4+(((TODAY()-AD4)^0.5)/(336^0.5))+(LOG(AF4)*4/3))*0.26)+((AJ4+(((TODAY()-AD4)^0.5)/(336^0.5))+(LOG(AF4)*4/3))*0.221)+((AL4+(((TODAY()-AD4)^0.5)/(336^0.5))+(LOG(AF4)*4/3))*0.142))</f>
        <v>4.5953843053186798</v>
      </c>
      <c r="CP4" s="32">
        <f t="shared" ref="CP4:CP13" ca="1" si="51">IF(TODAY()-AD4&gt;335,((AL4+1+(LOG(AF4)*4/3))*1)+((AK4+1+(LOG(AF4)*4/3))*0.369),((AL4+(((TODAY()-AD4)^0.5)/(336^0.5))+(LOG(AF4)*4/3))*1)+((AK4+(((TODAY()-AD4)^0.5)/(336^0.5))+(LOG(AF4)*4/3))*0.369))</f>
        <v>13.527385415700278</v>
      </c>
      <c r="CQ4" s="32">
        <f t="shared" ref="CQ4:CQ13" ca="1" si="52">CO4</f>
        <v>4.5953843053186798</v>
      </c>
      <c r="CR4" s="32">
        <f t="shared" ref="CR4:CR13" ca="1" si="53">IF(TODAY()-AD4&gt;335,((AI4+1+(LOG(AF4)*4/3))*0.25),((AI4+(((TODAY()-AD4)^0.5)/(336^0.5))+(LOG(AF4)*4/3))*0.25))</f>
        <v>2.2593837501278813</v>
      </c>
    </row>
    <row r="5" spans="1:96" x14ac:dyDescent="0.25">
      <c r="B5" s="84"/>
      <c r="L5" s="50">
        <f>SUM(L7:L17)</f>
        <v>50570</v>
      </c>
      <c r="M5" s="50">
        <f>SUM(M7:M17)</f>
        <v>322534.95</v>
      </c>
      <c r="N5" s="50">
        <f>SUM(N7:N17)</f>
        <v>387041.93999999994</v>
      </c>
      <c r="Q5" t="s">
        <v>26</v>
      </c>
      <c r="R5" s="75">
        <v>6.6000000000000003E-2</v>
      </c>
      <c r="S5" s="84"/>
      <c r="T5" s="74">
        <v>0.23599999999999999</v>
      </c>
      <c r="U5" s="84"/>
      <c r="V5" s="84"/>
      <c r="W5" s="84"/>
      <c r="X5" s="75">
        <v>0.16500000000000001</v>
      </c>
      <c r="Y5" s="84"/>
      <c r="Z5" s="75">
        <v>0.16700000000000001</v>
      </c>
      <c r="AD5" s="92">
        <v>41974</v>
      </c>
      <c r="AE5" s="85">
        <v>6</v>
      </c>
      <c r="AF5" s="29">
        <v>6</v>
      </c>
      <c r="AG5" s="28">
        <v>0</v>
      </c>
      <c r="AH5" s="28">
        <v>5</v>
      </c>
      <c r="AI5" s="28">
        <v>7</v>
      </c>
      <c r="AJ5" s="28">
        <v>2</v>
      </c>
      <c r="AK5" s="28">
        <v>2</v>
      </c>
      <c r="AL5" s="28">
        <v>10</v>
      </c>
      <c r="AM5" s="28">
        <v>16</v>
      </c>
      <c r="AN5" s="28">
        <f t="shared" ref="AN5:AN13" si="54">((2*(AK5+1))+(AH5+1))/8</f>
        <v>1.5</v>
      </c>
      <c r="AO5" s="28">
        <f t="shared" ref="AO5:AO13" si="55">(0.5*AL5+ 0.3*AM5)/10</f>
        <v>0.98000000000000009</v>
      </c>
      <c r="AP5" s="28">
        <f t="shared" ref="AP5:AP13" si="56">(0.4*AH5+0.3*AM5)/10</f>
        <v>0.67999999999999994</v>
      </c>
      <c r="AQ5" s="28">
        <f t="shared" ca="1" si="0"/>
        <v>16.699512453824468</v>
      </c>
      <c r="AR5" s="28">
        <f t="shared" ca="1" si="1"/>
        <v>18.02464644223808</v>
      </c>
      <c r="AS5" s="32">
        <f t="shared" ca="1" si="4"/>
        <v>3.1587680554465614</v>
      </c>
      <c r="AT5" s="32">
        <f t="shared" ca="1" si="5"/>
        <v>4.755457685660379</v>
      </c>
      <c r="AU5" s="32">
        <f t="shared" ca="1" si="6"/>
        <v>3.1587680554465614</v>
      </c>
      <c r="AV5" s="32">
        <f t="shared" ca="1" si="7"/>
        <v>3.6313680602639469</v>
      </c>
      <c r="AW5" s="32">
        <f t="shared" ca="1" si="2"/>
        <v>7.0375350005115251</v>
      </c>
      <c r="AX5" s="32">
        <f t="shared" ca="1" si="8"/>
        <v>1.8156840301319734</v>
      </c>
      <c r="AY5" s="32">
        <f t="shared" ca="1" si="9"/>
        <v>2.150933330121743</v>
      </c>
      <c r="AZ5" s="32">
        <f t="shared" ca="1" si="3"/>
        <v>6.4745322004706036</v>
      </c>
      <c r="BA5" s="32">
        <f t="shared" ca="1" si="10"/>
        <v>2.9135394902117713</v>
      </c>
      <c r="BB5" s="32">
        <f t="shared" ca="1" si="11"/>
        <v>1.5092683450854247</v>
      </c>
      <c r="BC5" s="32">
        <f t="shared" ca="1" si="12"/>
        <v>2.3740705803007764</v>
      </c>
      <c r="BD5" s="32">
        <f t="shared" ca="1" si="13"/>
        <v>5.3063013903856904</v>
      </c>
      <c r="BE5" s="32">
        <f t="shared" ca="1" si="14"/>
        <v>4.9825747803621594</v>
      </c>
      <c r="BF5" s="32">
        <f t="shared" ca="1" si="15"/>
        <v>2.9060293457011803</v>
      </c>
      <c r="BG5" s="32">
        <f t="shared" ca="1" si="16"/>
        <v>0.8355955183349687</v>
      </c>
      <c r="BH5" s="32">
        <f t="shared" ca="1" si="17"/>
        <v>3.4132044752480897</v>
      </c>
      <c r="BI5" s="32">
        <f t="shared" ca="1" si="18"/>
        <v>1.8579092401350428</v>
      </c>
      <c r="BJ5" s="32">
        <f t="shared" ca="1" si="19"/>
        <v>3.4433008351948913</v>
      </c>
      <c r="BK5" s="32">
        <f t="shared" ca="1" si="20"/>
        <v>3.5288055904470732</v>
      </c>
      <c r="BL5" s="32">
        <f t="shared" ca="1" si="21"/>
        <v>0.20995182002659929</v>
      </c>
      <c r="BM5" s="32">
        <f t="shared" ca="1" si="22"/>
        <v>1.9001344501381119</v>
      </c>
      <c r="BN5" s="32">
        <f t="shared" ca="1" si="23"/>
        <v>4.1802957903038456</v>
      </c>
      <c r="BO5" s="32">
        <f t="shared" ca="1" si="24"/>
        <v>0.95006722506905594</v>
      </c>
      <c r="BP5" s="32">
        <f t="shared" ca="1" si="25"/>
        <v>8.5314330404828791</v>
      </c>
      <c r="BQ5" s="32">
        <f t="shared" ca="1" si="26"/>
        <v>0.52487955006649833</v>
      </c>
      <c r="BR5" s="32">
        <f t="shared" ca="1" si="27"/>
        <v>2.5669977551498766</v>
      </c>
      <c r="BS5" s="32">
        <f t="shared" ca="1" si="28"/>
        <v>0.26243977503324917</v>
      </c>
      <c r="BT5" s="32">
        <f t="shared" ca="1" si="29"/>
        <v>1.3300941150966783</v>
      </c>
      <c r="BU5" s="32">
        <f t="shared" ca="1" si="30"/>
        <v>1.3300941150966783</v>
      </c>
      <c r="BV5" s="32">
        <f t="shared" ca="1" si="31"/>
        <v>0.66504705754833915</v>
      </c>
      <c r="BW5" s="32">
        <f t="shared" ca="1" si="32"/>
        <v>9.0375350005115251</v>
      </c>
      <c r="BX5" s="32">
        <f t="shared" ca="1" si="33"/>
        <v>1.0214963551294158</v>
      </c>
      <c r="BY5" s="32">
        <f t="shared" ca="1" si="34"/>
        <v>3.9046817852818503</v>
      </c>
      <c r="BZ5" s="32">
        <f t="shared" ca="1" si="35"/>
        <v>0.51074817756470792</v>
      </c>
      <c r="CA5" s="32">
        <f t="shared" ca="1" si="36"/>
        <v>2.0479226851488539</v>
      </c>
      <c r="CB5" s="32">
        <f t="shared" ca="1" si="37"/>
        <v>2.4490621801780104</v>
      </c>
      <c r="CC5" s="32">
        <f t="shared" ca="1" si="38"/>
        <v>7.9620683354506534</v>
      </c>
      <c r="CD5" s="32">
        <f t="shared" ca="1" si="39"/>
        <v>3.5893686154547457</v>
      </c>
      <c r="CE5" s="32">
        <f t="shared" ca="1" si="40"/>
        <v>0.97304593512327753</v>
      </c>
      <c r="CF5" s="32">
        <f t="shared" ca="1" si="41"/>
        <v>1.2667563000920745</v>
      </c>
      <c r="CG5" s="32">
        <f t="shared" ca="1" si="42"/>
        <v>0.47855238003478373</v>
      </c>
      <c r="CH5" s="32">
        <f t="shared" ca="1" si="43"/>
        <v>2.7564481751560153</v>
      </c>
      <c r="CI5" s="32">
        <f t="shared" ca="1" si="44"/>
        <v>5.192270010657821</v>
      </c>
      <c r="CJ5" s="32">
        <f t="shared" ca="1" si="45"/>
        <v>0.54506722506905592</v>
      </c>
      <c r="CK5" s="32">
        <f t="shared" ca="1" si="46"/>
        <v>3.6692392102076794</v>
      </c>
      <c r="CL5" s="32">
        <f t="shared" ca="1" si="47"/>
        <v>3.1195557352665046</v>
      </c>
      <c r="CM5" s="32">
        <f t="shared" ca="1" si="48"/>
        <v>9.2102644105759772</v>
      </c>
      <c r="CN5" s="32">
        <f t="shared" ca="1" si="49"/>
        <v>3.1195557352665046</v>
      </c>
      <c r="CO5" s="32">
        <f t="shared" ca="1" si="50"/>
        <v>4.5953843053186798</v>
      </c>
      <c r="CP5" s="32">
        <f t="shared" ca="1" si="51"/>
        <v>13.527385415700278</v>
      </c>
      <c r="CQ5" s="32">
        <f t="shared" ca="1" si="52"/>
        <v>4.5953843053186798</v>
      </c>
      <c r="CR5" s="32">
        <f t="shared" ca="1" si="53"/>
        <v>2.2593837501278813</v>
      </c>
    </row>
    <row r="6" spans="1:96" x14ac:dyDescent="0.25">
      <c r="A6" s="53" t="s">
        <v>53</v>
      </c>
      <c r="B6" s="18" t="s">
        <v>34</v>
      </c>
      <c r="C6" s="18" t="s">
        <v>54</v>
      </c>
      <c r="D6" s="18" t="s">
        <v>36</v>
      </c>
      <c r="E6" s="18" t="s">
        <v>37</v>
      </c>
      <c r="F6" s="18" t="s">
        <v>38</v>
      </c>
      <c r="G6" s="18" t="s">
        <v>39</v>
      </c>
      <c r="H6" s="18" t="s">
        <v>40</v>
      </c>
      <c r="I6" s="18" t="s">
        <v>41</v>
      </c>
      <c r="J6" s="18" t="s">
        <v>35</v>
      </c>
      <c r="K6" s="80" t="s">
        <v>204</v>
      </c>
      <c r="L6" s="80" t="s">
        <v>202</v>
      </c>
      <c r="M6" s="80" t="s">
        <v>203</v>
      </c>
      <c r="N6" s="77" t="s">
        <v>186</v>
      </c>
      <c r="Q6" t="s">
        <v>168</v>
      </c>
      <c r="R6" s="70">
        <v>0.376</v>
      </c>
      <c r="S6" s="84"/>
      <c r="T6" s="69">
        <v>0</v>
      </c>
      <c r="U6" s="84"/>
      <c r="V6" s="84"/>
      <c r="W6" s="84"/>
      <c r="X6" s="86">
        <v>0.28599999999999998</v>
      </c>
      <c r="Y6" s="84"/>
      <c r="Z6" s="72">
        <v>0.58799999999999997</v>
      </c>
      <c r="AD6" s="92">
        <v>41974</v>
      </c>
      <c r="AE6" s="85">
        <v>6</v>
      </c>
      <c r="AF6" s="29">
        <v>6</v>
      </c>
      <c r="AG6" s="28">
        <v>0</v>
      </c>
      <c r="AH6" s="28">
        <v>5</v>
      </c>
      <c r="AI6" s="28">
        <v>7</v>
      </c>
      <c r="AJ6" s="28">
        <v>5</v>
      </c>
      <c r="AK6" s="28">
        <v>2</v>
      </c>
      <c r="AL6" s="28">
        <v>10</v>
      </c>
      <c r="AM6" s="28">
        <v>16</v>
      </c>
      <c r="AN6" s="28">
        <f t="shared" si="54"/>
        <v>1.5</v>
      </c>
      <c r="AO6" s="28">
        <f t="shared" si="55"/>
        <v>0.98000000000000009</v>
      </c>
      <c r="AP6" s="28">
        <f t="shared" si="56"/>
        <v>0.67999999999999994</v>
      </c>
      <c r="AQ6" s="28">
        <f t="shared" ca="1" si="0"/>
        <v>16.699512453824468</v>
      </c>
      <c r="AR6" s="28">
        <f t="shared" ca="1" si="1"/>
        <v>18.02464644223808</v>
      </c>
      <c r="AS6" s="32">
        <f t="shared" ca="1" si="4"/>
        <v>3.1587680554465614</v>
      </c>
      <c r="AT6" s="32">
        <f t="shared" ca="1" si="5"/>
        <v>4.755457685660379</v>
      </c>
      <c r="AU6" s="32">
        <f t="shared" ca="1" si="6"/>
        <v>3.1587680554465614</v>
      </c>
      <c r="AV6" s="32">
        <f t="shared" ca="1" si="7"/>
        <v>3.6313680602639469</v>
      </c>
      <c r="AW6" s="32">
        <f t="shared" ca="1" si="2"/>
        <v>7.0375350005115251</v>
      </c>
      <c r="AX6" s="32">
        <f t="shared" ca="1" si="8"/>
        <v>1.8156840301319734</v>
      </c>
      <c r="AY6" s="32">
        <f t="shared" ca="1" si="9"/>
        <v>2.150933330121743</v>
      </c>
      <c r="AZ6" s="32">
        <f t="shared" ca="1" si="3"/>
        <v>6.4745322004706036</v>
      </c>
      <c r="BA6" s="32">
        <f t="shared" ca="1" si="10"/>
        <v>2.9135394902117713</v>
      </c>
      <c r="BB6" s="32">
        <f t="shared" ca="1" si="11"/>
        <v>1.5092683450854247</v>
      </c>
      <c r="BC6" s="32">
        <f t="shared" ca="1" si="12"/>
        <v>4.1380705803007762</v>
      </c>
      <c r="BD6" s="32">
        <f t="shared" ca="1" si="13"/>
        <v>5.3063013903856904</v>
      </c>
      <c r="BE6" s="32">
        <f t="shared" ca="1" si="14"/>
        <v>4.9825747803621594</v>
      </c>
      <c r="BF6" s="32">
        <f t="shared" ca="1" si="15"/>
        <v>2.9946373209654871</v>
      </c>
      <c r="BG6" s="32">
        <f t="shared" ca="1" si="16"/>
        <v>0.98840448166503125</v>
      </c>
      <c r="BH6" s="32">
        <f t="shared" ca="1" si="17"/>
        <v>3.4132044752480897</v>
      </c>
      <c r="BI6" s="32">
        <f t="shared" ca="1" si="18"/>
        <v>1.8579092401350428</v>
      </c>
      <c r="BJ6" s="32">
        <f t="shared" ca="1" si="19"/>
        <v>3.4433008351948913</v>
      </c>
      <c r="BK6" s="32">
        <f t="shared" ca="1" si="20"/>
        <v>5.5478055904470738</v>
      </c>
      <c r="BL6" s="32">
        <f t="shared" ca="1" si="21"/>
        <v>0.20995182002659929</v>
      </c>
      <c r="BM6" s="32">
        <f t="shared" ca="1" si="22"/>
        <v>1.9001344501381119</v>
      </c>
      <c r="BN6" s="32">
        <f t="shared" ca="1" si="23"/>
        <v>4.1802957903038456</v>
      </c>
      <c r="BO6" s="32">
        <f t="shared" ca="1" si="24"/>
        <v>0.95006722506905594</v>
      </c>
      <c r="BP6" s="32">
        <f t="shared" ca="1" si="25"/>
        <v>8.5314330404828791</v>
      </c>
      <c r="BQ6" s="32">
        <f t="shared" ca="1" si="26"/>
        <v>0.52487955006649833</v>
      </c>
      <c r="BR6" s="32">
        <f t="shared" ca="1" si="27"/>
        <v>2.5669977551498766</v>
      </c>
      <c r="BS6" s="32">
        <f t="shared" ca="1" si="28"/>
        <v>0.26243977503324917</v>
      </c>
      <c r="BT6" s="32">
        <f t="shared" ca="1" si="29"/>
        <v>1.3300941150966783</v>
      </c>
      <c r="BU6" s="32">
        <f t="shared" ca="1" si="30"/>
        <v>1.3300941150966783</v>
      </c>
      <c r="BV6" s="32">
        <f t="shared" ca="1" si="31"/>
        <v>0.66504705754833915</v>
      </c>
      <c r="BW6" s="32">
        <f t="shared" ca="1" si="32"/>
        <v>9.0375350005115251</v>
      </c>
      <c r="BX6" s="32">
        <f t="shared" ca="1" si="33"/>
        <v>1.0214963551294158</v>
      </c>
      <c r="BY6" s="32">
        <f t="shared" ca="1" si="34"/>
        <v>3.9046817852818503</v>
      </c>
      <c r="BZ6" s="32">
        <f t="shared" ca="1" si="35"/>
        <v>0.51074817756470792</v>
      </c>
      <c r="CA6" s="32">
        <f t="shared" ca="1" si="36"/>
        <v>2.0479226851488539</v>
      </c>
      <c r="CB6" s="32">
        <f t="shared" ca="1" si="37"/>
        <v>2.4490621801780104</v>
      </c>
      <c r="CC6" s="32">
        <f t="shared" ca="1" si="38"/>
        <v>7.9620683354506534</v>
      </c>
      <c r="CD6" s="32">
        <f t="shared" ca="1" si="39"/>
        <v>5.3113686154547448</v>
      </c>
      <c r="CE6" s="32">
        <f t="shared" ca="1" si="40"/>
        <v>0.97304593512327753</v>
      </c>
      <c r="CF6" s="32">
        <f t="shared" ca="1" si="41"/>
        <v>1.2667563000920745</v>
      </c>
      <c r="CG6" s="32">
        <f t="shared" ca="1" si="42"/>
        <v>0.47855238003478373</v>
      </c>
      <c r="CH6" s="32">
        <f t="shared" ca="1" si="43"/>
        <v>2.7564481751560153</v>
      </c>
      <c r="CI6" s="32">
        <f t="shared" ca="1" si="44"/>
        <v>8.1922700106578219</v>
      </c>
      <c r="CJ6" s="32">
        <f t="shared" ca="1" si="45"/>
        <v>0.54506722506905592</v>
      </c>
      <c r="CK6" s="32">
        <f t="shared" ca="1" si="46"/>
        <v>3.6692392102076794</v>
      </c>
      <c r="CL6" s="32">
        <f t="shared" ca="1" si="47"/>
        <v>3.5515557352665046</v>
      </c>
      <c r="CM6" s="32">
        <f t="shared" ca="1" si="48"/>
        <v>9.2102644105759772</v>
      </c>
      <c r="CN6" s="32">
        <f t="shared" ca="1" si="49"/>
        <v>3.5515557352665046</v>
      </c>
      <c r="CO6" s="32">
        <f t="shared" ca="1" si="50"/>
        <v>5.2583843053186801</v>
      </c>
      <c r="CP6" s="32">
        <f t="shared" ca="1" si="51"/>
        <v>13.527385415700278</v>
      </c>
      <c r="CQ6" s="32">
        <f t="shared" ca="1" si="52"/>
        <v>5.2583843053186801</v>
      </c>
      <c r="CR6" s="32">
        <f t="shared" ca="1" si="53"/>
        <v>2.2593837501278813</v>
      </c>
    </row>
    <row r="7" spans="1:96" x14ac:dyDescent="0.25">
      <c r="A7" s="54" t="s">
        <v>42</v>
      </c>
      <c r="B7" s="55" t="s">
        <v>29</v>
      </c>
      <c r="C7" s="19"/>
      <c r="D7" s="56">
        <v>15</v>
      </c>
      <c r="E7" s="20">
        <v>14</v>
      </c>
      <c r="F7" s="56">
        <v>0</v>
      </c>
      <c r="G7" s="20">
        <v>0</v>
      </c>
      <c r="H7" s="56">
        <v>0</v>
      </c>
      <c r="I7" s="20">
        <v>0</v>
      </c>
      <c r="J7" s="56">
        <v>19</v>
      </c>
      <c r="K7" s="56">
        <f>C20+C23</f>
        <v>106</v>
      </c>
      <c r="L7" s="83">
        <f>24270</f>
        <v>24270</v>
      </c>
      <c r="M7" s="81">
        <f>(24270+9185)*1.06</f>
        <v>35462.300000000003</v>
      </c>
      <c r="N7" s="82">
        <f>M7*1.2</f>
        <v>42554.76</v>
      </c>
      <c r="Q7" t="s">
        <v>176</v>
      </c>
      <c r="R7" s="70">
        <v>6.7000000000000004E-2</v>
      </c>
      <c r="S7" s="84"/>
      <c r="T7" s="70">
        <v>6.7000000000000004E-2</v>
      </c>
      <c r="U7" s="84"/>
      <c r="V7" s="84"/>
      <c r="W7" s="84"/>
      <c r="X7" s="70">
        <v>6.7000000000000004E-2</v>
      </c>
      <c r="Y7" s="84"/>
      <c r="Z7" s="70">
        <v>6.7000000000000004E-2</v>
      </c>
      <c r="AD7" s="92">
        <v>41974</v>
      </c>
      <c r="AE7" s="85">
        <v>6</v>
      </c>
      <c r="AF7" s="29">
        <v>6</v>
      </c>
      <c r="AG7" s="28">
        <v>0</v>
      </c>
      <c r="AH7" s="28">
        <v>5</v>
      </c>
      <c r="AI7" s="28">
        <v>7</v>
      </c>
      <c r="AJ7" s="28">
        <v>5</v>
      </c>
      <c r="AK7" s="28">
        <v>2</v>
      </c>
      <c r="AL7" s="28">
        <v>10</v>
      </c>
      <c r="AM7" s="28">
        <v>16</v>
      </c>
      <c r="AN7" s="28">
        <f t="shared" si="54"/>
        <v>1.5</v>
      </c>
      <c r="AO7" s="28">
        <f t="shared" si="55"/>
        <v>0.98000000000000009</v>
      </c>
      <c r="AP7" s="28">
        <f t="shared" si="56"/>
        <v>0.67999999999999994</v>
      </c>
      <c r="AQ7" s="28">
        <f t="shared" ca="1" si="0"/>
        <v>16.699512453824468</v>
      </c>
      <c r="AR7" s="28">
        <f t="shared" ca="1" si="1"/>
        <v>18.02464644223808</v>
      </c>
      <c r="AS7" s="32">
        <f t="shared" ca="1" si="4"/>
        <v>3.1587680554465614</v>
      </c>
      <c r="AT7" s="32">
        <f t="shared" ca="1" si="5"/>
        <v>4.755457685660379</v>
      </c>
      <c r="AU7" s="32">
        <f t="shared" ca="1" si="6"/>
        <v>3.1587680554465614</v>
      </c>
      <c r="AV7" s="32">
        <f t="shared" ca="1" si="7"/>
        <v>3.6313680602639469</v>
      </c>
      <c r="AW7" s="32">
        <f t="shared" ca="1" si="2"/>
        <v>7.0375350005115251</v>
      </c>
      <c r="AX7" s="32">
        <f t="shared" ca="1" si="8"/>
        <v>1.8156840301319734</v>
      </c>
      <c r="AY7" s="32">
        <f t="shared" ca="1" si="9"/>
        <v>2.150933330121743</v>
      </c>
      <c r="AZ7" s="32">
        <f t="shared" ca="1" si="3"/>
        <v>6.4745322004706036</v>
      </c>
      <c r="BA7" s="32">
        <f t="shared" ca="1" si="10"/>
        <v>2.9135394902117713</v>
      </c>
      <c r="BB7" s="32">
        <f t="shared" ca="1" si="11"/>
        <v>1.5092683450854247</v>
      </c>
      <c r="BC7" s="32">
        <f t="shared" ca="1" si="12"/>
        <v>4.1380705803007762</v>
      </c>
      <c r="BD7" s="32">
        <f t="shared" ca="1" si="13"/>
        <v>5.3063013903856904</v>
      </c>
      <c r="BE7" s="32">
        <f t="shared" ca="1" si="14"/>
        <v>4.9825747803621594</v>
      </c>
      <c r="BF7" s="32">
        <f t="shared" ca="1" si="15"/>
        <v>2.9946373209654871</v>
      </c>
      <c r="BG7" s="32">
        <f t="shared" ca="1" si="16"/>
        <v>0.98840448166503125</v>
      </c>
      <c r="BH7" s="32">
        <f t="shared" ca="1" si="17"/>
        <v>3.4132044752480897</v>
      </c>
      <c r="BI7" s="32">
        <f t="shared" ca="1" si="18"/>
        <v>1.8579092401350428</v>
      </c>
      <c r="BJ7" s="32">
        <f t="shared" ca="1" si="19"/>
        <v>3.4433008351948913</v>
      </c>
      <c r="BK7" s="32">
        <f t="shared" ca="1" si="20"/>
        <v>5.5478055904470738</v>
      </c>
      <c r="BL7" s="32">
        <f t="shared" ca="1" si="21"/>
        <v>0.20995182002659929</v>
      </c>
      <c r="BM7" s="32">
        <f t="shared" ca="1" si="22"/>
        <v>1.9001344501381119</v>
      </c>
      <c r="BN7" s="32">
        <f t="shared" ca="1" si="23"/>
        <v>4.1802957903038456</v>
      </c>
      <c r="BO7" s="32">
        <f t="shared" ca="1" si="24"/>
        <v>0.95006722506905594</v>
      </c>
      <c r="BP7" s="32">
        <f t="shared" ca="1" si="25"/>
        <v>8.5314330404828791</v>
      </c>
      <c r="BQ7" s="32">
        <f t="shared" ca="1" si="26"/>
        <v>0.52487955006649833</v>
      </c>
      <c r="BR7" s="32">
        <f t="shared" ca="1" si="27"/>
        <v>2.5669977551498766</v>
      </c>
      <c r="BS7" s="32">
        <f t="shared" ca="1" si="28"/>
        <v>0.26243977503324917</v>
      </c>
      <c r="BT7" s="32">
        <f t="shared" ca="1" si="29"/>
        <v>1.3300941150966783</v>
      </c>
      <c r="BU7" s="32">
        <f t="shared" ca="1" si="30"/>
        <v>1.3300941150966783</v>
      </c>
      <c r="BV7" s="32">
        <f t="shared" ca="1" si="31"/>
        <v>0.66504705754833915</v>
      </c>
      <c r="BW7" s="32">
        <f t="shared" ca="1" si="32"/>
        <v>9.0375350005115251</v>
      </c>
      <c r="BX7" s="32">
        <f t="shared" ca="1" si="33"/>
        <v>1.0214963551294158</v>
      </c>
      <c r="BY7" s="32">
        <f t="shared" ca="1" si="34"/>
        <v>3.9046817852818503</v>
      </c>
      <c r="BZ7" s="32">
        <f t="shared" ca="1" si="35"/>
        <v>0.51074817756470792</v>
      </c>
      <c r="CA7" s="32">
        <f t="shared" ca="1" si="36"/>
        <v>2.0479226851488539</v>
      </c>
      <c r="CB7" s="32">
        <f t="shared" ca="1" si="37"/>
        <v>2.4490621801780104</v>
      </c>
      <c r="CC7" s="32">
        <f t="shared" ca="1" si="38"/>
        <v>7.9620683354506534</v>
      </c>
      <c r="CD7" s="32">
        <f t="shared" ca="1" si="39"/>
        <v>5.3113686154547448</v>
      </c>
      <c r="CE7" s="32">
        <f t="shared" ca="1" si="40"/>
        <v>0.97304593512327753</v>
      </c>
      <c r="CF7" s="32">
        <f t="shared" ca="1" si="41"/>
        <v>1.2667563000920745</v>
      </c>
      <c r="CG7" s="32">
        <f t="shared" ca="1" si="42"/>
        <v>0.47855238003478373</v>
      </c>
      <c r="CH7" s="32">
        <f t="shared" ca="1" si="43"/>
        <v>2.7564481751560153</v>
      </c>
      <c r="CI7" s="32">
        <f t="shared" ca="1" si="44"/>
        <v>8.1922700106578219</v>
      </c>
      <c r="CJ7" s="32">
        <f t="shared" ca="1" si="45"/>
        <v>0.54506722506905592</v>
      </c>
      <c r="CK7" s="32">
        <f t="shared" ca="1" si="46"/>
        <v>3.6692392102076794</v>
      </c>
      <c r="CL7" s="32">
        <f t="shared" ca="1" si="47"/>
        <v>3.5515557352665046</v>
      </c>
      <c r="CM7" s="32">
        <f t="shared" ca="1" si="48"/>
        <v>9.2102644105759772</v>
      </c>
      <c r="CN7" s="32">
        <f t="shared" ca="1" si="49"/>
        <v>3.5515557352665046</v>
      </c>
      <c r="CO7" s="32">
        <f t="shared" ca="1" si="50"/>
        <v>5.2583843053186801</v>
      </c>
      <c r="CP7" s="32">
        <f t="shared" ca="1" si="51"/>
        <v>13.527385415700278</v>
      </c>
      <c r="CQ7" s="32">
        <f t="shared" ca="1" si="52"/>
        <v>5.2583843053186801</v>
      </c>
      <c r="CR7" s="32">
        <f t="shared" ca="1" si="53"/>
        <v>2.2593837501278813</v>
      </c>
    </row>
    <row r="8" spans="1:96" x14ac:dyDescent="0.25">
      <c r="A8" s="54" t="s">
        <v>90</v>
      </c>
      <c r="B8" s="55" t="s">
        <v>198</v>
      </c>
      <c r="C8" s="19" t="s">
        <v>106</v>
      </c>
      <c r="D8" s="56">
        <v>0</v>
      </c>
      <c r="E8" s="56">
        <v>14</v>
      </c>
      <c r="F8" s="56">
        <v>10.5</v>
      </c>
      <c r="G8" s="56">
        <v>2</v>
      </c>
      <c r="H8" s="56">
        <v>2</v>
      </c>
      <c r="I8" s="56">
        <v>10</v>
      </c>
      <c r="J8" s="56">
        <v>16</v>
      </c>
      <c r="K8" s="56">
        <f>C20+C21+C23</f>
        <v>172</v>
      </c>
      <c r="L8" s="56">
        <v>2630</v>
      </c>
      <c r="M8" s="81">
        <f>(18370+1455+365+1315)*1.045</f>
        <v>22472.724999999999</v>
      </c>
      <c r="N8" s="82">
        <f t="shared" ref="N8:N17" si="57">M8*1.2</f>
        <v>26967.269999999997</v>
      </c>
      <c r="Q8" t="s">
        <v>177</v>
      </c>
      <c r="R8" s="70" t="s">
        <v>106</v>
      </c>
      <c r="S8" s="84"/>
      <c r="T8" s="70" t="s">
        <v>106</v>
      </c>
      <c r="U8" s="84"/>
      <c r="V8" s="84"/>
      <c r="W8" s="84"/>
      <c r="X8" s="70" t="s">
        <v>106</v>
      </c>
      <c r="Y8" s="84"/>
      <c r="Z8" s="70" t="s">
        <v>106</v>
      </c>
      <c r="AD8" s="92">
        <v>41974</v>
      </c>
      <c r="AE8" s="85">
        <v>6</v>
      </c>
      <c r="AF8" s="29">
        <v>6</v>
      </c>
      <c r="AG8" s="28">
        <v>0</v>
      </c>
      <c r="AH8" s="28">
        <v>5</v>
      </c>
      <c r="AI8" s="28">
        <v>7</v>
      </c>
      <c r="AJ8" s="28">
        <v>5</v>
      </c>
      <c r="AK8" s="28">
        <v>2</v>
      </c>
      <c r="AL8" s="28">
        <v>10</v>
      </c>
      <c r="AM8" s="28">
        <v>16</v>
      </c>
      <c r="AN8" s="28">
        <f t="shared" si="54"/>
        <v>1.5</v>
      </c>
      <c r="AO8" s="28">
        <f t="shared" si="55"/>
        <v>0.98000000000000009</v>
      </c>
      <c r="AP8" s="28">
        <f t="shared" si="56"/>
        <v>0.67999999999999994</v>
      </c>
      <c r="AQ8" s="28">
        <f t="shared" ca="1" si="0"/>
        <v>16.699512453824468</v>
      </c>
      <c r="AR8" s="28">
        <f t="shared" ca="1" si="1"/>
        <v>18.02464644223808</v>
      </c>
      <c r="AS8" s="32">
        <f t="shared" ca="1" si="4"/>
        <v>3.1587680554465614</v>
      </c>
      <c r="AT8" s="32">
        <f t="shared" ca="1" si="5"/>
        <v>4.755457685660379</v>
      </c>
      <c r="AU8" s="32">
        <f t="shared" ca="1" si="6"/>
        <v>3.1587680554465614</v>
      </c>
      <c r="AV8" s="32">
        <f t="shared" ca="1" si="7"/>
        <v>3.6313680602639469</v>
      </c>
      <c r="AW8" s="32">
        <f t="shared" ca="1" si="2"/>
        <v>7.0375350005115251</v>
      </c>
      <c r="AX8" s="32">
        <f t="shared" ca="1" si="8"/>
        <v>1.8156840301319734</v>
      </c>
      <c r="AY8" s="32">
        <f t="shared" ca="1" si="9"/>
        <v>2.150933330121743</v>
      </c>
      <c r="AZ8" s="32">
        <f t="shared" ca="1" si="3"/>
        <v>6.4745322004706036</v>
      </c>
      <c r="BA8" s="32">
        <f t="shared" ca="1" si="10"/>
        <v>2.9135394902117713</v>
      </c>
      <c r="BB8" s="32">
        <f t="shared" ca="1" si="11"/>
        <v>1.5092683450854247</v>
      </c>
      <c r="BC8" s="32">
        <f t="shared" ca="1" si="12"/>
        <v>4.1380705803007762</v>
      </c>
      <c r="BD8" s="32">
        <f t="shared" ca="1" si="13"/>
        <v>5.3063013903856904</v>
      </c>
      <c r="BE8" s="32">
        <f t="shared" ca="1" si="14"/>
        <v>4.9825747803621594</v>
      </c>
      <c r="BF8" s="32">
        <f t="shared" ca="1" si="15"/>
        <v>2.9946373209654871</v>
      </c>
      <c r="BG8" s="32">
        <f t="shared" ca="1" si="16"/>
        <v>0.98840448166503125</v>
      </c>
      <c r="BH8" s="32">
        <f t="shared" ca="1" si="17"/>
        <v>3.4132044752480897</v>
      </c>
      <c r="BI8" s="32">
        <f t="shared" ca="1" si="18"/>
        <v>1.8579092401350428</v>
      </c>
      <c r="BJ8" s="32">
        <f t="shared" ca="1" si="19"/>
        <v>3.4433008351948913</v>
      </c>
      <c r="BK8" s="32">
        <f t="shared" ca="1" si="20"/>
        <v>5.5478055904470738</v>
      </c>
      <c r="BL8" s="32">
        <f t="shared" ca="1" si="21"/>
        <v>0.20995182002659929</v>
      </c>
      <c r="BM8" s="32">
        <f t="shared" ca="1" si="22"/>
        <v>1.9001344501381119</v>
      </c>
      <c r="BN8" s="32">
        <f t="shared" ca="1" si="23"/>
        <v>4.1802957903038456</v>
      </c>
      <c r="BO8" s="32">
        <f t="shared" ca="1" si="24"/>
        <v>0.95006722506905594</v>
      </c>
      <c r="BP8" s="32">
        <f t="shared" ca="1" si="25"/>
        <v>8.5314330404828791</v>
      </c>
      <c r="BQ8" s="32">
        <f t="shared" ca="1" si="26"/>
        <v>0.52487955006649833</v>
      </c>
      <c r="BR8" s="32">
        <f t="shared" ca="1" si="27"/>
        <v>2.5669977551498766</v>
      </c>
      <c r="BS8" s="32">
        <f t="shared" ca="1" si="28"/>
        <v>0.26243977503324917</v>
      </c>
      <c r="BT8" s="32">
        <f t="shared" ca="1" si="29"/>
        <v>1.3300941150966783</v>
      </c>
      <c r="BU8" s="32">
        <f t="shared" ca="1" si="30"/>
        <v>1.3300941150966783</v>
      </c>
      <c r="BV8" s="32">
        <f t="shared" ca="1" si="31"/>
        <v>0.66504705754833915</v>
      </c>
      <c r="BW8" s="32">
        <f t="shared" ca="1" si="32"/>
        <v>9.0375350005115251</v>
      </c>
      <c r="BX8" s="32">
        <f t="shared" ca="1" si="33"/>
        <v>1.0214963551294158</v>
      </c>
      <c r="BY8" s="32">
        <f t="shared" ca="1" si="34"/>
        <v>3.9046817852818503</v>
      </c>
      <c r="BZ8" s="32">
        <f t="shared" ca="1" si="35"/>
        <v>0.51074817756470792</v>
      </c>
      <c r="CA8" s="32">
        <f t="shared" ca="1" si="36"/>
        <v>2.0479226851488539</v>
      </c>
      <c r="CB8" s="32">
        <f t="shared" ca="1" si="37"/>
        <v>2.4490621801780104</v>
      </c>
      <c r="CC8" s="32">
        <f t="shared" ca="1" si="38"/>
        <v>7.9620683354506534</v>
      </c>
      <c r="CD8" s="32">
        <f t="shared" ca="1" si="39"/>
        <v>5.3113686154547448</v>
      </c>
      <c r="CE8" s="32">
        <f t="shared" ca="1" si="40"/>
        <v>0.97304593512327753</v>
      </c>
      <c r="CF8" s="32">
        <f t="shared" ca="1" si="41"/>
        <v>1.2667563000920745</v>
      </c>
      <c r="CG8" s="32">
        <f t="shared" ca="1" si="42"/>
        <v>0.47855238003478373</v>
      </c>
      <c r="CH8" s="32">
        <f t="shared" ca="1" si="43"/>
        <v>2.7564481751560153</v>
      </c>
      <c r="CI8" s="32">
        <f t="shared" ca="1" si="44"/>
        <v>8.1922700106578219</v>
      </c>
      <c r="CJ8" s="32">
        <f t="shared" ca="1" si="45"/>
        <v>0.54506722506905592</v>
      </c>
      <c r="CK8" s="32">
        <f t="shared" ca="1" si="46"/>
        <v>3.6692392102076794</v>
      </c>
      <c r="CL8" s="32">
        <f t="shared" ca="1" si="47"/>
        <v>3.5515557352665046</v>
      </c>
      <c r="CM8" s="32">
        <f t="shared" ca="1" si="48"/>
        <v>9.2102644105759772</v>
      </c>
      <c r="CN8" s="32">
        <f t="shared" ca="1" si="49"/>
        <v>3.5515557352665046</v>
      </c>
      <c r="CO8" s="32">
        <f t="shared" ca="1" si="50"/>
        <v>5.2583843053186801</v>
      </c>
      <c r="CP8" s="32">
        <f t="shared" ca="1" si="51"/>
        <v>13.527385415700278</v>
      </c>
      <c r="CQ8" s="32">
        <f t="shared" ca="1" si="52"/>
        <v>5.2583843053186801</v>
      </c>
      <c r="CR8" s="32">
        <f t="shared" ca="1" si="53"/>
        <v>2.2593837501278813</v>
      </c>
    </row>
    <row r="9" spans="1:96" x14ac:dyDescent="0.25">
      <c r="A9" s="54" t="s">
        <v>45</v>
      </c>
      <c r="B9" s="55" t="s">
        <v>211</v>
      </c>
      <c r="C9" s="19" t="s">
        <v>106</v>
      </c>
      <c r="D9" s="56">
        <v>0</v>
      </c>
      <c r="E9" s="56">
        <v>14</v>
      </c>
      <c r="F9" s="56">
        <v>10.5</v>
      </c>
      <c r="G9" s="56">
        <v>2</v>
      </c>
      <c r="H9" s="56">
        <v>2</v>
      </c>
      <c r="I9" s="56">
        <v>10</v>
      </c>
      <c r="J9" s="56">
        <v>16</v>
      </c>
      <c r="K9" s="56">
        <f>C20+C21+C23</f>
        <v>172</v>
      </c>
      <c r="L9" s="56">
        <v>2630</v>
      </c>
      <c r="M9" s="81">
        <f>(18370+1455+365+1315)*1.045</f>
        <v>22472.724999999999</v>
      </c>
      <c r="N9" s="82">
        <f t="shared" si="57"/>
        <v>26967.269999999997</v>
      </c>
      <c r="AD9" s="92">
        <v>41974</v>
      </c>
      <c r="AE9" s="85">
        <v>6</v>
      </c>
      <c r="AF9" s="29">
        <v>6</v>
      </c>
      <c r="AG9" s="28">
        <v>0</v>
      </c>
      <c r="AH9" s="28">
        <v>5</v>
      </c>
      <c r="AI9" s="28">
        <v>7</v>
      </c>
      <c r="AJ9" s="28">
        <v>5</v>
      </c>
      <c r="AK9" s="28">
        <v>2</v>
      </c>
      <c r="AL9" s="28">
        <v>10</v>
      </c>
      <c r="AM9" s="28">
        <v>19</v>
      </c>
      <c r="AN9" s="28">
        <f t="shared" si="54"/>
        <v>1.5</v>
      </c>
      <c r="AO9" s="28">
        <f t="shared" si="55"/>
        <v>1.0699999999999998</v>
      </c>
      <c r="AP9" s="28">
        <f t="shared" si="56"/>
        <v>0.77</v>
      </c>
      <c r="AQ9" s="28">
        <f t="shared" ca="1" si="0"/>
        <v>19.476972753142121</v>
      </c>
      <c r="AR9" s="28">
        <f t="shared" ca="1" si="1"/>
        <v>21.022502819241964</v>
      </c>
      <c r="AS9" s="32">
        <f t="shared" ca="1" si="4"/>
        <v>3.1587680554465614</v>
      </c>
      <c r="AT9" s="32">
        <f t="shared" ca="1" si="5"/>
        <v>4.755457685660379</v>
      </c>
      <c r="AU9" s="32">
        <f t="shared" ca="1" si="6"/>
        <v>3.1587680554465614</v>
      </c>
      <c r="AV9" s="32">
        <f t="shared" ca="1" si="7"/>
        <v>3.6313680602639469</v>
      </c>
      <c r="AW9" s="32">
        <f t="shared" ca="1" si="2"/>
        <v>7.0375350005115251</v>
      </c>
      <c r="AX9" s="32">
        <f t="shared" ca="1" si="8"/>
        <v>1.8156840301319734</v>
      </c>
      <c r="AY9" s="32">
        <f t="shared" ca="1" si="9"/>
        <v>2.150933330121743</v>
      </c>
      <c r="AZ9" s="32">
        <f t="shared" ca="1" si="3"/>
        <v>6.4745322004706036</v>
      </c>
      <c r="BA9" s="32">
        <f t="shared" ca="1" si="10"/>
        <v>2.9135394902117713</v>
      </c>
      <c r="BB9" s="32">
        <f t="shared" ca="1" si="11"/>
        <v>1.5092683450854247</v>
      </c>
      <c r="BC9" s="32">
        <f t="shared" ca="1" si="12"/>
        <v>4.1380705803007762</v>
      </c>
      <c r="BD9" s="32">
        <f t="shared" ca="1" si="13"/>
        <v>5.3063013903856904</v>
      </c>
      <c r="BE9" s="32">
        <f t="shared" ca="1" si="14"/>
        <v>4.9825747803621594</v>
      </c>
      <c r="BF9" s="32">
        <f t="shared" ca="1" si="15"/>
        <v>3.4956373209654874</v>
      </c>
      <c r="BG9" s="32">
        <f t="shared" ca="1" si="16"/>
        <v>0.98840448166503125</v>
      </c>
      <c r="BH9" s="32">
        <f t="shared" ca="1" si="17"/>
        <v>3.4132044752480897</v>
      </c>
      <c r="BI9" s="32">
        <f t="shared" ca="1" si="18"/>
        <v>1.8579092401350428</v>
      </c>
      <c r="BJ9" s="32">
        <f t="shared" ca="1" si="19"/>
        <v>3.4433008351948913</v>
      </c>
      <c r="BK9" s="32">
        <f t="shared" ca="1" si="20"/>
        <v>5.5478055904470738</v>
      </c>
      <c r="BL9" s="32">
        <f t="shared" ca="1" si="21"/>
        <v>0.20995182002659929</v>
      </c>
      <c r="BM9" s="32">
        <f t="shared" ca="1" si="22"/>
        <v>1.9001344501381119</v>
      </c>
      <c r="BN9" s="32">
        <f t="shared" ca="1" si="23"/>
        <v>4.1802957903038456</v>
      </c>
      <c r="BO9" s="32">
        <f t="shared" ca="1" si="24"/>
        <v>0.95006722506905594</v>
      </c>
      <c r="BP9" s="32">
        <f t="shared" ca="1" si="25"/>
        <v>8.5314330404828791</v>
      </c>
      <c r="BQ9" s="32">
        <f t="shared" ca="1" si="26"/>
        <v>0.52487955006649833</v>
      </c>
      <c r="BR9" s="32">
        <f t="shared" ca="1" si="27"/>
        <v>2.5669977551498766</v>
      </c>
      <c r="BS9" s="32">
        <f t="shared" ca="1" si="28"/>
        <v>0.26243977503324917</v>
      </c>
      <c r="BT9" s="32">
        <f t="shared" ca="1" si="29"/>
        <v>1.3300941150966783</v>
      </c>
      <c r="BU9" s="32">
        <f t="shared" ca="1" si="30"/>
        <v>1.3300941150966783</v>
      </c>
      <c r="BV9" s="32">
        <f t="shared" ca="1" si="31"/>
        <v>0.66504705754833915</v>
      </c>
      <c r="BW9" s="32">
        <f t="shared" ca="1" si="32"/>
        <v>9.0375350005115251</v>
      </c>
      <c r="BX9" s="32">
        <f t="shared" ca="1" si="33"/>
        <v>1.0214963551294158</v>
      </c>
      <c r="BY9" s="32">
        <f t="shared" ca="1" si="34"/>
        <v>3.9046817852818503</v>
      </c>
      <c r="BZ9" s="32">
        <f t="shared" ca="1" si="35"/>
        <v>0.51074817756470792</v>
      </c>
      <c r="CA9" s="32">
        <f t="shared" ca="1" si="36"/>
        <v>2.0479226851488539</v>
      </c>
      <c r="CB9" s="32">
        <f t="shared" ca="1" si="37"/>
        <v>2.4490621801780104</v>
      </c>
      <c r="CC9" s="32">
        <f t="shared" ca="1" si="38"/>
        <v>7.9620683354506534</v>
      </c>
      <c r="CD9" s="32">
        <f t="shared" ca="1" si="39"/>
        <v>5.3113686154547448</v>
      </c>
      <c r="CE9" s="32">
        <f t="shared" ca="1" si="40"/>
        <v>0.97304593512327753</v>
      </c>
      <c r="CF9" s="32">
        <f t="shared" ca="1" si="41"/>
        <v>1.2667563000920745</v>
      </c>
      <c r="CG9" s="32">
        <f t="shared" ca="1" si="42"/>
        <v>0.47855238003478373</v>
      </c>
      <c r="CH9" s="32">
        <f t="shared" ca="1" si="43"/>
        <v>2.7564481751560153</v>
      </c>
      <c r="CI9" s="32">
        <f t="shared" ca="1" si="44"/>
        <v>8.1922700106578219</v>
      </c>
      <c r="CJ9" s="32">
        <f t="shared" ca="1" si="45"/>
        <v>0.54506722506905592</v>
      </c>
      <c r="CK9" s="32">
        <f t="shared" ca="1" si="46"/>
        <v>3.6692392102076794</v>
      </c>
      <c r="CL9" s="32">
        <f t="shared" ca="1" si="47"/>
        <v>3.5515557352665046</v>
      </c>
      <c r="CM9" s="32">
        <f t="shared" ca="1" si="48"/>
        <v>9.2102644105759772</v>
      </c>
      <c r="CN9" s="32">
        <f t="shared" ca="1" si="49"/>
        <v>3.5515557352665046</v>
      </c>
      <c r="CO9" s="32">
        <f t="shared" ca="1" si="50"/>
        <v>5.2583843053186801</v>
      </c>
      <c r="CP9" s="32">
        <f t="shared" ca="1" si="51"/>
        <v>13.527385415700278</v>
      </c>
      <c r="CQ9" s="32">
        <f t="shared" ca="1" si="52"/>
        <v>5.2583843053186801</v>
      </c>
      <c r="CR9" s="32">
        <f t="shared" ca="1" si="53"/>
        <v>2.2593837501278813</v>
      </c>
    </row>
    <row r="10" spans="1:96" x14ac:dyDescent="0.25">
      <c r="A10" s="54" t="s">
        <v>43</v>
      </c>
      <c r="B10" s="55" t="s">
        <v>212</v>
      </c>
      <c r="C10" s="19" t="s">
        <v>106</v>
      </c>
      <c r="D10" s="56">
        <v>0</v>
      </c>
      <c r="E10" s="56">
        <v>14</v>
      </c>
      <c r="F10" s="56">
        <v>10.5</v>
      </c>
      <c r="G10" s="56">
        <v>8.5</v>
      </c>
      <c r="H10" s="56">
        <v>2</v>
      </c>
      <c r="I10" s="56">
        <v>10</v>
      </c>
      <c r="J10" s="56">
        <v>16</v>
      </c>
      <c r="K10" s="56">
        <f>C20+C21+C22+C23</f>
        <v>204</v>
      </c>
      <c r="L10" s="56">
        <v>2630</v>
      </c>
      <c r="M10" s="81">
        <f>(18370+1455+365+1315)*1.045</f>
        <v>22472.724999999999</v>
      </c>
      <c r="N10" s="82">
        <f t="shared" si="57"/>
        <v>26967.269999999997</v>
      </c>
      <c r="R10" s="1" t="s">
        <v>164</v>
      </c>
      <c r="S10" s="1"/>
      <c r="T10" s="1" t="s">
        <v>165</v>
      </c>
      <c r="U10" s="1"/>
      <c r="V10" s="1" t="s">
        <v>165</v>
      </c>
      <c r="W10" s="1"/>
      <c r="X10" s="1" t="s">
        <v>105</v>
      </c>
      <c r="Y10" s="1"/>
      <c r="Z10" s="1" t="s">
        <v>166</v>
      </c>
      <c r="AD10" s="92">
        <v>41974</v>
      </c>
      <c r="AE10" s="85">
        <v>6</v>
      </c>
      <c r="AF10" s="29">
        <v>6</v>
      </c>
      <c r="AG10" s="28">
        <v>0</v>
      </c>
      <c r="AH10" s="28">
        <v>5</v>
      </c>
      <c r="AI10" s="28">
        <v>7</v>
      </c>
      <c r="AJ10" s="28">
        <v>5</v>
      </c>
      <c r="AK10" s="28">
        <v>2</v>
      </c>
      <c r="AL10" s="28">
        <v>10</v>
      </c>
      <c r="AM10" s="28">
        <v>19</v>
      </c>
      <c r="AN10" s="28">
        <f t="shared" si="54"/>
        <v>1.5</v>
      </c>
      <c r="AO10" s="28">
        <f t="shared" si="55"/>
        <v>1.0699999999999998</v>
      </c>
      <c r="AP10" s="28">
        <f t="shared" si="56"/>
        <v>0.77</v>
      </c>
      <c r="AQ10" s="28">
        <f t="shared" ca="1" si="0"/>
        <v>19.476972753142121</v>
      </c>
      <c r="AR10" s="28">
        <f t="shared" ca="1" si="1"/>
        <v>21.022502819241964</v>
      </c>
      <c r="AS10" s="32">
        <f t="shared" ca="1" si="4"/>
        <v>3.1587680554465614</v>
      </c>
      <c r="AT10" s="32">
        <f t="shared" ca="1" si="5"/>
        <v>4.755457685660379</v>
      </c>
      <c r="AU10" s="32">
        <f t="shared" ca="1" si="6"/>
        <v>3.1587680554465614</v>
      </c>
      <c r="AV10" s="32">
        <f t="shared" ca="1" si="7"/>
        <v>3.6313680602639469</v>
      </c>
      <c r="AW10" s="32">
        <f t="shared" ca="1" si="2"/>
        <v>7.0375350005115251</v>
      </c>
      <c r="AX10" s="32">
        <f t="shared" ca="1" si="8"/>
        <v>1.8156840301319734</v>
      </c>
      <c r="AY10" s="32">
        <f t="shared" ca="1" si="9"/>
        <v>2.150933330121743</v>
      </c>
      <c r="AZ10" s="32">
        <f t="shared" ca="1" si="3"/>
        <v>6.4745322004706036</v>
      </c>
      <c r="BA10" s="32">
        <f t="shared" ca="1" si="10"/>
        <v>2.9135394902117713</v>
      </c>
      <c r="BB10" s="32">
        <f t="shared" ca="1" si="11"/>
        <v>1.5092683450854247</v>
      </c>
      <c r="BC10" s="32">
        <f t="shared" ca="1" si="12"/>
        <v>4.1380705803007762</v>
      </c>
      <c r="BD10" s="32">
        <f t="shared" ca="1" si="13"/>
        <v>5.3063013903856904</v>
      </c>
      <c r="BE10" s="32">
        <f t="shared" ca="1" si="14"/>
        <v>4.9825747803621594</v>
      </c>
      <c r="BF10" s="32">
        <f t="shared" ca="1" si="15"/>
        <v>3.4956373209654874</v>
      </c>
      <c r="BG10" s="32">
        <f t="shared" ca="1" si="16"/>
        <v>0.98840448166503125</v>
      </c>
      <c r="BH10" s="32">
        <f t="shared" ca="1" si="17"/>
        <v>3.4132044752480897</v>
      </c>
      <c r="BI10" s="32">
        <f t="shared" ca="1" si="18"/>
        <v>1.8579092401350428</v>
      </c>
      <c r="BJ10" s="32">
        <f t="shared" ca="1" si="19"/>
        <v>3.4433008351948913</v>
      </c>
      <c r="BK10" s="32">
        <f t="shared" ca="1" si="20"/>
        <v>5.5478055904470738</v>
      </c>
      <c r="BL10" s="32">
        <f t="shared" ca="1" si="21"/>
        <v>0.20995182002659929</v>
      </c>
      <c r="BM10" s="32">
        <f t="shared" ca="1" si="22"/>
        <v>1.9001344501381119</v>
      </c>
      <c r="BN10" s="32">
        <f t="shared" ca="1" si="23"/>
        <v>4.1802957903038456</v>
      </c>
      <c r="BO10" s="32">
        <f t="shared" ca="1" si="24"/>
        <v>0.95006722506905594</v>
      </c>
      <c r="BP10" s="32">
        <f t="shared" ca="1" si="25"/>
        <v>8.5314330404828791</v>
      </c>
      <c r="BQ10" s="32">
        <f t="shared" ca="1" si="26"/>
        <v>0.52487955006649833</v>
      </c>
      <c r="BR10" s="32">
        <f t="shared" ca="1" si="27"/>
        <v>2.5669977551498766</v>
      </c>
      <c r="BS10" s="32">
        <f t="shared" ca="1" si="28"/>
        <v>0.26243977503324917</v>
      </c>
      <c r="BT10" s="32">
        <f t="shared" ca="1" si="29"/>
        <v>1.3300941150966783</v>
      </c>
      <c r="BU10" s="32">
        <f t="shared" ca="1" si="30"/>
        <v>1.3300941150966783</v>
      </c>
      <c r="BV10" s="32">
        <f t="shared" ca="1" si="31"/>
        <v>0.66504705754833915</v>
      </c>
      <c r="BW10" s="32">
        <f t="shared" ca="1" si="32"/>
        <v>9.0375350005115251</v>
      </c>
      <c r="BX10" s="32">
        <f t="shared" ca="1" si="33"/>
        <v>1.0214963551294158</v>
      </c>
      <c r="BY10" s="32">
        <f t="shared" ca="1" si="34"/>
        <v>3.9046817852818503</v>
      </c>
      <c r="BZ10" s="32">
        <f t="shared" ca="1" si="35"/>
        <v>0.51074817756470792</v>
      </c>
      <c r="CA10" s="32">
        <f t="shared" ca="1" si="36"/>
        <v>2.0479226851488539</v>
      </c>
      <c r="CB10" s="32">
        <f t="shared" ca="1" si="37"/>
        <v>2.4490621801780104</v>
      </c>
      <c r="CC10" s="32">
        <f t="shared" ca="1" si="38"/>
        <v>7.9620683354506534</v>
      </c>
      <c r="CD10" s="32">
        <f t="shared" ca="1" si="39"/>
        <v>5.3113686154547448</v>
      </c>
      <c r="CE10" s="32">
        <f t="shared" ca="1" si="40"/>
        <v>0.97304593512327753</v>
      </c>
      <c r="CF10" s="32">
        <f t="shared" ca="1" si="41"/>
        <v>1.2667563000920745</v>
      </c>
      <c r="CG10" s="32">
        <f t="shared" ca="1" si="42"/>
        <v>0.47855238003478373</v>
      </c>
      <c r="CH10" s="32">
        <f t="shared" ca="1" si="43"/>
        <v>2.7564481751560153</v>
      </c>
      <c r="CI10" s="32">
        <f t="shared" ca="1" si="44"/>
        <v>8.1922700106578219</v>
      </c>
      <c r="CJ10" s="32">
        <f t="shared" ca="1" si="45"/>
        <v>0.54506722506905592</v>
      </c>
      <c r="CK10" s="32">
        <f t="shared" ca="1" si="46"/>
        <v>3.6692392102076794</v>
      </c>
      <c r="CL10" s="32">
        <f t="shared" ca="1" si="47"/>
        <v>3.5515557352665046</v>
      </c>
      <c r="CM10" s="32">
        <f t="shared" ca="1" si="48"/>
        <v>9.2102644105759772</v>
      </c>
      <c r="CN10" s="32">
        <f t="shared" ca="1" si="49"/>
        <v>3.5515557352665046</v>
      </c>
      <c r="CO10" s="32">
        <f t="shared" ca="1" si="50"/>
        <v>5.2583843053186801</v>
      </c>
      <c r="CP10" s="32">
        <f t="shared" ca="1" si="51"/>
        <v>13.527385415700278</v>
      </c>
      <c r="CQ10" s="32">
        <f t="shared" ca="1" si="52"/>
        <v>5.2583843053186801</v>
      </c>
      <c r="CR10" s="32">
        <f t="shared" ca="1" si="53"/>
        <v>2.2593837501278813</v>
      </c>
    </row>
    <row r="11" spans="1:96" x14ac:dyDescent="0.25">
      <c r="A11" s="54" t="s">
        <v>44</v>
      </c>
      <c r="B11" s="55" t="s">
        <v>199</v>
      </c>
      <c r="C11" s="19" t="s">
        <v>106</v>
      </c>
      <c r="D11" s="56">
        <v>0</v>
      </c>
      <c r="E11" s="56">
        <v>14</v>
      </c>
      <c r="F11" s="56">
        <v>10.5</v>
      </c>
      <c r="G11" s="56">
        <v>12</v>
      </c>
      <c r="H11" s="56">
        <v>2</v>
      </c>
      <c r="I11" s="56">
        <v>10</v>
      </c>
      <c r="J11" s="56">
        <v>16</v>
      </c>
      <c r="K11" s="56">
        <f>C20+C21+C22+C23</f>
        <v>204</v>
      </c>
      <c r="L11" s="56">
        <v>2630</v>
      </c>
      <c r="M11" s="81">
        <f>(18370+1455+2235+1315)*1.045</f>
        <v>24426.875</v>
      </c>
      <c r="N11" s="82">
        <f t="shared" si="57"/>
        <v>29312.25</v>
      </c>
      <c r="Q11" t="s">
        <v>32</v>
      </c>
      <c r="R11" s="51" t="s">
        <v>170</v>
      </c>
      <c r="S11" s="84"/>
      <c r="T11" s="51" t="s">
        <v>171</v>
      </c>
      <c r="U11" s="84"/>
      <c r="V11" s="51" t="s">
        <v>171</v>
      </c>
      <c r="W11" s="84"/>
      <c r="X11" s="51" t="s">
        <v>172</v>
      </c>
      <c r="Y11" s="84"/>
      <c r="Z11" s="51" t="s">
        <v>173</v>
      </c>
      <c r="AD11" s="92">
        <v>41974</v>
      </c>
      <c r="AE11" s="85">
        <v>6</v>
      </c>
      <c r="AF11" s="29">
        <v>6</v>
      </c>
      <c r="AG11" s="28">
        <v>0</v>
      </c>
      <c r="AH11" s="28">
        <v>5</v>
      </c>
      <c r="AI11" s="28">
        <v>7</v>
      </c>
      <c r="AJ11" s="28">
        <v>5</v>
      </c>
      <c r="AK11" s="28">
        <v>2</v>
      </c>
      <c r="AL11" s="28">
        <v>10</v>
      </c>
      <c r="AM11" s="28">
        <v>19</v>
      </c>
      <c r="AN11" s="28">
        <f t="shared" si="54"/>
        <v>1.5</v>
      </c>
      <c r="AO11" s="28">
        <f t="shared" si="55"/>
        <v>1.0699999999999998</v>
      </c>
      <c r="AP11" s="28">
        <f t="shared" si="56"/>
        <v>0.77</v>
      </c>
      <c r="AQ11" s="28">
        <f t="shared" ca="1" si="0"/>
        <v>19.476972753142121</v>
      </c>
      <c r="AR11" s="28">
        <f t="shared" ca="1" si="1"/>
        <v>21.022502819241964</v>
      </c>
      <c r="AS11" s="32">
        <f t="shared" ca="1" si="4"/>
        <v>3.1587680554465614</v>
      </c>
      <c r="AT11" s="32">
        <f t="shared" ca="1" si="5"/>
        <v>4.755457685660379</v>
      </c>
      <c r="AU11" s="32">
        <f t="shared" ca="1" si="6"/>
        <v>3.1587680554465614</v>
      </c>
      <c r="AV11" s="32">
        <f t="shared" ca="1" si="7"/>
        <v>3.6313680602639469</v>
      </c>
      <c r="AW11" s="32">
        <f t="shared" ca="1" si="2"/>
        <v>7.0375350005115251</v>
      </c>
      <c r="AX11" s="32">
        <f t="shared" ca="1" si="8"/>
        <v>1.8156840301319734</v>
      </c>
      <c r="AY11" s="32">
        <f t="shared" ca="1" si="9"/>
        <v>2.150933330121743</v>
      </c>
      <c r="AZ11" s="32">
        <f t="shared" ca="1" si="3"/>
        <v>6.4745322004706036</v>
      </c>
      <c r="BA11" s="32">
        <f t="shared" ca="1" si="10"/>
        <v>2.9135394902117713</v>
      </c>
      <c r="BB11" s="32">
        <f t="shared" ca="1" si="11"/>
        <v>1.5092683450854247</v>
      </c>
      <c r="BC11" s="32">
        <f t="shared" ca="1" si="12"/>
        <v>4.1380705803007762</v>
      </c>
      <c r="BD11" s="32">
        <f t="shared" ca="1" si="13"/>
        <v>5.3063013903856904</v>
      </c>
      <c r="BE11" s="32">
        <f t="shared" ca="1" si="14"/>
        <v>4.9825747803621594</v>
      </c>
      <c r="BF11" s="32">
        <f t="shared" ca="1" si="15"/>
        <v>3.4956373209654874</v>
      </c>
      <c r="BG11" s="32">
        <f t="shared" ca="1" si="16"/>
        <v>0.98840448166503125</v>
      </c>
      <c r="BH11" s="32">
        <f t="shared" ca="1" si="17"/>
        <v>3.4132044752480897</v>
      </c>
      <c r="BI11" s="32">
        <f t="shared" ca="1" si="18"/>
        <v>1.8579092401350428</v>
      </c>
      <c r="BJ11" s="32">
        <f t="shared" ca="1" si="19"/>
        <v>3.4433008351948913</v>
      </c>
      <c r="BK11" s="32">
        <f t="shared" ca="1" si="20"/>
        <v>5.5478055904470738</v>
      </c>
      <c r="BL11" s="32">
        <f t="shared" ca="1" si="21"/>
        <v>0.20995182002659929</v>
      </c>
      <c r="BM11" s="32">
        <f t="shared" ca="1" si="22"/>
        <v>1.9001344501381119</v>
      </c>
      <c r="BN11" s="32">
        <f t="shared" ca="1" si="23"/>
        <v>4.1802957903038456</v>
      </c>
      <c r="BO11" s="32">
        <f t="shared" ca="1" si="24"/>
        <v>0.95006722506905594</v>
      </c>
      <c r="BP11" s="32">
        <f t="shared" ca="1" si="25"/>
        <v>8.5314330404828791</v>
      </c>
      <c r="BQ11" s="32">
        <f t="shared" ca="1" si="26"/>
        <v>0.52487955006649833</v>
      </c>
      <c r="BR11" s="32">
        <f t="shared" ca="1" si="27"/>
        <v>2.5669977551498766</v>
      </c>
      <c r="BS11" s="32">
        <f t="shared" ca="1" si="28"/>
        <v>0.26243977503324917</v>
      </c>
      <c r="BT11" s="32">
        <f t="shared" ca="1" si="29"/>
        <v>1.3300941150966783</v>
      </c>
      <c r="BU11" s="32">
        <f t="shared" ca="1" si="30"/>
        <v>1.3300941150966783</v>
      </c>
      <c r="BV11" s="32">
        <f t="shared" ca="1" si="31"/>
        <v>0.66504705754833915</v>
      </c>
      <c r="BW11" s="32">
        <f t="shared" ca="1" si="32"/>
        <v>9.0375350005115251</v>
      </c>
      <c r="BX11" s="32">
        <f t="shared" ca="1" si="33"/>
        <v>1.0214963551294158</v>
      </c>
      <c r="BY11" s="32">
        <f t="shared" ca="1" si="34"/>
        <v>3.9046817852818503</v>
      </c>
      <c r="BZ11" s="32">
        <f t="shared" ca="1" si="35"/>
        <v>0.51074817756470792</v>
      </c>
      <c r="CA11" s="32">
        <f t="shared" ca="1" si="36"/>
        <v>2.0479226851488539</v>
      </c>
      <c r="CB11" s="32">
        <f t="shared" ca="1" si="37"/>
        <v>2.4490621801780104</v>
      </c>
      <c r="CC11" s="32">
        <f t="shared" ca="1" si="38"/>
        <v>7.9620683354506534</v>
      </c>
      <c r="CD11" s="32">
        <f t="shared" ca="1" si="39"/>
        <v>5.3113686154547448</v>
      </c>
      <c r="CE11" s="32">
        <f t="shared" ca="1" si="40"/>
        <v>0.97304593512327753</v>
      </c>
      <c r="CF11" s="32">
        <f t="shared" ca="1" si="41"/>
        <v>1.2667563000920745</v>
      </c>
      <c r="CG11" s="32">
        <f t="shared" ca="1" si="42"/>
        <v>0.47855238003478373</v>
      </c>
      <c r="CH11" s="32">
        <f t="shared" ca="1" si="43"/>
        <v>2.7564481751560153</v>
      </c>
      <c r="CI11" s="32">
        <f t="shared" ca="1" si="44"/>
        <v>8.1922700106578219</v>
      </c>
      <c r="CJ11" s="32">
        <f t="shared" ca="1" si="45"/>
        <v>0.54506722506905592</v>
      </c>
      <c r="CK11" s="32">
        <f t="shared" ca="1" si="46"/>
        <v>3.6692392102076794</v>
      </c>
      <c r="CL11" s="32">
        <f t="shared" ca="1" si="47"/>
        <v>3.5515557352665046</v>
      </c>
      <c r="CM11" s="32">
        <f t="shared" ca="1" si="48"/>
        <v>9.2102644105759772</v>
      </c>
      <c r="CN11" s="32">
        <f t="shared" ca="1" si="49"/>
        <v>3.5515557352665046</v>
      </c>
      <c r="CO11" s="32">
        <f t="shared" ca="1" si="50"/>
        <v>5.2583843053186801</v>
      </c>
      <c r="CP11" s="32">
        <f t="shared" ca="1" si="51"/>
        <v>13.527385415700278</v>
      </c>
      <c r="CQ11" s="32">
        <f t="shared" ca="1" si="52"/>
        <v>5.2583843053186801</v>
      </c>
      <c r="CR11" s="32">
        <f t="shared" ca="1" si="53"/>
        <v>2.2593837501278813</v>
      </c>
    </row>
    <row r="12" spans="1:96" x14ac:dyDescent="0.25">
      <c r="A12" s="54" t="s">
        <v>50</v>
      </c>
      <c r="B12" s="55" t="s">
        <v>164</v>
      </c>
      <c r="C12" s="19" t="s">
        <v>106</v>
      </c>
      <c r="D12" s="56">
        <v>0</v>
      </c>
      <c r="E12" s="56">
        <v>14</v>
      </c>
      <c r="F12" s="56">
        <v>14</v>
      </c>
      <c r="G12" s="56">
        <v>8.5</v>
      </c>
      <c r="H12" s="56">
        <v>2</v>
      </c>
      <c r="I12" s="56">
        <v>10</v>
      </c>
      <c r="J12" s="56">
        <v>16</v>
      </c>
      <c r="K12" s="56">
        <f>C20+C21+C23+C22</f>
        <v>204</v>
      </c>
      <c r="L12" s="56">
        <v>2630</v>
      </c>
      <c r="M12" s="81">
        <f>(18370+11230+1315)*1.045</f>
        <v>32306.174999999999</v>
      </c>
      <c r="N12" s="82">
        <f t="shared" si="57"/>
        <v>38767.409999999996</v>
      </c>
      <c r="Q12" t="s">
        <v>26</v>
      </c>
      <c r="R12" s="73">
        <v>0.63100000000000001</v>
      </c>
      <c r="S12" s="84"/>
      <c r="T12" s="71" t="s">
        <v>174</v>
      </c>
      <c r="U12" s="84"/>
      <c r="V12" s="71" t="s">
        <v>174</v>
      </c>
      <c r="W12" s="84"/>
      <c r="X12" s="72">
        <v>0.88100000000000001</v>
      </c>
      <c r="Y12" s="84"/>
      <c r="Z12" s="73">
        <v>0.45500000000000002</v>
      </c>
      <c r="AD12" s="92">
        <v>41974</v>
      </c>
      <c r="AE12" s="85">
        <v>6</v>
      </c>
      <c r="AF12" s="29">
        <v>6</v>
      </c>
      <c r="AG12" s="28">
        <v>0</v>
      </c>
      <c r="AH12" s="28">
        <v>5</v>
      </c>
      <c r="AI12" s="28">
        <v>7</v>
      </c>
      <c r="AJ12" s="28">
        <v>5</v>
      </c>
      <c r="AK12" s="28">
        <v>2</v>
      </c>
      <c r="AL12" s="28">
        <v>10</v>
      </c>
      <c r="AM12" s="28">
        <v>19</v>
      </c>
      <c r="AN12" s="28">
        <f t="shared" si="54"/>
        <v>1.5</v>
      </c>
      <c r="AO12" s="28">
        <f t="shared" si="55"/>
        <v>1.0699999999999998</v>
      </c>
      <c r="AP12" s="28">
        <f t="shared" si="56"/>
        <v>0.77</v>
      </c>
      <c r="AQ12" s="28">
        <f t="shared" ca="1" si="0"/>
        <v>19.476972753142121</v>
      </c>
      <c r="AR12" s="28">
        <f t="shared" ca="1" si="1"/>
        <v>21.022502819241964</v>
      </c>
      <c r="AS12" s="32">
        <f t="shared" ca="1" si="4"/>
        <v>3.1587680554465614</v>
      </c>
      <c r="AT12" s="32">
        <f t="shared" ca="1" si="5"/>
        <v>4.755457685660379</v>
      </c>
      <c r="AU12" s="32">
        <f t="shared" ca="1" si="6"/>
        <v>3.1587680554465614</v>
      </c>
      <c r="AV12" s="32">
        <f t="shared" ca="1" si="7"/>
        <v>3.6313680602639469</v>
      </c>
      <c r="AW12" s="32">
        <f t="shared" ca="1" si="2"/>
        <v>7.0375350005115251</v>
      </c>
      <c r="AX12" s="32">
        <f t="shared" ca="1" si="8"/>
        <v>1.8156840301319734</v>
      </c>
      <c r="AY12" s="32">
        <f t="shared" ca="1" si="9"/>
        <v>2.150933330121743</v>
      </c>
      <c r="AZ12" s="32">
        <f t="shared" ca="1" si="3"/>
        <v>6.4745322004706036</v>
      </c>
      <c r="BA12" s="32">
        <f t="shared" ca="1" si="10"/>
        <v>2.9135394902117713</v>
      </c>
      <c r="BB12" s="32">
        <f t="shared" ca="1" si="11"/>
        <v>1.5092683450854247</v>
      </c>
      <c r="BC12" s="32">
        <f t="shared" ca="1" si="12"/>
        <v>4.1380705803007762</v>
      </c>
      <c r="BD12" s="32">
        <f t="shared" ca="1" si="13"/>
        <v>5.3063013903856904</v>
      </c>
      <c r="BE12" s="32">
        <f t="shared" ca="1" si="14"/>
        <v>4.9825747803621594</v>
      </c>
      <c r="BF12" s="32">
        <f t="shared" ca="1" si="15"/>
        <v>3.4956373209654874</v>
      </c>
      <c r="BG12" s="32">
        <f t="shared" ca="1" si="16"/>
        <v>0.98840448166503125</v>
      </c>
      <c r="BH12" s="32">
        <f t="shared" ca="1" si="17"/>
        <v>3.4132044752480897</v>
      </c>
      <c r="BI12" s="32">
        <f t="shared" ca="1" si="18"/>
        <v>1.8579092401350428</v>
      </c>
      <c r="BJ12" s="32">
        <f t="shared" ca="1" si="19"/>
        <v>3.4433008351948913</v>
      </c>
      <c r="BK12" s="32">
        <f t="shared" ca="1" si="20"/>
        <v>5.5478055904470738</v>
      </c>
      <c r="BL12" s="32">
        <f t="shared" ca="1" si="21"/>
        <v>0.20995182002659929</v>
      </c>
      <c r="BM12" s="32">
        <f t="shared" ca="1" si="22"/>
        <v>1.9001344501381119</v>
      </c>
      <c r="BN12" s="32">
        <f t="shared" ca="1" si="23"/>
        <v>4.1802957903038456</v>
      </c>
      <c r="BO12" s="32">
        <f t="shared" ca="1" si="24"/>
        <v>0.95006722506905594</v>
      </c>
      <c r="BP12" s="32">
        <f t="shared" ca="1" si="25"/>
        <v>8.5314330404828791</v>
      </c>
      <c r="BQ12" s="32">
        <f t="shared" ca="1" si="26"/>
        <v>0.52487955006649833</v>
      </c>
      <c r="BR12" s="32">
        <f t="shared" ca="1" si="27"/>
        <v>2.5669977551498766</v>
      </c>
      <c r="BS12" s="32">
        <f t="shared" ca="1" si="28"/>
        <v>0.26243977503324917</v>
      </c>
      <c r="BT12" s="32">
        <f t="shared" ca="1" si="29"/>
        <v>1.3300941150966783</v>
      </c>
      <c r="BU12" s="32">
        <f t="shared" ca="1" si="30"/>
        <v>1.3300941150966783</v>
      </c>
      <c r="BV12" s="32">
        <f t="shared" ca="1" si="31"/>
        <v>0.66504705754833915</v>
      </c>
      <c r="BW12" s="32">
        <f t="shared" ca="1" si="32"/>
        <v>9.0375350005115251</v>
      </c>
      <c r="BX12" s="32">
        <f t="shared" ca="1" si="33"/>
        <v>1.0214963551294158</v>
      </c>
      <c r="BY12" s="32">
        <f t="shared" ca="1" si="34"/>
        <v>3.9046817852818503</v>
      </c>
      <c r="BZ12" s="32">
        <f t="shared" ca="1" si="35"/>
        <v>0.51074817756470792</v>
      </c>
      <c r="CA12" s="32">
        <f t="shared" ca="1" si="36"/>
        <v>2.0479226851488539</v>
      </c>
      <c r="CB12" s="32">
        <f t="shared" ca="1" si="37"/>
        <v>2.4490621801780104</v>
      </c>
      <c r="CC12" s="32">
        <f t="shared" ca="1" si="38"/>
        <v>7.9620683354506534</v>
      </c>
      <c r="CD12" s="32">
        <f t="shared" ca="1" si="39"/>
        <v>5.3113686154547448</v>
      </c>
      <c r="CE12" s="32">
        <f t="shared" ca="1" si="40"/>
        <v>0.97304593512327753</v>
      </c>
      <c r="CF12" s="32">
        <f t="shared" ca="1" si="41"/>
        <v>1.2667563000920745</v>
      </c>
      <c r="CG12" s="32">
        <f t="shared" ca="1" si="42"/>
        <v>0.47855238003478373</v>
      </c>
      <c r="CH12" s="32">
        <f t="shared" ca="1" si="43"/>
        <v>2.7564481751560153</v>
      </c>
      <c r="CI12" s="32">
        <f t="shared" ca="1" si="44"/>
        <v>8.1922700106578219</v>
      </c>
      <c r="CJ12" s="32">
        <f t="shared" ca="1" si="45"/>
        <v>0.54506722506905592</v>
      </c>
      <c r="CK12" s="32">
        <f t="shared" ca="1" si="46"/>
        <v>3.6692392102076794</v>
      </c>
      <c r="CL12" s="32">
        <f t="shared" ca="1" si="47"/>
        <v>3.5515557352665046</v>
      </c>
      <c r="CM12" s="32">
        <f t="shared" ca="1" si="48"/>
        <v>9.2102644105759772</v>
      </c>
      <c r="CN12" s="32">
        <f t="shared" ca="1" si="49"/>
        <v>3.5515557352665046</v>
      </c>
      <c r="CO12" s="32">
        <f t="shared" ca="1" si="50"/>
        <v>5.2583843053186801</v>
      </c>
      <c r="CP12" s="32">
        <f t="shared" ca="1" si="51"/>
        <v>13.527385415700278</v>
      </c>
      <c r="CQ12" s="32">
        <f t="shared" ca="1" si="52"/>
        <v>5.2583843053186801</v>
      </c>
      <c r="CR12" s="32">
        <f t="shared" ca="1" si="53"/>
        <v>2.2593837501278813</v>
      </c>
    </row>
    <row r="13" spans="1:96" x14ac:dyDescent="0.25">
      <c r="A13" s="54" t="s">
        <v>48</v>
      </c>
      <c r="B13" s="55" t="s">
        <v>213</v>
      </c>
      <c r="C13" s="19" t="s">
        <v>106</v>
      </c>
      <c r="D13" s="56">
        <v>0</v>
      </c>
      <c r="E13" s="56">
        <v>14</v>
      </c>
      <c r="F13" s="56">
        <v>14</v>
      </c>
      <c r="G13" s="56">
        <v>8.5</v>
      </c>
      <c r="H13" s="56">
        <v>2</v>
      </c>
      <c r="I13" s="56">
        <v>10</v>
      </c>
      <c r="J13" s="56">
        <v>19</v>
      </c>
      <c r="K13" s="56">
        <f>C20+C21+C23+C22</f>
        <v>204</v>
      </c>
      <c r="L13" s="56">
        <v>2630</v>
      </c>
      <c r="M13" s="81">
        <f>(18370+11230+1315)*1.045</f>
        <v>32306.174999999999</v>
      </c>
      <c r="N13" s="82">
        <f t="shared" si="57"/>
        <v>38767.409999999996</v>
      </c>
      <c r="Q13" t="s">
        <v>168</v>
      </c>
      <c r="R13" s="70">
        <v>0.70099999999999996</v>
      </c>
      <c r="S13" s="84"/>
      <c r="T13" s="69">
        <v>0</v>
      </c>
      <c r="U13" s="84"/>
      <c r="V13" s="69">
        <v>0</v>
      </c>
      <c r="W13" s="84"/>
      <c r="X13" s="72">
        <v>0.57399999999999995</v>
      </c>
      <c r="Y13" s="84"/>
      <c r="Z13" s="72">
        <v>0.86399999999999999</v>
      </c>
      <c r="AD13" s="92">
        <v>41974</v>
      </c>
      <c r="AE13" s="85">
        <v>6</v>
      </c>
      <c r="AF13" s="29">
        <v>6</v>
      </c>
      <c r="AG13" s="28">
        <v>0</v>
      </c>
      <c r="AH13" s="28">
        <v>2</v>
      </c>
      <c r="AI13" s="28">
        <v>7</v>
      </c>
      <c r="AJ13" s="28">
        <v>5</v>
      </c>
      <c r="AK13" s="28">
        <v>2</v>
      </c>
      <c r="AL13" s="28">
        <v>10</v>
      </c>
      <c r="AM13" s="28">
        <v>16</v>
      </c>
      <c r="AN13" s="28">
        <f t="shared" si="54"/>
        <v>1.125</v>
      </c>
      <c r="AO13" s="28">
        <f t="shared" si="55"/>
        <v>0.98000000000000009</v>
      </c>
      <c r="AP13" s="28">
        <f t="shared" si="56"/>
        <v>0.55999999999999994</v>
      </c>
      <c r="AQ13" s="28">
        <f t="shared" ca="1" si="0"/>
        <v>16.699512453824468</v>
      </c>
      <c r="AR13" s="28">
        <f t="shared" ca="1" si="1"/>
        <v>18.02464644223808</v>
      </c>
      <c r="AS13" s="32">
        <f t="shared" ca="1" si="4"/>
        <v>2.3307680554465611</v>
      </c>
      <c r="AT13" s="32">
        <f t="shared" ca="1" si="5"/>
        <v>3.4804576856603786</v>
      </c>
      <c r="AU13" s="32">
        <f t="shared" ca="1" si="6"/>
        <v>2.3307680554465611</v>
      </c>
      <c r="AV13" s="32">
        <f t="shared" ca="1" si="7"/>
        <v>2.0833680602639468</v>
      </c>
      <c r="AW13" s="32">
        <f t="shared" ca="1" si="2"/>
        <v>4.0375350005115251</v>
      </c>
      <c r="AX13" s="32">
        <f t="shared" ca="1" si="8"/>
        <v>1.0416840301319734</v>
      </c>
      <c r="AY13" s="32">
        <f t="shared" ca="1" si="9"/>
        <v>2.150933330121743</v>
      </c>
      <c r="AZ13" s="32">
        <f t="shared" ca="1" si="3"/>
        <v>3.7145322004706034</v>
      </c>
      <c r="BA13" s="32">
        <f t="shared" ca="1" si="10"/>
        <v>1.6715394902117713</v>
      </c>
      <c r="BB13" s="32">
        <f t="shared" ca="1" si="11"/>
        <v>1.5092683450854247</v>
      </c>
      <c r="BC13" s="32">
        <f t="shared" ca="1" si="12"/>
        <v>4.1380705803007762</v>
      </c>
      <c r="BD13" s="32">
        <f t="shared" ca="1" si="13"/>
        <v>3.0443013903856899</v>
      </c>
      <c r="BE13" s="32">
        <f t="shared" ca="1" si="14"/>
        <v>2.8585747803621597</v>
      </c>
      <c r="BF13" s="32">
        <f t="shared" ca="1" si="15"/>
        <v>2.9946373209654871</v>
      </c>
      <c r="BG13" s="32">
        <f t="shared" ca="1" si="16"/>
        <v>0.88040448166503127</v>
      </c>
      <c r="BH13" s="32">
        <f t="shared" ca="1" si="17"/>
        <v>1.9582044752480896</v>
      </c>
      <c r="BI13" s="32">
        <f t="shared" ca="1" si="18"/>
        <v>1.0659092401350427</v>
      </c>
      <c r="BJ13" s="32">
        <f t="shared" ca="1" si="19"/>
        <v>3.4433008351948913</v>
      </c>
      <c r="BK13" s="32">
        <f t="shared" ca="1" si="20"/>
        <v>5.5478055904470738</v>
      </c>
      <c r="BL13" s="32">
        <f t="shared" ca="1" si="21"/>
        <v>0.20995182002659929</v>
      </c>
      <c r="BM13" s="32">
        <f t="shared" ca="1" si="22"/>
        <v>1.0901344501381118</v>
      </c>
      <c r="BN13" s="32">
        <f t="shared" ca="1" si="23"/>
        <v>2.398295790303846</v>
      </c>
      <c r="BO13" s="32">
        <f t="shared" ca="1" si="24"/>
        <v>0.54506722506905592</v>
      </c>
      <c r="BP13" s="32">
        <f t="shared" ca="1" si="25"/>
        <v>8.5314330404828791</v>
      </c>
      <c r="BQ13" s="32">
        <f t="shared" ca="1" si="26"/>
        <v>0.52487955006649833</v>
      </c>
      <c r="BR13" s="32">
        <f t="shared" ca="1" si="27"/>
        <v>2.5669977551498766</v>
      </c>
      <c r="BS13" s="32">
        <f t="shared" ca="1" si="28"/>
        <v>0.26243977503324917</v>
      </c>
      <c r="BT13" s="32">
        <f t="shared" ca="1" si="29"/>
        <v>0.76309411509667824</v>
      </c>
      <c r="BU13" s="32">
        <f t="shared" ca="1" si="30"/>
        <v>0.76309411509667824</v>
      </c>
      <c r="BV13" s="32">
        <f t="shared" ca="1" si="31"/>
        <v>0.38154705754833912</v>
      </c>
      <c r="BW13" s="32">
        <f t="shared" ca="1" si="32"/>
        <v>9.0375350005115251</v>
      </c>
      <c r="BX13" s="32">
        <f t="shared" ca="1" si="33"/>
        <v>1.0214963551294158</v>
      </c>
      <c r="BY13" s="32">
        <f t="shared" ca="1" si="34"/>
        <v>3.9046817852818503</v>
      </c>
      <c r="BZ13" s="32">
        <f t="shared" ca="1" si="35"/>
        <v>0.51074817756470792</v>
      </c>
      <c r="CA13" s="32">
        <f t="shared" ca="1" si="36"/>
        <v>1.1749226851488537</v>
      </c>
      <c r="CB13" s="32">
        <f t="shared" ca="1" si="37"/>
        <v>1.4050621801780105</v>
      </c>
      <c r="CC13" s="32">
        <f t="shared" ca="1" si="38"/>
        <v>7.9620683354506534</v>
      </c>
      <c r="CD13" s="32">
        <f t="shared" ca="1" si="39"/>
        <v>5.3113686154547448</v>
      </c>
      <c r="CE13" s="32">
        <f t="shared" ca="1" si="40"/>
        <v>0.97304593512327753</v>
      </c>
      <c r="CF13" s="32">
        <f t="shared" ca="1" si="41"/>
        <v>0.72675630009207448</v>
      </c>
      <c r="CG13" s="32">
        <f t="shared" ca="1" si="42"/>
        <v>0.27455238003478372</v>
      </c>
      <c r="CH13" s="32">
        <f t="shared" ca="1" si="43"/>
        <v>2.7564481751560153</v>
      </c>
      <c r="CI13" s="32">
        <f t="shared" ca="1" si="44"/>
        <v>8.1922700106578219</v>
      </c>
      <c r="CJ13" s="32">
        <f t="shared" ca="1" si="45"/>
        <v>0.54506722506905592</v>
      </c>
      <c r="CK13" s="32">
        <f t="shared" ca="1" si="46"/>
        <v>3.6692392102076794</v>
      </c>
      <c r="CL13" s="32">
        <f t="shared" ca="1" si="47"/>
        <v>3.5515557352665046</v>
      </c>
      <c r="CM13" s="32">
        <f t="shared" ca="1" si="48"/>
        <v>9.2102644105759772</v>
      </c>
      <c r="CN13" s="32">
        <f t="shared" ca="1" si="49"/>
        <v>3.5515557352665046</v>
      </c>
      <c r="CO13" s="32">
        <f t="shared" ca="1" si="50"/>
        <v>5.2583843053186801</v>
      </c>
      <c r="CP13" s="32">
        <f t="shared" ca="1" si="51"/>
        <v>13.527385415700278</v>
      </c>
      <c r="CQ13" s="32">
        <f t="shared" ca="1" si="52"/>
        <v>5.2583843053186801</v>
      </c>
      <c r="CR13" s="32">
        <f t="shared" ca="1" si="53"/>
        <v>2.2593837501278813</v>
      </c>
    </row>
    <row r="14" spans="1:96" x14ac:dyDescent="0.25">
      <c r="A14" s="54" t="s">
        <v>46</v>
      </c>
      <c r="B14" s="55" t="s">
        <v>213</v>
      </c>
      <c r="C14" s="19" t="s">
        <v>106</v>
      </c>
      <c r="D14" s="56">
        <v>0</v>
      </c>
      <c r="E14" s="56">
        <v>14</v>
      </c>
      <c r="F14" s="56">
        <v>14</v>
      </c>
      <c r="G14" s="56">
        <v>8.5</v>
      </c>
      <c r="H14" s="56">
        <v>2</v>
      </c>
      <c r="I14" s="56">
        <v>10</v>
      </c>
      <c r="J14" s="56">
        <v>19</v>
      </c>
      <c r="K14" s="56">
        <f>C20+C21+C23+C22</f>
        <v>204</v>
      </c>
      <c r="L14" s="56">
        <v>2630</v>
      </c>
      <c r="M14" s="81">
        <f>(18370+11230+2235+1315)*1.06</f>
        <v>35139</v>
      </c>
      <c r="N14" s="82">
        <f t="shared" si="57"/>
        <v>42166.799999999996</v>
      </c>
      <c r="Q14" t="s">
        <v>55</v>
      </c>
      <c r="R14" s="69">
        <v>0</v>
      </c>
      <c r="S14" s="84"/>
      <c r="T14" s="69">
        <v>0.12</v>
      </c>
      <c r="U14" s="84"/>
      <c r="V14" s="69">
        <v>0.12</v>
      </c>
      <c r="W14" s="84"/>
      <c r="X14" s="70">
        <v>0</v>
      </c>
      <c r="Y14" s="84"/>
      <c r="Z14" s="69">
        <v>0</v>
      </c>
    </row>
    <row r="15" spans="1:96" x14ac:dyDescent="0.25">
      <c r="A15" s="54" t="s">
        <v>47</v>
      </c>
      <c r="B15" s="55" t="s">
        <v>105</v>
      </c>
      <c r="C15" s="19" t="s">
        <v>201</v>
      </c>
      <c r="D15" s="56">
        <v>0</v>
      </c>
      <c r="E15" s="56">
        <v>14</v>
      </c>
      <c r="F15" s="56">
        <v>14</v>
      </c>
      <c r="G15" s="56">
        <v>12</v>
      </c>
      <c r="H15" s="56">
        <v>2</v>
      </c>
      <c r="I15" s="56">
        <v>10</v>
      </c>
      <c r="J15" s="56">
        <v>19</v>
      </c>
      <c r="K15" s="56">
        <f>C20+C21+C23+C22</f>
        <v>204</v>
      </c>
      <c r="L15" s="56">
        <v>2630</v>
      </c>
      <c r="M15" s="81">
        <f>(18370+11230+365+1315)*1.06</f>
        <v>33156.800000000003</v>
      </c>
      <c r="N15" s="82">
        <f t="shared" si="57"/>
        <v>39788.160000000003</v>
      </c>
      <c r="Q15" t="s">
        <v>169</v>
      </c>
      <c r="R15" s="70">
        <v>0.193</v>
      </c>
      <c r="S15" s="84"/>
      <c r="T15" s="70">
        <v>0.17499999999999999</v>
      </c>
      <c r="U15" s="84"/>
      <c r="V15" s="70">
        <v>0.17499999999999999</v>
      </c>
      <c r="W15" s="84"/>
      <c r="X15" s="70">
        <v>0.314</v>
      </c>
      <c r="Y15" s="84"/>
      <c r="Z15" s="70">
        <v>0.24399999999999999</v>
      </c>
      <c r="AC15" s="93">
        <v>451</v>
      </c>
      <c r="AD15" s="94" t="s">
        <v>235</v>
      </c>
      <c r="AE15" s="24" t="s">
        <v>185</v>
      </c>
      <c r="AF15" s="24" t="s">
        <v>236</v>
      </c>
      <c r="AG15" s="24" t="s">
        <v>185</v>
      </c>
      <c r="AH15" s="24" t="s">
        <v>232</v>
      </c>
      <c r="AI15" s="24" t="s">
        <v>233</v>
      </c>
      <c r="AJ15" s="24" t="s">
        <v>234</v>
      </c>
      <c r="AK15" s="24" t="s">
        <v>233</v>
      </c>
      <c r="AL15" s="24" t="s">
        <v>226</v>
      </c>
      <c r="AM15" s="24" t="s">
        <v>237</v>
      </c>
      <c r="AN15" s="24" t="s">
        <v>238</v>
      </c>
    </row>
    <row r="16" spans="1:96" x14ac:dyDescent="0.25">
      <c r="A16" s="54" t="s">
        <v>49</v>
      </c>
      <c r="B16" s="55" t="s">
        <v>214</v>
      </c>
      <c r="C16" s="19" t="s">
        <v>201</v>
      </c>
      <c r="D16" s="56">
        <v>0</v>
      </c>
      <c r="E16" s="56">
        <v>14</v>
      </c>
      <c r="F16" s="56">
        <v>14</v>
      </c>
      <c r="G16" s="56">
        <v>12</v>
      </c>
      <c r="H16" s="56">
        <v>2</v>
      </c>
      <c r="I16" s="56">
        <v>10</v>
      </c>
      <c r="J16" s="56">
        <v>19</v>
      </c>
      <c r="K16" s="56">
        <f>C20+C21+C23+C22</f>
        <v>204</v>
      </c>
      <c r="L16" s="56">
        <v>2630</v>
      </c>
      <c r="M16" s="81">
        <f>(18370+11230+2235+1315)*1.06</f>
        <v>35139</v>
      </c>
      <c r="N16" s="82">
        <f t="shared" si="57"/>
        <v>42166.799999999996</v>
      </c>
      <c r="Q16" t="s">
        <v>176</v>
      </c>
      <c r="R16" s="70">
        <v>0.13300000000000001</v>
      </c>
      <c r="S16" s="84"/>
      <c r="T16" s="70">
        <v>0.13300000000000001</v>
      </c>
      <c r="U16" s="84"/>
      <c r="V16" s="70">
        <v>0.13300000000000001</v>
      </c>
      <c r="W16" s="84"/>
      <c r="X16" s="70">
        <v>0.13300000000000001</v>
      </c>
      <c r="Y16" s="84"/>
      <c r="Z16" s="70">
        <v>0.13300000000000001</v>
      </c>
      <c r="AC16" s="95" t="s">
        <v>29</v>
      </c>
      <c r="AD16" s="96">
        <v>1</v>
      </c>
      <c r="AE16" s="44">
        <f ca="1">AS3</f>
        <v>11.285768055446562</v>
      </c>
      <c r="AF16" s="44">
        <f ca="1">AT3</f>
        <v>16.470457685660378</v>
      </c>
      <c r="AG16" s="44">
        <f ca="1">AU3</f>
        <v>11.285768055446562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f>AO3</f>
        <v>0.57000000000000006</v>
      </c>
      <c r="AN16" s="44">
        <f>AP3</f>
        <v>0.65</v>
      </c>
    </row>
    <row r="17" spans="1:48" x14ac:dyDescent="0.25">
      <c r="A17" s="54" t="s">
        <v>51</v>
      </c>
      <c r="B17" s="55" t="s">
        <v>208</v>
      </c>
      <c r="C17" s="19" t="s">
        <v>106</v>
      </c>
      <c r="D17" s="56">
        <v>0</v>
      </c>
      <c r="E17" s="56">
        <v>2</v>
      </c>
      <c r="F17" s="56">
        <v>14</v>
      </c>
      <c r="G17" s="56">
        <v>12</v>
      </c>
      <c r="H17" s="56">
        <v>2</v>
      </c>
      <c r="I17" s="56">
        <v>10</v>
      </c>
      <c r="J17" s="56">
        <v>16</v>
      </c>
      <c r="K17" s="56">
        <f>C21+C22+C23</f>
        <v>127</v>
      </c>
      <c r="L17" s="56">
        <v>2630</v>
      </c>
      <c r="M17" s="81">
        <f>(22460+2235+1315)*1.045</f>
        <v>27180.449999999997</v>
      </c>
      <c r="N17" s="82">
        <f t="shared" si="57"/>
        <v>32616.539999999994</v>
      </c>
      <c r="Q17" t="s">
        <v>177</v>
      </c>
      <c r="R17" s="70" t="s">
        <v>106</v>
      </c>
      <c r="S17" s="84"/>
      <c r="T17" s="70" t="s">
        <v>106</v>
      </c>
      <c r="U17" s="84"/>
      <c r="V17" s="70" t="s">
        <v>106</v>
      </c>
      <c r="W17" s="84"/>
      <c r="X17" s="70" t="s">
        <v>106</v>
      </c>
      <c r="Y17" s="84"/>
      <c r="Z17" s="70" t="s">
        <v>106</v>
      </c>
      <c r="AC17" s="95" t="s">
        <v>198</v>
      </c>
      <c r="AD17" s="96">
        <v>1</v>
      </c>
      <c r="AE17" s="44">
        <f ca="1">AZ4</f>
        <v>6.4745322004706036</v>
      </c>
      <c r="AF17" s="44">
        <f ca="1">BA4</f>
        <v>2.9135394902117713</v>
      </c>
      <c r="AG17" s="44">
        <v>0</v>
      </c>
      <c r="AH17" s="44">
        <f ca="1">BB4</f>
        <v>1.5092683450854247</v>
      </c>
      <c r="AI17" s="44">
        <f ca="1">BC4</f>
        <v>2.3740705803007764</v>
      </c>
      <c r="AJ17" s="44">
        <v>0</v>
      </c>
      <c r="AK17" s="44">
        <v>0</v>
      </c>
      <c r="AL17" s="44">
        <f>AN4</f>
        <v>1.5</v>
      </c>
      <c r="AM17" s="44">
        <f t="shared" ref="AM17:AN17" si="58">AO4</f>
        <v>0.98000000000000009</v>
      </c>
      <c r="AN17" s="44">
        <f t="shared" si="58"/>
        <v>0.67999999999999994</v>
      </c>
    </row>
    <row r="18" spans="1:48" x14ac:dyDescent="0.25">
      <c r="R18" s="84"/>
      <c r="S18" s="84"/>
      <c r="T18" s="84"/>
      <c r="U18" s="84"/>
      <c r="V18" s="70"/>
      <c r="W18" s="84"/>
      <c r="X18" s="70"/>
      <c r="Y18" s="84"/>
      <c r="Z18" s="70"/>
      <c r="AC18" s="95" t="s">
        <v>100</v>
      </c>
      <c r="AD18" s="96">
        <f>1-0.036</f>
        <v>0.96399999999999997</v>
      </c>
      <c r="AE18" s="44">
        <f ca="1">AV5*AD18</f>
        <v>3.5006388100944448</v>
      </c>
      <c r="AF18" s="44">
        <f ca="1">AW5*AD18</f>
        <v>6.78418374049311</v>
      </c>
      <c r="AG18" s="44">
        <f ca="1">BF6*AD18</f>
        <v>2.8868303774107296</v>
      </c>
      <c r="AH18" s="44">
        <f ca="1">BF6*AD18</f>
        <v>2.8868303774107296</v>
      </c>
      <c r="AI18" s="44">
        <v>0</v>
      </c>
      <c r="AJ18" s="44">
        <v>0</v>
      </c>
      <c r="AK18" s="44">
        <v>0</v>
      </c>
      <c r="AL18" s="44">
        <f t="shared" ref="AL18:AN26" si="59">AN5</f>
        <v>1.5</v>
      </c>
      <c r="AM18" s="44">
        <f>AO5*AD18</f>
        <v>0.94472</v>
      </c>
      <c r="AN18" s="44">
        <f>AP5*AD18</f>
        <v>0.65551999999999988</v>
      </c>
    </row>
    <row r="19" spans="1:48" x14ac:dyDescent="0.25">
      <c r="T19" s="84" t="s">
        <v>162</v>
      </c>
      <c r="V19" s="84" t="s">
        <v>162</v>
      </c>
      <c r="W19" s="1"/>
      <c r="X19" s="1" t="s">
        <v>167</v>
      </c>
      <c r="AC19" s="95" t="s">
        <v>212</v>
      </c>
      <c r="AD19" s="96">
        <f>1-0.036</f>
        <v>0.96399999999999997</v>
      </c>
      <c r="AE19" s="44">
        <v>0</v>
      </c>
      <c r="AF19" s="44">
        <f ca="1">BE6*AD19</f>
        <v>4.8032020882691215</v>
      </c>
      <c r="AG19" s="44">
        <f ca="1">BD6*AD19</f>
        <v>5.1152745403318054</v>
      </c>
      <c r="AH19" s="44">
        <f ca="1">BF6*AD19</f>
        <v>2.8868303774107296</v>
      </c>
      <c r="AI19" s="44">
        <v>0</v>
      </c>
      <c r="AJ19" s="44">
        <f>0</f>
        <v>0</v>
      </c>
      <c r="AK19" s="44">
        <f ca="1">BG6*AD19</f>
        <v>0.95282192032509005</v>
      </c>
      <c r="AL19" s="44">
        <f t="shared" si="59"/>
        <v>1.5</v>
      </c>
      <c r="AM19" s="44">
        <f t="shared" ref="AM19:AM20" si="60">AO6*AD19</f>
        <v>0.94472</v>
      </c>
      <c r="AN19" s="44">
        <f t="shared" ref="AN19:AN20" si="61">AP6*AD19</f>
        <v>0.65551999999999988</v>
      </c>
    </row>
    <row r="20" spans="1:48" x14ac:dyDescent="0.25">
      <c r="B20" s="79" t="s">
        <v>136</v>
      </c>
      <c r="C20">
        <v>77</v>
      </c>
      <c r="Q20" t="s">
        <v>26</v>
      </c>
      <c r="R20" s="84"/>
      <c r="S20" s="84"/>
      <c r="T20" s="84"/>
      <c r="U20" s="84"/>
      <c r="V20" s="84"/>
      <c r="W20" s="84"/>
      <c r="X20" s="69">
        <v>0.25</v>
      </c>
      <c r="Y20" s="84"/>
      <c r="Z20" s="84"/>
      <c r="AC20" s="95" t="s">
        <v>199</v>
      </c>
      <c r="AD20" s="96">
        <v>1</v>
      </c>
      <c r="AE20" s="44">
        <v>0</v>
      </c>
      <c r="AF20" s="44">
        <f ca="1">BA7</f>
        <v>2.9135394902117713</v>
      </c>
      <c r="AG20" s="44">
        <f ca="1">AZ7</f>
        <v>6.4745322004706036</v>
      </c>
      <c r="AH20" s="44">
        <f ca="1">BB7</f>
        <v>1.5092683450854247</v>
      </c>
      <c r="AI20" s="44">
        <v>0</v>
      </c>
      <c r="AJ20" s="44">
        <v>0</v>
      </c>
      <c r="AK20" s="44">
        <f ca="1">BC7</f>
        <v>4.1380705803007762</v>
      </c>
      <c r="AL20" s="44">
        <f t="shared" si="59"/>
        <v>1.5</v>
      </c>
      <c r="AM20" s="44">
        <f t="shared" si="60"/>
        <v>0.98000000000000009</v>
      </c>
      <c r="AN20" s="44">
        <f t="shared" si="61"/>
        <v>0.67999999999999994</v>
      </c>
    </row>
    <row r="21" spans="1:48" x14ac:dyDescent="0.25">
      <c r="B21" s="79" t="s">
        <v>134</v>
      </c>
      <c r="C21">
        <v>66</v>
      </c>
      <c r="Q21" t="s">
        <v>168</v>
      </c>
      <c r="R21" s="84"/>
      <c r="S21" s="84"/>
      <c r="T21" s="84"/>
      <c r="U21" s="84"/>
      <c r="V21" s="84"/>
      <c r="W21" s="84"/>
      <c r="X21" s="72">
        <v>0.60699999999999998</v>
      </c>
      <c r="Y21" s="84"/>
      <c r="Z21" s="84"/>
      <c r="AC21" s="95" t="s">
        <v>164</v>
      </c>
      <c r="AD21" s="96">
        <v>1</v>
      </c>
      <c r="AE21" s="44">
        <f ca="1">BH8</f>
        <v>3.4132044752480897</v>
      </c>
      <c r="AF21" s="44">
        <f ca="1">BI8</f>
        <v>1.8579092401350428</v>
      </c>
      <c r="AG21" s="44">
        <v>0</v>
      </c>
      <c r="AH21" s="44">
        <f ca="1">BJ8</f>
        <v>3.4433008351948913</v>
      </c>
      <c r="AI21" s="44">
        <f ca="1">BK8</f>
        <v>5.5478055904470738</v>
      </c>
      <c r="AJ21" s="44">
        <f ca="1">BL8</f>
        <v>0.20995182002659929</v>
      </c>
      <c r="AK21" s="44">
        <v>0</v>
      </c>
      <c r="AL21" s="44">
        <v>0</v>
      </c>
      <c r="AM21" s="44">
        <f t="shared" si="59"/>
        <v>0.98000000000000009</v>
      </c>
      <c r="AN21" s="44">
        <f t="shared" si="59"/>
        <v>0.67999999999999994</v>
      </c>
      <c r="AV21" s="97"/>
    </row>
    <row r="22" spans="1:48" x14ac:dyDescent="0.25">
      <c r="B22" s="79" t="s">
        <v>137</v>
      </c>
      <c r="C22">
        <v>32</v>
      </c>
      <c r="Q22" t="s">
        <v>55</v>
      </c>
      <c r="R22" s="84"/>
      <c r="S22" s="84"/>
      <c r="T22" s="84"/>
      <c r="U22" s="84"/>
      <c r="V22" s="84"/>
      <c r="W22" s="84"/>
      <c r="X22" s="70">
        <v>0.52400000000000002</v>
      </c>
      <c r="Y22" s="84"/>
      <c r="Z22" s="84"/>
      <c r="AC22" s="95" t="s">
        <v>102</v>
      </c>
      <c r="AD22" s="96">
        <f>1-0.175</f>
        <v>0.82499999999999996</v>
      </c>
      <c r="AE22" s="44">
        <f ca="1">AD22*BM9</f>
        <v>1.5676109213639422</v>
      </c>
      <c r="AF22" s="44">
        <f ca="1">BN9*AD22</f>
        <v>3.4487440270006724</v>
      </c>
      <c r="AG22" s="44">
        <f ca="1">BO9*AD22</f>
        <v>0.7838054606819711</v>
      </c>
      <c r="AH22" s="44">
        <f ca="1">BP9*AD22</f>
        <v>7.0384322583983749</v>
      </c>
      <c r="AI22" s="44">
        <f ca="1">BQ9*AD22</f>
        <v>0.43302562880486112</v>
      </c>
      <c r="AJ22" s="44">
        <f ca="1">BR9*AD22</f>
        <v>2.1177731479986481</v>
      </c>
      <c r="AK22" s="44">
        <f ca="1">BS9*AD22</f>
        <v>0.21651281440243056</v>
      </c>
      <c r="AL22" s="44">
        <v>0</v>
      </c>
      <c r="AM22" s="44">
        <f t="shared" si="59"/>
        <v>1.0699999999999998</v>
      </c>
      <c r="AN22" s="44">
        <f t="shared" si="59"/>
        <v>0.77</v>
      </c>
    </row>
    <row r="23" spans="1:48" x14ac:dyDescent="0.25">
      <c r="B23" s="79" t="s">
        <v>28</v>
      </c>
      <c r="C23">
        <v>29</v>
      </c>
      <c r="Q23" t="s">
        <v>169</v>
      </c>
      <c r="R23" s="84"/>
      <c r="S23" s="84"/>
      <c r="T23" s="84"/>
      <c r="U23" s="84"/>
      <c r="V23" s="84"/>
      <c r="W23" s="84"/>
      <c r="X23" s="70">
        <v>0.20899999999999999</v>
      </c>
      <c r="Y23" s="84"/>
      <c r="Z23" s="84"/>
      <c r="AC23" s="95" t="s">
        <v>102</v>
      </c>
      <c r="AD23" s="96">
        <f t="shared" ref="AD23:AD24" si="62">1-0.175</f>
        <v>0.82499999999999996</v>
      </c>
      <c r="AE23" s="44">
        <f ca="1">AD23*(BM10+BO10)/2</f>
        <v>1.1757081910229565</v>
      </c>
      <c r="AF23" s="44">
        <f ca="1">BN10*AD23</f>
        <v>3.4487440270006724</v>
      </c>
      <c r="AG23" s="44">
        <f ca="1">AE23</f>
        <v>1.1757081910229565</v>
      </c>
      <c r="AH23" s="44">
        <f ca="1">BP10*AD23</f>
        <v>7.0384322583983749</v>
      </c>
      <c r="AI23" s="44">
        <f ca="1">(BQ10+BS10)/2*AD23</f>
        <v>0.3247692216036458</v>
      </c>
      <c r="AJ23" s="44">
        <f ca="1">BR10*AD23</f>
        <v>2.1177731479986481</v>
      </c>
      <c r="AK23" s="44">
        <f ca="1">AI23</f>
        <v>0.3247692216036458</v>
      </c>
      <c r="AL23" s="44">
        <v>1</v>
      </c>
      <c r="AM23" s="44">
        <f t="shared" ref="AM23" si="63">AO10</f>
        <v>1.0699999999999998</v>
      </c>
      <c r="AN23" s="44">
        <f t="shared" ref="AN23" si="64">AP10</f>
        <v>0.77</v>
      </c>
    </row>
    <row r="24" spans="1:48" x14ac:dyDescent="0.25">
      <c r="B24" s="79" t="s">
        <v>64</v>
      </c>
      <c r="C24">
        <f>C23+C22+C21+C20</f>
        <v>204</v>
      </c>
      <c r="Q24" t="s">
        <v>176</v>
      </c>
      <c r="X24" s="70">
        <v>6.7000000000000004E-2</v>
      </c>
      <c r="AC24" s="95" t="s">
        <v>105</v>
      </c>
      <c r="AD24" s="96">
        <f t="shared" si="62"/>
        <v>0.82499999999999996</v>
      </c>
      <c r="AE24" s="44">
        <v>0</v>
      </c>
      <c r="AF24" s="44">
        <f ca="1">AD24*CB11</f>
        <v>2.0204762986468583</v>
      </c>
      <c r="AG24" s="44">
        <f ca="1">CA11</f>
        <v>2.0479226851488539</v>
      </c>
      <c r="AH24" s="44">
        <f ca="1">AD24*CC11</f>
        <v>6.568706376746789</v>
      </c>
      <c r="AI24" s="44">
        <v>0</v>
      </c>
      <c r="AJ24" s="44">
        <f ca="1">CE11*AD24</f>
        <v>0.80276289647670396</v>
      </c>
      <c r="AK24" s="44">
        <f ca="1">AD24*CD11</f>
        <v>4.381879107750164</v>
      </c>
      <c r="AL24" s="44">
        <v>0</v>
      </c>
      <c r="AM24" s="44">
        <f t="shared" si="59"/>
        <v>1.0699999999999998</v>
      </c>
      <c r="AN24" s="44">
        <f t="shared" si="59"/>
        <v>0.77</v>
      </c>
    </row>
    <row r="25" spans="1:48" x14ac:dyDescent="0.25">
      <c r="B25" s="79" t="s">
        <v>194</v>
      </c>
      <c r="C25" s="32">
        <f>C24/16</f>
        <v>12.75</v>
      </c>
      <c r="Q25" t="s">
        <v>177</v>
      </c>
      <c r="X25" s="70" t="s">
        <v>106</v>
      </c>
      <c r="AC25" s="95" t="s">
        <v>214</v>
      </c>
      <c r="AD25" s="96">
        <v>1</v>
      </c>
      <c r="AE25" s="44">
        <v>0</v>
      </c>
      <c r="AF25" s="44">
        <f ca="1">CG12</f>
        <v>0.47855238003478373</v>
      </c>
      <c r="AG25" s="44">
        <f ca="1">CF12</f>
        <v>1.2667563000920745</v>
      </c>
      <c r="AH25" s="44">
        <f ca="1">CH12</f>
        <v>2.7564481751560153</v>
      </c>
      <c r="AI25" s="44">
        <v>0</v>
      </c>
      <c r="AJ25" s="44">
        <f ca="1">CJ12</f>
        <v>0.54506722506905592</v>
      </c>
      <c r="AK25" s="44">
        <f ca="1">CI12</f>
        <v>8.1922700106578219</v>
      </c>
      <c r="AL25" s="44">
        <v>0</v>
      </c>
      <c r="AM25" s="44">
        <f t="shared" si="59"/>
        <v>1.0699999999999998</v>
      </c>
      <c r="AN25" s="44">
        <f t="shared" si="59"/>
        <v>0.77</v>
      </c>
    </row>
    <row r="26" spans="1:48" x14ac:dyDescent="0.25">
      <c r="C26" s="32"/>
      <c r="AC26" s="95" t="s">
        <v>208</v>
      </c>
      <c r="AD26" s="96">
        <v>1</v>
      </c>
      <c r="AE26" s="44">
        <v>0</v>
      </c>
      <c r="AF26" s="44">
        <v>0</v>
      </c>
      <c r="AG26" s="44">
        <v>0</v>
      </c>
      <c r="AH26" s="44">
        <f t="shared" ref="AH26" ca="1" si="65">CR13*AD26</f>
        <v>2.2593837501278813</v>
      </c>
      <c r="AI26" s="44">
        <f t="shared" ref="AI26" ca="1" si="66">AD26*CO13</f>
        <v>5.2583843053186801</v>
      </c>
      <c r="AJ26" s="44">
        <f t="shared" ref="AJ26" ca="1" si="67">AD26*CP13</f>
        <v>13.527385415700278</v>
      </c>
      <c r="AK26" s="44">
        <f t="shared" ref="AK26" ca="1" si="68">AD26*CQ13</f>
        <v>5.2583843053186801</v>
      </c>
      <c r="AL26" s="44">
        <v>0</v>
      </c>
      <c r="AM26" s="44">
        <f t="shared" si="59"/>
        <v>0.98000000000000009</v>
      </c>
      <c r="AN26" s="44">
        <f t="shared" si="59"/>
        <v>0.55999999999999994</v>
      </c>
    </row>
    <row r="27" spans="1:48" x14ac:dyDescent="0.25">
      <c r="AC27" s="63"/>
      <c r="AD27" s="94"/>
      <c r="AE27" s="47">
        <f ca="1">SUM(AE16:AE26)</f>
        <v>27.417462653646599</v>
      </c>
      <c r="AF27" s="47">
        <f t="shared" ref="AF27:AN27" ca="1" si="69">SUM(AF16:AF26)</f>
        <v>45.139348467664178</v>
      </c>
      <c r="AG27" s="47">
        <f t="shared" ca="1" si="69"/>
        <v>31.036597810605556</v>
      </c>
      <c r="AH27" s="47">
        <f t="shared" ca="1" si="69"/>
        <v>37.896901099014634</v>
      </c>
      <c r="AI27" s="47">
        <f t="shared" ca="1" si="69"/>
        <v>13.938055326475038</v>
      </c>
      <c r="AJ27" s="47">
        <f t="shared" ca="1" si="69"/>
        <v>19.320713653269934</v>
      </c>
      <c r="AK27" s="47">
        <f t="shared" ca="1" si="69"/>
        <v>23.464707960358609</v>
      </c>
      <c r="AL27" s="98">
        <f t="shared" si="69"/>
        <v>7</v>
      </c>
      <c r="AM27" s="98">
        <f t="shared" si="69"/>
        <v>10.659440000000002</v>
      </c>
      <c r="AN27" s="98">
        <f t="shared" si="69"/>
        <v>7.6410399999999976</v>
      </c>
    </row>
    <row r="28" spans="1:48" ht="15.75" x14ac:dyDescent="0.25">
      <c r="AC28" s="63"/>
      <c r="AD28" s="63" t="s">
        <v>239</v>
      </c>
      <c r="AE28" s="99">
        <f ca="1">AE27*0.34</f>
        <v>9.321937302239844</v>
      </c>
      <c r="AF28" s="99">
        <f ca="1">AF27*0.245</f>
        <v>11.059140374577723</v>
      </c>
      <c r="AG28" s="99">
        <f ca="1">AG27*0.34</f>
        <v>10.55244325560589</v>
      </c>
      <c r="AH28" s="99">
        <f ca="1">AH27*0.125</f>
        <v>4.7371126373768293</v>
      </c>
      <c r="AI28" s="99">
        <f ca="1">AI27*0.25</f>
        <v>3.4845138316187594</v>
      </c>
      <c r="AJ28" s="99">
        <f ca="1">AJ27*0.19</f>
        <v>3.6709355941212873</v>
      </c>
      <c r="AK28" s="99">
        <f ca="1">AK27*0.25</f>
        <v>5.8661769900896523</v>
      </c>
    </row>
    <row r="29" spans="1:48" ht="15.75" x14ac:dyDescent="0.25">
      <c r="AC29" s="63"/>
      <c r="AD29" s="63" t="s">
        <v>240</v>
      </c>
      <c r="AE29" s="99">
        <f ca="1">AE28*1.2/1.05</f>
        <v>10.65364263113125</v>
      </c>
      <c r="AF29" s="99">
        <f t="shared" ref="AF29:AG29" ca="1" si="70">AF28*1.2/1.05</f>
        <v>12.639017570945969</v>
      </c>
      <c r="AG29" s="99">
        <f t="shared" ca="1" si="70"/>
        <v>12.059935149263875</v>
      </c>
      <c r="AH29" s="99">
        <f ca="1">AH28</f>
        <v>4.7371126373768293</v>
      </c>
      <c r="AI29" s="99">
        <f ca="1">AI28*0.925/1.05</f>
        <v>3.0696907564260498</v>
      </c>
      <c r="AJ29" s="99">
        <f t="shared" ref="AJ29:AK29" ca="1" si="71">AJ28*0.925/1.05</f>
        <v>3.2339194519639913</v>
      </c>
      <c r="AK29" s="99">
        <f t="shared" ca="1" si="71"/>
        <v>5.1678225865075511</v>
      </c>
    </row>
    <row r="30" spans="1:48" ht="15.75" x14ac:dyDescent="0.25">
      <c r="AC30" s="63"/>
      <c r="AD30" s="63" t="s">
        <v>241</v>
      </c>
      <c r="AE30" s="99">
        <f ca="1">AE28*0.925/1.05</f>
        <v>8.2121828614970056</v>
      </c>
      <c r="AF30" s="99">
        <f t="shared" ref="AF30:AG30" ca="1" si="72">AF28*0.925/1.05</f>
        <v>9.7425760442708498</v>
      </c>
      <c r="AG30" s="99">
        <f t="shared" ca="1" si="72"/>
        <v>9.2962000108909031</v>
      </c>
      <c r="AH30" s="99">
        <f ca="1">AH29</f>
        <v>4.7371126373768293</v>
      </c>
      <c r="AI30" s="99">
        <f ca="1">AI28*1.135/1.05</f>
        <v>3.7665935227498015</v>
      </c>
      <c r="AJ30" s="99">
        <f t="shared" ref="AJ30:AK30" ca="1" si="73">AJ28*1.135/1.05</f>
        <v>3.9681065707882484</v>
      </c>
      <c r="AK30" s="99">
        <f t="shared" ca="1" si="73"/>
        <v>6.3410579845254809</v>
      </c>
    </row>
  </sheetData>
  <mergeCells count="3">
    <mergeCell ref="C2:O2"/>
    <mergeCell ref="C3:O3"/>
    <mergeCell ref="C4:O4"/>
  </mergeCells>
  <conditionalFormatting sqref="L7:N17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{03C30C37-528A-4FDE-8A84-1585D64CA0F7}</x14:id>
        </ext>
      </extLst>
    </cfRule>
  </conditionalFormatting>
  <conditionalFormatting sqref="D7:J17">
    <cfRule type="colorScale" priority="16">
      <colorScale>
        <cfvo type="min"/>
        <cfvo type="max"/>
        <color rgb="FFFCFCFF"/>
        <color rgb="FFF8696B"/>
      </colorScale>
    </cfRule>
  </conditionalFormatting>
  <conditionalFormatting sqref="K7:K17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{69F6CA29-C24A-44F0-A20D-4C28B2DC8A59}</x14:id>
        </ext>
      </extLst>
    </cfRule>
  </conditionalFormatting>
  <conditionalFormatting sqref="AQ3:AR13">
    <cfRule type="cellIs" dxfId="12" priority="14" operator="greaterThan">
      <formula>15</formula>
    </cfRule>
  </conditionalFormatting>
  <conditionalFormatting sqref="AN3:AN13">
    <cfRule type="cellIs" dxfId="11" priority="13" operator="greaterThan">
      <formula>3.2</formula>
    </cfRule>
  </conditionalFormatting>
  <conditionalFormatting sqref="AO3:AP13">
    <cfRule type="cellIs" dxfId="10" priority="12" operator="greaterThan">
      <formula>0.6</formula>
    </cfRule>
  </conditionalFormatting>
  <conditionalFormatting sqref="AS3:AX13 AZ3:BA13 BH3:BI13 BM3:BO13 CA3:CA13 CF3:CG13">
    <cfRule type="cellIs" dxfId="9" priority="11" operator="greaterThan">
      <formula>12.5</formula>
    </cfRule>
  </conditionalFormatting>
  <conditionalFormatting sqref="AY3:AY13 BJ3:BJ13 BP3:BP13 CC3:CC13 CH3:CH13 CK3:CK13">
    <cfRule type="cellIs" dxfId="8" priority="10" operator="greaterThan">
      <formula>12.5</formula>
    </cfRule>
  </conditionalFormatting>
  <conditionalFormatting sqref="BC3:BC13 BK3:BL13 BQ3:BS13 CD3:CE13 CI3:CJ13 CL3:CQ13">
    <cfRule type="cellIs" dxfId="7" priority="9" operator="greaterThan">
      <formula>12.5</formula>
    </cfRule>
  </conditionalFormatting>
  <conditionalFormatting sqref="AF3:AF13">
    <cfRule type="cellIs" dxfId="6" priority="8" operator="greaterThan">
      <formula>7</formula>
    </cfRule>
  </conditionalFormatting>
  <conditionalFormatting sqref="BD3:BE13">
    <cfRule type="cellIs" dxfId="5" priority="7" operator="greaterThan">
      <formula>12.5</formula>
    </cfRule>
  </conditionalFormatting>
  <conditionalFormatting sqref="BG3:BG13">
    <cfRule type="cellIs" dxfId="4" priority="6" operator="greaterThan">
      <formula>12.5</formula>
    </cfRule>
  </conditionalFormatting>
  <conditionalFormatting sqref="CR3:CR13">
    <cfRule type="cellIs" dxfId="3" priority="5" operator="greaterThan">
      <formula>12.5</formula>
    </cfRule>
  </conditionalFormatting>
  <conditionalFormatting sqref="BT3:BV13">
    <cfRule type="cellIs" dxfId="2" priority="4" operator="greaterThan">
      <formula>12.5</formula>
    </cfRule>
  </conditionalFormatting>
  <conditionalFormatting sqref="BW3:BW13">
    <cfRule type="cellIs" dxfId="1" priority="3" operator="greaterThan">
      <formula>12.5</formula>
    </cfRule>
  </conditionalFormatting>
  <conditionalFormatting sqref="BX3:BZ13">
    <cfRule type="cellIs" dxfId="0" priority="2" operator="greaterThan">
      <formula>12.5</formula>
    </cfRule>
  </conditionalFormatting>
  <conditionalFormatting sqref="AG3:AM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C30C37-528A-4FDE-8A84-1585D64CA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L7:N17</xm:sqref>
        </x14:conditionalFormatting>
        <x14:conditionalFormatting xmlns:xm="http://schemas.microsoft.com/office/excel/2006/main">
          <x14:cfRule type="dataBar" id="{69F6CA29-C24A-44F0-A20D-4C28B2DC8A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K7:K17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6689-C64D-4E88-9875-45AB1E13DC76}">
  <sheetPr>
    <tabColor rgb="FFFF0000"/>
  </sheetPr>
  <dimension ref="A1:AJ24"/>
  <sheetViews>
    <sheetView topLeftCell="K1" zoomScale="110" zoomScaleNormal="110" workbookViewId="0">
      <selection activeCell="AI8" sqref="AI8"/>
    </sheetView>
  </sheetViews>
  <sheetFormatPr baseColWidth="10" defaultRowHeight="15" x14ac:dyDescent="0.25"/>
  <cols>
    <col min="1" max="1" width="5.140625" bestFit="1" customWidth="1"/>
    <col min="2" max="2" width="13" bestFit="1" customWidth="1"/>
    <col min="3" max="3" width="4.7109375" bestFit="1" customWidth="1"/>
    <col min="4" max="5" width="4.5703125" bestFit="1" customWidth="1"/>
    <col min="6" max="6" width="4.85546875" bestFit="1" customWidth="1"/>
    <col min="7" max="7" width="7" bestFit="1" customWidth="1"/>
    <col min="8" max="8" width="4.85546875" bestFit="1" customWidth="1"/>
    <col min="9" max="9" width="5.42578125" bestFit="1" customWidth="1"/>
    <col min="10" max="11" width="4.5703125" bestFit="1" customWidth="1"/>
    <col min="12" max="12" width="5.140625" bestFit="1" customWidth="1"/>
    <col min="13" max="13" width="11.5703125" bestFit="1" customWidth="1"/>
    <col min="14" max="17" width="4.5703125" bestFit="1" customWidth="1"/>
    <col min="18" max="19" width="3.5703125" bestFit="1" customWidth="1"/>
    <col min="20" max="21" width="4.5703125" bestFit="1" customWidth="1"/>
    <col min="22" max="22" width="7.28515625" bestFit="1" customWidth="1"/>
    <col min="23" max="23" width="8" bestFit="1" customWidth="1"/>
    <col min="25" max="25" width="5.140625" bestFit="1" customWidth="1"/>
    <col min="26" max="26" width="9.140625" bestFit="1" customWidth="1"/>
    <col min="27" max="30" width="4.5703125" bestFit="1" customWidth="1"/>
    <col min="31" max="32" width="3.5703125" bestFit="1" customWidth="1"/>
    <col min="33" max="34" width="4.5703125" bestFit="1" customWidth="1"/>
    <col min="35" max="35" width="7.28515625" bestFit="1" customWidth="1"/>
    <col min="36" max="36" width="8" bestFit="1" customWidth="1"/>
  </cols>
  <sheetData>
    <row r="1" spans="1:36" x14ac:dyDescent="0.25">
      <c r="A1" s="4"/>
      <c r="B1" s="68" t="s">
        <v>155</v>
      </c>
      <c r="C1" s="103"/>
      <c r="D1" s="103"/>
      <c r="E1" s="103"/>
      <c r="F1" s="103"/>
      <c r="G1" s="103"/>
      <c r="H1" s="103"/>
      <c r="I1" s="103"/>
      <c r="L1" s="1" t="s">
        <v>187</v>
      </c>
      <c r="O1" s="4"/>
      <c r="P1" s="4"/>
      <c r="Q1" s="4"/>
      <c r="R1" s="4"/>
      <c r="U1" s="85"/>
    </row>
    <row r="2" spans="1:36" x14ac:dyDescent="0.25">
      <c r="A2" s="4"/>
      <c r="B2" s="49" t="s">
        <v>56</v>
      </c>
      <c r="C2" s="24" t="s">
        <v>29</v>
      </c>
      <c r="D2" s="24" t="s">
        <v>100</v>
      </c>
      <c r="E2" s="24" t="s">
        <v>101</v>
      </c>
      <c r="F2" s="24" t="s">
        <v>102</v>
      </c>
      <c r="G2" s="24" t="s">
        <v>103</v>
      </c>
      <c r="H2" s="24" t="s">
        <v>52</v>
      </c>
      <c r="I2" s="52" t="s">
        <v>78</v>
      </c>
      <c r="K2" s="100"/>
      <c r="L2">
        <v>1</v>
      </c>
      <c r="M2" s="85" t="s">
        <v>188</v>
      </c>
      <c r="N2" s="104" t="s">
        <v>192</v>
      </c>
      <c r="O2" s="104"/>
      <c r="P2" s="104"/>
      <c r="Q2" s="104"/>
      <c r="R2" s="104"/>
      <c r="S2" s="104"/>
      <c r="T2" s="104"/>
      <c r="U2" s="104"/>
      <c r="V2" s="104"/>
      <c r="W2" s="104"/>
      <c r="X2" s="104"/>
    </row>
    <row r="3" spans="1:36" x14ac:dyDescent="0.25">
      <c r="A3" s="4"/>
      <c r="B3" s="49">
        <v>451</v>
      </c>
      <c r="C3" s="14">
        <v>1</v>
      </c>
      <c r="D3" s="14">
        <v>3</v>
      </c>
      <c r="E3" s="14">
        <v>3</v>
      </c>
      <c r="F3" s="14">
        <v>4</v>
      </c>
      <c r="G3" s="14">
        <v>2</v>
      </c>
      <c r="H3" s="14">
        <v>2</v>
      </c>
      <c r="I3" s="14">
        <f>SUM(C3:H3)</f>
        <v>15</v>
      </c>
      <c r="K3" s="100"/>
      <c r="L3">
        <v>2</v>
      </c>
      <c r="M3" s="85" t="s">
        <v>189</v>
      </c>
      <c r="N3" s="104" t="s">
        <v>193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</row>
    <row r="4" spans="1:36" x14ac:dyDescent="0.25">
      <c r="A4" s="4"/>
      <c r="B4" s="49">
        <v>550</v>
      </c>
      <c r="C4" s="14">
        <v>1</v>
      </c>
      <c r="D4" s="14">
        <v>4</v>
      </c>
      <c r="E4" s="14">
        <v>3</v>
      </c>
      <c r="F4" s="14">
        <v>4</v>
      </c>
      <c r="G4" s="14">
        <v>0</v>
      </c>
      <c r="H4" s="14">
        <v>0</v>
      </c>
      <c r="I4" s="14">
        <f>SUM(C4:H4)</f>
        <v>12</v>
      </c>
      <c r="K4" s="100"/>
      <c r="L4">
        <v>3</v>
      </c>
      <c r="M4" s="85" t="s">
        <v>191</v>
      </c>
      <c r="N4" s="104" t="s">
        <v>197</v>
      </c>
      <c r="O4" s="104"/>
      <c r="P4" s="104"/>
      <c r="Q4" s="104"/>
      <c r="R4" s="104"/>
      <c r="S4" s="104"/>
      <c r="T4" s="104"/>
      <c r="U4" s="104"/>
      <c r="V4" s="104"/>
      <c r="W4" s="104"/>
      <c r="X4" s="104"/>
    </row>
    <row r="5" spans="1:36" x14ac:dyDescent="0.25">
      <c r="A5" s="4"/>
      <c r="B5" s="49" t="s">
        <v>104</v>
      </c>
      <c r="C5" s="49">
        <f t="shared" ref="C5:I5" si="0">MAX(C3:C4)</f>
        <v>1</v>
      </c>
      <c r="D5" s="49">
        <f t="shared" si="0"/>
        <v>4</v>
      </c>
      <c r="E5" s="49">
        <f t="shared" si="0"/>
        <v>3</v>
      </c>
      <c r="F5" s="49">
        <f t="shared" si="0"/>
        <v>4</v>
      </c>
      <c r="G5" s="49">
        <f t="shared" si="0"/>
        <v>2</v>
      </c>
      <c r="H5" s="49">
        <f t="shared" si="0"/>
        <v>2</v>
      </c>
      <c r="I5" s="49">
        <f t="shared" si="0"/>
        <v>15</v>
      </c>
      <c r="M5" s="85"/>
      <c r="V5" s="50">
        <f>SUM(V7:V19)</f>
        <v>338786.935</v>
      </c>
      <c r="W5" s="50">
        <f>SUM(W7:W19)</f>
        <v>406544.32200000004</v>
      </c>
      <c r="Z5" s="85"/>
      <c r="AI5" s="50">
        <f>SUM(AI7:AI19)</f>
        <v>338786.935</v>
      </c>
      <c r="AJ5" s="50">
        <f>SUM(AJ7:AJ19)</f>
        <v>406544.32200000004</v>
      </c>
    </row>
    <row r="6" spans="1:36" x14ac:dyDescent="0.25">
      <c r="L6" s="53" t="s">
        <v>53</v>
      </c>
      <c r="M6" s="18" t="s">
        <v>34</v>
      </c>
      <c r="N6" s="18" t="s">
        <v>54</v>
      </c>
      <c r="O6" s="18" t="s">
        <v>36</v>
      </c>
      <c r="P6" s="18" t="s">
        <v>37</v>
      </c>
      <c r="Q6" s="18" t="s">
        <v>38</v>
      </c>
      <c r="R6" s="18" t="s">
        <v>39</v>
      </c>
      <c r="S6" s="18" t="s">
        <v>40</v>
      </c>
      <c r="T6" s="18" t="s">
        <v>41</v>
      </c>
      <c r="U6" s="18" t="s">
        <v>35</v>
      </c>
      <c r="V6" s="18" t="s">
        <v>81</v>
      </c>
      <c r="W6" s="77" t="s">
        <v>186</v>
      </c>
      <c r="Y6" s="53" t="s">
        <v>53</v>
      </c>
      <c r="Z6" s="18" t="s">
        <v>34</v>
      </c>
      <c r="AA6" s="18" t="s">
        <v>54</v>
      </c>
      <c r="AB6" s="18" t="s">
        <v>36</v>
      </c>
      <c r="AC6" s="18" t="s">
        <v>37</v>
      </c>
      <c r="AD6" s="18" t="s">
        <v>38</v>
      </c>
      <c r="AE6" s="18" t="s">
        <v>39</v>
      </c>
      <c r="AF6" s="18" t="s">
        <v>40</v>
      </c>
      <c r="AG6" s="18" t="s">
        <v>41</v>
      </c>
      <c r="AH6" s="18" t="s">
        <v>35</v>
      </c>
      <c r="AI6" s="18" t="s">
        <v>81</v>
      </c>
      <c r="AJ6" s="77" t="s">
        <v>186</v>
      </c>
    </row>
    <row r="7" spans="1:36" x14ac:dyDescent="0.25">
      <c r="L7" s="54" t="s">
        <v>42</v>
      </c>
      <c r="M7" s="55" t="s">
        <v>29</v>
      </c>
      <c r="N7" s="19"/>
      <c r="O7" s="56">
        <v>14</v>
      </c>
      <c r="P7" s="20">
        <v>2</v>
      </c>
      <c r="Q7" s="56">
        <v>2</v>
      </c>
      <c r="R7" s="20">
        <v>0</v>
      </c>
      <c r="S7" s="56">
        <v>0</v>
      </c>
      <c r="T7" s="20">
        <v>0</v>
      </c>
      <c r="U7" s="56">
        <v>2</v>
      </c>
      <c r="V7" s="48">
        <f>(18290+6200)*1.06</f>
        <v>25959.4</v>
      </c>
      <c r="W7" s="50">
        <f>V7*1.2</f>
        <v>31151.279999999999</v>
      </c>
      <c r="Y7" s="54" t="s">
        <v>42</v>
      </c>
      <c r="Z7" s="55" t="s">
        <v>29</v>
      </c>
      <c r="AA7" s="19"/>
      <c r="AB7" s="56">
        <v>14</v>
      </c>
      <c r="AC7" s="20">
        <v>7</v>
      </c>
      <c r="AD7" s="56">
        <v>2</v>
      </c>
      <c r="AE7" s="20">
        <v>0</v>
      </c>
      <c r="AF7" s="56">
        <v>0</v>
      </c>
      <c r="AG7" s="20">
        <v>0</v>
      </c>
      <c r="AH7" s="56">
        <v>17</v>
      </c>
      <c r="AI7" s="48">
        <f>(18290+6200)*1.06</f>
        <v>25959.4</v>
      </c>
      <c r="AJ7" s="50">
        <f>AI7*1.2</f>
        <v>31151.279999999999</v>
      </c>
    </row>
    <row r="8" spans="1:36" x14ac:dyDescent="0.25">
      <c r="L8" s="54" t="s">
        <v>90</v>
      </c>
      <c r="M8" s="55" t="s">
        <v>32</v>
      </c>
      <c r="N8" s="21" t="s">
        <v>106</v>
      </c>
      <c r="O8" s="23">
        <v>0</v>
      </c>
      <c r="P8" s="22">
        <v>12</v>
      </c>
      <c r="Q8" s="22">
        <v>5</v>
      </c>
      <c r="R8" s="20">
        <v>2</v>
      </c>
      <c r="S8" s="23">
        <v>2</v>
      </c>
      <c r="T8" s="22">
        <v>10</v>
      </c>
      <c r="U8" s="23">
        <v>2</v>
      </c>
      <c r="V8" s="48">
        <f>(18370+1700+1315)*1.049</f>
        <v>22432.864999999998</v>
      </c>
      <c r="W8" s="50">
        <f t="shared" ref="W8:W18" si="1">V8*1.2</f>
        <v>26919.437999999998</v>
      </c>
      <c r="Y8" s="54" t="s">
        <v>90</v>
      </c>
      <c r="Z8" s="55" t="s">
        <v>32</v>
      </c>
      <c r="AA8" s="21" t="s">
        <v>106</v>
      </c>
      <c r="AB8" s="23">
        <v>0</v>
      </c>
      <c r="AC8" s="22">
        <v>14</v>
      </c>
      <c r="AD8" s="22">
        <v>7</v>
      </c>
      <c r="AE8" s="20">
        <v>2</v>
      </c>
      <c r="AF8" s="23">
        <v>2</v>
      </c>
      <c r="AG8" s="22">
        <v>10</v>
      </c>
      <c r="AH8" s="23">
        <v>16</v>
      </c>
      <c r="AI8" s="48">
        <f>(18370+1700+1315)*1.049</f>
        <v>22432.864999999998</v>
      </c>
      <c r="AJ8" s="50">
        <f t="shared" ref="AJ8:AJ18" si="2">AI8*1.2</f>
        <v>26919.437999999998</v>
      </c>
    </row>
    <row r="9" spans="1:36" x14ac:dyDescent="0.25">
      <c r="L9" s="54" t="s">
        <v>45</v>
      </c>
      <c r="M9" s="55" t="s">
        <v>32</v>
      </c>
      <c r="N9" s="21" t="s">
        <v>106</v>
      </c>
      <c r="O9" s="23">
        <v>0</v>
      </c>
      <c r="P9" s="22">
        <v>12</v>
      </c>
      <c r="Q9" s="22">
        <v>5</v>
      </c>
      <c r="R9" s="20">
        <v>2</v>
      </c>
      <c r="S9" s="23">
        <v>2</v>
      </c>
      <c r="T9" s="22">
        <v>10</v>
      </c>
      <c r="U9" s="23">
        <v>2</v>
      </c>
      <c r="V9" s="48">
        <f t="shared" ref="V9:V11" si="3">(18370+1700+1315)*1.049</f>
        <v>22432.864999999998</v>
      </c>
      <c r="W9" s="50">
        <f t="shared" si="1"/>
        <v>26919.437999999998</v>
      </c>
      <c r="Y9" s="54" t="s">
        <v>45</v>
      </c>
      <c r="Z9" s="55" t="s">
        <v>32</v>
      </c>
      <c r="AA9" s="21" t="s">
        <v>106</v>
      </c>
      <c r="AB9" s="23">
        <v>0</v>
      </c>
      <c r="AC9" s="22">
        <v>14</v>
      </c>
      <c r="AD9" s="22">
        <v>7</v>
      </c>
      <c r="AE9" s="20">
        <v>2</v>
      </c>
      <c r="AF9" s="23">
        <v>2</v>
      </c>
      <c r="AG9" s="22">
        <v>10</v>
      </c>
      <c r="AH9" s="23">
        <v>16</v>
      </c>
      <c r="AI9" s="48">
        <f t="shared" ref="AI9:AI11" si="4">(18370+1700+1315)*1.049</f>
        <v>22432.864999999998</v>
      </c>
      <c r="AJ9" s="50">
        <f t="shared" si="2"/>
        <v>26919.437999999998</v>
      </c>
    </row>
    <row r="10" spans="1:36" x14ac:dyDescent="0.25">
      <c r="L10" s="54" t="s">
        <v>43</v>
      </c>
      <c r="M10" s="55" t="s">
        <v>32</v>
      </c>
      <c r="N10" s="21" t="s">
        <v>106</v>
      </c>
      <c r="O10" s="23">
        <v>0</v>
      </c>
      <c r="P10" s="22">
        <v>12</v>
      </c>
      <c r="Q10" s="22">
        <v>5</v>
      </c>
      <c r="R10" s="20">
        <v>2</v>
      </c>
      <c r="S10" s="23">
        <v>2</v>
      </c>
      <c r="T10" s="22">
        <v>10</v>
      </c>
      <c r="U10" s="23">
        <v>2</v>
      </c>
      <c r="V10" s="48">
        <f t="shared" si="3"/>
        <v>22432.864999999998</v>
      </c>
      <c r="W10" s="50">
        <f t="shared" si="1"/>
        <v>26919.437999999998</v>
      </c>
      <c r="Y10" s="54" t="s">
        <v>43</v>
      </c>
      <c r="Z10" s="55" t="s">
        <v>32</v>
      </c>
      <c r="AA10" s="21" t="s">
        <v>106</v>
      </c>
      <c r="AB10" s="23">
        <v>0</v>
      </c>
      <c r="AC10" s="22">
        <v>14</v>
      </c>
      <c r="AD10" s="22">
        <v>7</v>
      </c>
      <c r="AE10" s="20">
        <v>2</v>
      </c>
      <c r="AF10" s="23">
        <v>2</v>
      </c>
      <c r="AG10" s="22">
        <v>10</v>
      </c>
      <c r="AH10" s="23">
        <v>16</v>
      </c>
      <c r="AI10" s="48">
        <f t="shared" si="4"/>
        <v>22432.864999999998</v>
      </c>
      <c r="AJ10" s="50">
        <f t="shared" si="2"/>
        <v>26919.437999999998</v>
      </c>
    </row>
    <row r="11" spans="1:36" x14ac:dyDescent="0.25">
      <c r="L11" s="54" t="s">
        <v>44</v>
      </c>
      <c r="M11" s="55" t="s">
        <v>32</v>
      </c>
      <c r="N11" s="21" t="s">
        <v>106</v>
      </c>
      <c r="O11" s="23">
        <v>0</v>
      </c>
      <c r="P11" s="22">
        <v>12</v>
      </c>
      <c r="Q11" s="22">
        <v>5</v>
      </c>
      <c r="R11" s="20">
        <v>2</v>
      </c>
      <c r="S11" s="23">
        <v>2</v>
      </c>
      <c r="T11" s="22">
        <v>10</v>
      </c>
      <c r="U11" s="23">
        <v>2</v>
      </c>
      <c r="V11" s="48">
        <f t="shared" si="3"/>
        <v>22432.864999999998</v>
      </c>
      <c r="W11" s="50">
        <f t="shared" si="1"/>
        <v>26919.437999999998</v>
      </c>
      <c r="Y11" s="54" t="s">
        <v>44</v>
      </c>
      <c r="Z11" s="55" t="s">
        <v>32</v>
      </c>
      <c r="AA11" s="21" t="s">
        <v>106</v>
      </c>
      <c r="AB11" s="23">
        <v>0</v>
      </c>
      <c r="AC11" s="22">
        <v>14</v>
      </c>
      <c r="AD11" s="22">
        <v>7</v>
      </c>
      <c r="AE11" s="20">
        <v>2</v>
      </c>
      <c r="AF11" s="23">
        <v>2</v>
      </c>
      <c r="AG11" s="22">
        <v>10</v>
      </c>
      <c r="AH11" s="23">
        <v>16</v>
      </c>
      <c r="AI11" s="48">
        <f t="shared" si="4"/>
        <v>22432.864999999998</v>
      </c>
      <c r="AJ11" s="50">
        <f t="shared" si="2"/>
        <v>26919.437999999998</v>
      </c>
    </row>
    <row r="12" spans="1:36" x14ac:dyDescent="0.25">
      <c r="L12" s="54" t="s">
        <v>50</v>
      </c>
      <c r="M12" s="55" t="s">
        <v>32</v>
      </c>
      <c r="N12" s="21" t="s">
        <v>106</v>
      </c>
      <c r="O12" s="23">
        <v>0</v>
      </c>
      <c r="P12" s="22">
        <v>12</v>
      </c>
      <c r="Q12" s="22">
        <v>5</v>
      </c>
      <c r="R12" s="20">
        <v>2</v>
      </c>
      <c r="S12" s="23">
        <v>2</v>
      </c>
      <c r="T12" s="22">
        <v>10</v>
      </c>
      <c r="U12" s="23">
        <v>2</v>
      </c>
      <c r="V12" s="48">
        <f>(22460+9186+1315)*1.049</f>
        <v>34576.089</v>
      </c>
      <c r="W12" s="50">
        <f t="shared" si="1"/>
        <v>41491.306799999998</v>
      </c>
      <c r="Y12" s="54" t="s">
        <v>50</v>
      </c>
      <c r="Z12" s="55" t="s">
        <v>32</v>
      </c>
      <c r="AA12" s="21" t="s">
        <v>106</v>
      </c>
      <c r="AB12" s="23">
        <v>0</v>
      </c>
      <c r="AC12" s="22">
        <v>14</v>
      </c>
      <c r="AD12" s="22">
        <v>7</v>
      </c>
      <c r="AE12" s="20">
        <v>2</v>
      </c>
      <c r="AF12" s="23">
        <v>2</v>
      </c>
      <c r="AG12" s="22">
        <v>10</v>
      </c>
      <c r="AH12" s="23">
        <v>16</v>
      </c>
      <c r="AI12" s="48">
        <f>(22460+9186+1315)*1.049</f>
        <v>34576.089</v>
      </c>
      <c r="AJ12" s="50">
        <f t="shared" si="2"/>
        <v>41491.306799999998</v>
      </c>
    </row>
    <row r="13" spans="1:36" x14ac:dyDescent="0.25">
      <c r="L13" s="54" t="s">
        <v>48</v>
      </c>
      <c r="M13" s="55" t="s">
        <v>67</v>
      </c>
      <c r="N13" s="21" t="s">
        <v>179</v>
      </c>
      <c r="O13" s="23">
        <v>0</v>
      </c>
      <c r="P13" s="22">
        <v>5</v>
      </c>
      <c r="Q13" s="22">
        <v>12</v>
      </c>
      <c r="R13" s="20">
        <v>2</v>
      </c>
      <c r="S13" s="23">
        <v>2</v>
      </c>
      <c r="T13" s="22">
        <v>10</v>
      </c>
      <c r="U13" s="23">
        <v>2</v>
      </c>
      <c r="V13" s="48">
        <f t="shared" ref="V13:V16" si="5">(22460+9186+1315)*1.049</f>
        <v>34576.089</v>
      </c>
      <c r="W13" s="50">
        <f t="shared" si="1"/>
        <v>41491.306799999998</v>
      </c>
      <c r="Y13" s="54" t="s">
        <v>48</v>
      </c>
      <c r="Z13" s="55" t="s">
        <v>67</v>
      </c>
      <c r="AA13" s="21" t="s">
        <v>179</v>
      </c>
      <c r="AB13" s="23">
        <v>0</v>
      </c>
      <c r="AC13" s="22">
        <v>7</v>
      </c>
      <c r="AD13" s="22">
        <v>14</v>
      </c>
      <c r="AE13" s="20">
        <v>2</v>
      </c>
      <c r="AF13" s="23">
        <v>2</v>
      </c>
      <c r="AG13" s="22">
        <v>10</v>
      </c>
      <c r="AH13" s="23">
        <v>16</v>
      </c>
      <c r="AI13" s="48">
        <f t="shared" ref="AI13:AI16" si="6">(22460+9186+1315)*1.049</f>
        <v>34576.089</v>
      </c>
      <c r="AJ13" s="50">
        <f t="shared" si="2"/>
        <v>41491.306799999998</v>
      </c>
    </row>
    <row r="14" spans="1:36" x14ac:dyDescent="0.25">
      <c r="L14" s="54" t="s">
        <v>46</v>
      </c>
      <c r="M14" s="55" t="s">
        <v>67</v>
      </c>
      <c r="N14" s="21" t="s">
        <v>106</v>
      </c>
      <c r="O14" s="23">
        <v>0</v>
      </c>
      <c r="P14" s="22">
        <v>5</v>
      </c>
      <c r="Q14" s="22">
        <v>12</v>
      </c>
      <c r="R14" s="20">
        <v>2</v>
      </c>
      <c r="S14" s="23">
        <v>2</v>
      </c>
      <c r="T14" s="22">
        <v>10</v>
      </c>
      <c r="U14" s="23">
        <v>2</v>
      </c>
      <c r="V14" s="48">
        <f t="shared" si="5"/>
        <v>34576.089</v>
      </c>
      <c r="W14" s="50">
        <f t="shared" si="1"/>
        <v>41491.306799999998</v>
      </c>
      <c r="Y14" s="54" t="s">
        <v>46</v>
      </c>
      <c r="Z14" s="55" t="s">
        <v>67</v>
      </c>
      <c r="AA14" s="21" t="s">
        <v>106</v>
      </c>
      <c r="AB14" s="23">
        <v>0</v>
      </c>
      <c r="AC14" s="22">
        <v>7</v>
      </c>
      <c r="AD14" s="22">
        <v>14</v>
      </c>
      <c r="AE14" s="20">
        <v>2</v>
      </c>
      <c r="AF14" s="23">
        <v>2</v>
      </c>
      <c r="AG14" s="22">
        <v>10</v>
      </c>
      <c r="AH14" s="23">
        <v>16</v>
      </c>
      <c r="AI14" s="48">
        <f t="shared" si="6"/>
        <v>34576.089</v>
      </c>
      <c r="AJ14" s="50">
        <f t="shared" si="2"/>
        <v>41491.306799999998</v>
      </c>
    </row>
    <row r="15" spans="1:36" x14ac:dyDescent="0.25">
      <c r="L15" s="54" t="s">
        <v>47</v>
      </c>
      <c r="M15" s="55" t="s">
        <v>67</v>
      </c>
      <c r="N15" s="21" t="s">
        <v>181</v>
      </c>
      <c r="O15" s="23">
        <v>0</v>
      </c>
      <c r="P15" s="22">
        <v>5</v>
      </c>
      <c r="Q15" s="22">
        <v>12</v>
      </c>
      <c r="R15" s="20">
        <v>2</v>
      </c>
      <c r="S15" s="23">
        <v>2</v>
      </c>
      <c r="T15" s="22">
        <v>10</v>
      </c>
      <c r="U15" s="23">
        <v>9</v>
      </c>
      <c r="V15" s="48">
        <f t="shared" si="5"/>
        <v>34576.089</v>
      </c>
      <c r="W15" s="50">
        <f t="shared" si="1"/>
        <v>41491.306799999998</v>
      </c>
      <c r="Y15" s="54" t="s">
        <v>47</v>
      </c>
      <c r="Z15" s="55" t="s">
        <v>67</v>
      </c>
      <c r="AA15" s="21" t="s">
        <v>181</v>
      </c>
      <c r="AB15" s="23">
        <v>0</v>
      </c>
      <c r="AC15" s="22">
        <v>7</v>
      </c>
      <c r="AD15" s="22">
        <v>14</v>
      </c>
      <c r="AE15" s="20">
        <v>2</v>
      </c>
      <c r="AF15" s="23">
        <v>2</v>
      </c>
      <c r="AG15" s="22">
        <v>10</v>
      </c>
      <c r="AH15" s="23">
        <v>19</v>
      </c>
      <c r="AI15" s="48">
        <f t="shared" si="6"/>
        <v>34576.089</v>
      </c>
      <c r="AJ15" s="50">
        <f t="shared" si="2"/>
        <v>41491.306799999998</v>
      </c>
    </row>
    <row r="16" spans="1:36" x14ac:dyDescent="0.25">
      <c r="L16" s="54" t="s">
        <v>49</v>
      </c>
      <c r="M16" s="55" t="s">
        <v>67</v>
      </c>
      <c r="N16" s="21" t="s">
        <v>181</v>
      </c>
      <c r="O16" s="23">
        <v>0</v>
      </c>
      <c r="P16" s="22">
        <v>5</v>
      </c>
      <c r="Q16" s="22">
        <v>12</v>
      </c>
      <c r="R16" s="20">
        <v>2</v>
      </c>
      <c r="S16" s="23">
        <v>2</v>
      </c>
      <c r="T16" s="22">
        <v>10</v>
      </c>
      <c r="U16" s="23">
        <v>9</v>
      </c>
      <c r="V16" s="48">
        <f t="shared" si="5"/>
        <v>34576.089</v>
      </c>
      <c r="W16" s="50">
        <f t="shared" si="1"/>
        <v>41491.306799999998</v>
      </c>
      <c r="Y16" s="54" t="s">
        <v>49</v>
      </c>
      <c r="Z16" s="55" t="s">
        <v>67</v>
      </c>
      <c r="AA16" s="21" t="s">
        <v>181</v>
      </c>
      <c r="AB16" s="23">
        <v>0</v>
      </c>
      <c r="AC16" s="22">
        <v>7</v>
      </c>
      <c r="AD16" s="22">
        <v>14</v>
      </c>
      <c r="AE16" s="20">
        <v>2</v>
      </c>
      <c r="AF16" s="23">
        <v>2</v>
      </c>
      <c r="AG16" s="22">
        <v>10</v>
      </c>
      <c r="AH16" s="23">
        <v>19</v>
      </c>
      <c r="AI16" s="48">
        <f t="shared" si="6"/>
        <v>34576.089</v>
      </c>
      <c r="AJ16" s="50">
        <f t="shared" si="2"/>
        <v>41491.306799999998</v>
      </c>
    </row>
    <row r="17" spans="1:36" x14ac:dyDescent="0.25">
      <c r="L17" s="54" t="s">
        <v>51</v>
      </c>
      <c r="M17" s="55" t="s">
        <v>67</v>
      </c>
      <c r="N17" s="21" t="s">
        <v>106</v>
      </c>
      <c r="O17" s="23">
        <v>0</v>
      </c>
      <c r="P17" s="22">
        <v>5</v>
      </c>
      <c r="Q17" s="22">
        <v>12</v>
      </c>
      <c r="R17" s="20">
        <v>2</v>
      </c>
      <c r="S17" s="23">
        <v>2</v>
      </c>
      <c r="T17" s="22">
        <v>10</v>
      </c>
      <c r="U17" s="23">
        <v>2</v>
      </c>
      <c r="V17" s="48">
        <f>(22460+160+1315)*1.049</f>
        <v>25107.814999999999</v>
      </c>
      <c r="W17" s="50">
        <f t="shared" ref="W17" si="7">V17*1.2</f>
        <v>30129.377999999997</v>
      </c>
      <c r="Y17" s="54" t="s">
        <v>51</v>
      </c>
      <c r="Z17" s="55" t="s">
        <v>67</v>
      </c>
      <c r="AA17" s="21" t="s">
        <v>106</v>
      </c>
      <c r="AB17" s="23">
        <v>0</v>
      </c>
      <c r="AC17" s="22">
        <v>7</v>
      </c>
      <c r="AD17" s="22">
        <v>14</v>
      </c>
      <c r="AE17" s="20">
        <v>2</v>
      </c>
      <c r="AF17" s="23">
        <v>2</v>
      </c>
      <c r="AG17" s="22">
        <v>10</v>
      </c>
      <c r="AH17" s="23">
        <v>16</v>
      </c>
      <c r="AI17" s="48">
        <f>(22460+160+1315)*1.049</f>
        <v>25107.814999999999</v>
      </c>
      <c r="AJ17" s="50">
        <f t="shared" si="2"/>
        <v>30129.377999999997</v>
      </c>
    </row>
    <row r="18" spans="1:36" x14ac:dyDescent="0.25">
      <c r="L18" s="54" t="s">
        <v>242</v>
      </c>
      <c r="M18" s="55" t="s">
        <v>67</v>
      </c>
      <c r="N18" s="21" t="s">
        <v>106</v>
      </c>
      <c r="O18" s="23">
        <v>0</v>
      </c>
      <c r="P18" s="22">
        <v>5</v>
      </c>
      <c r="Q18" s="22">
        <v>12</v>
      </c>
      <c r="R18" s="20">
        <v>2</v>
      </c>
      <c r="S18" s="23">
        <v>2</v>
      </c>
      <c r="T18" s="22">
        <v>10</v>
      </c>
      <c r="U18" s="23">
        <v>2</v>
      </c>
      <c r="V18" s="48">
        <f>(22460+160+1315)*1.049</f>
        <v>25107.814999999999</v>
      </c>
      <c r="W18" s="50">
        <f t="shared" si="1"/>
        <v>30129.377999999997</v>
      </c>
      <c r="Y18" s="54" t="s">
        <v>242</v>
      </c>
      <c r="Z18" s="55" t="s">
        <v>67</v>
      </c>
      <c r="AA18" s="21" t="s">
        <v>106</v>
      </c>
      <c r="AB18" s="23">
        <v>0</v>
      </c>
      <c r="AC18" s="22">
        <v>7</v>
      </c>
      <c r="AD18" s="22">
        <v>14</v>
      </c>
      <c r="AE18" s="20">
        <v>2</v>
      </c>
      <c r="AF18" s="23">
        <v>2</v>
      </c>
      <c r="AG18" s="22">
        <v>10</v>
      </c>
      <c r="AH18" s="23">
        <v>16</v>
      </c>
      <c r="AI18" s="48">
        <f>(22460+160+1315)*1.049</f>
        <v>25107.814999999999</v>
      </c>
      <c r="AJ18" s="50">
        <f t="shared" si="2"/>
        <v>30129.377999999997</v>
      </c>
    </row>
    <row r="20" spans="1:36" x14ac:dyDescent="0.25">
      <c r="M20" s="79" t="s">
        <v>136</v>
      </c>
      <c r="N20">
        <v>68</v>
      </c>
      <c r="Z20" s="79" t="s">
        <v>136</v>
      </c>
      <c r="AA20">
        <v>23</v>
      </c>
    </row>
    <row r="21" spans="1:36" s="1" customFormat="1" x14ac:dyDescent="0.25">
      <c r="A21"/>
      <c r="B21"/>
      <c r="C21"/>
      <c r="D21"/>
      <c r="E21"/>
      <c r="F21"/>
      <c r="G21"/>
      <c r="H21"/>
      <c r="I21"/>
      <c r="J21"/>
      <c r="L21"/>
      <c r="M21" s="79" t="s">
        <v>134</v>
      </c>
      <c r="N21">
        <v>57</v>
      </c>
      <c r="O21"/>
      <c r="P21"/>
      <c r="Q21"/>
      <c r="R21"/>
      <c r="S21"/>
      <c r="T21"/>
      <c r="U21"/>
      <c r="V21"/>
      <c r="W21"/>
      <c r="Z21" s="79" t="s">
        <v>134</v>
      </c>
      <c r="AA21">
        <v>19</v>
      </c>
    </row>
    <row r="22" spans="1:36" x14ac:dyDescent="0.25">
      <c r="M22" s="79" t="s">
        <v>28</v>
      </c>
      <c r="N22">
        <v>24</v>
      </c>
      <c r="Z22" s="79" t="s">
        <v>28</v>
      </c>
      <c r="AA22">
        <v>24</v>
      </c>
    </row>
    <row r="23" spans="1:36" x14ac:dyDescent="0.25">
      <c r="M23" s="79" t="s">
        <v>78</v>
      </c>
      <c r="N23">
        <f>N22+N21+N20</f>
        <v>149</v>
      </c>
      <c r="Z23" s="79" t="s">
        <v>78</v>
      </c>
      <c r="AA23">
        <f>AA22+AA21+AA20</f>
        <v>66</v>
      </c>
    </row>
    <row r="24" spans="1:36" x14ac:dyDescent="0.25">
      <c r="M24" s="79" t="s">
        <v>194</v>
      </c>
      <c r="N24" s="30">
        <f>N23/16</f>
        <v>9.3125</v>
      </c>
      <c r="Z24" s="79" t="s">
        <v>194</v>
      </c>
      <c r="AA24" s="30">
        <f>AA23/16</f>
        <v>4.125</v>
      </c>
    </row>
  </sheetData>
  <mergeCells count="4">
    <mergeCell ref="C1:I1"/>
    <mergeCell ref="N2:X2"/>
    <mergeCell ref="N3:X3"/>
    <mergeCell ref="N4:X4"/>
  </mergeCells>
  <conditionalFormatting sqref="O7:U16 O18:U18">
    <cfRule type="colorScale" priority="5">
      <colorScale>
        <cfvo type="min"/>
        <cfvo type="max"/>
        <color rgb="FFFFEF9C"/>
        <color rgb="FF63BE7B"/>
      </colorScale>
    </cfRule>
  </conditionalFormatting>
  <conditionalFormatting sqref="O17:U17">
    <cfRule type="colorScale" priority="3">
      <colorScale>
        <cfvo type="min"/>
        <cfvo type="max"/>
        <color rgb="FFFFEF9C"/>
        <color rgb="FF63BE7B"/>
      </colorScale>
    </cfRule>
  </conditionalFormatting>
  <conditionalFormatting sqref="AB7:AH16 AB18:AH18">
    <cfRule type="colorScale" priority="2">
      <colorScale>
        <cfvo type="min"/>
        <cfvo type="max"/>
        <color rgb="FFFFEF9C"/>
        <color rgb="FF63BE7B"/>
      </colorScale>
    </cfRule>
  </conditionalFormatting>
  <conditionalFormatting sqref="AB17:AH1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Tactica</vt:lpstr>
      <vt:lpstr>DatosTactica</vt:lpstr>
      <vt:lpstr>Lanzadores</vt:lpstr>
      <vt:lpstr>EquipoPerikas</vt:lpstr>
      <vt:lpstr>Sueldos</vt:lpstr>
      <vt:lpstr>451_TL_1Banda</vt:lpstr>
      <vt:lpstr>Planning_10-11Jug</vt:lpstr>
      <vt:lpstr>PLANNING</vt:lpstr>
      <vt:lpstr>Planning_v3</vt:lpstr>
      <vt:lpstr>FICHAR</vt:lpstr>
      <vt:lpstr>Entrenamiento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2019-06-08T15:35:16Z</dcterms:modified>
</cp:coreProperties>
</file>