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3"/>
  </bookViews>
  <sheets>
    <sheet name="Marmota-VADER" sheetId="465" r:id="rId1"/>
    <sheet name="MARMOTA" sheetId="466" r:id="rId2"/>
    <sheet name="Future-VADER" sheetId="467" r:id="rId3"/>
    <sheet name="OBIWAN-Orinteers" sheetId="468" r:id="rId4"/>
    <sheet name="SIMULADOR" sheetId="285" r:id="rId5"/>
    <sheet name="SIMULADOR&gt;22-12-17" sheetId="43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BF48" i="468" l="1"/>
  <c r="BF47" i="468"/>
  <c r="BF46" i="468"/>
  <c r="BE45" i="468"/>
  <c r="BE44" i="468"/>
  <c r="BF45" i="468" s="1"/>
  <c r="BD44" i="468"/>
  <c r="BE43" i="468"/>
  <c r="BF44" i="468" s="1"/>
  <c r="BD43" i="468"/>
  <c r="BC43" i="468"/>
  <c r="BF42" i="468"/>
  <c r="BE42" i="468"/>
  <c r="BF43" i="468" s="1"/>
  <c r="BD42" i="468"/>
  <c r="BC42" i="468"/>
  <c r="BF41" i="468"/>
  <c r="BE41" i="468"/>
  <c r="BD41" i="468"/>
  <c r="BC41" i="468"/>
  <c r="BH40" i="468"/>
  <c r="BH45" i="468" s="1"/>
  <c r="BH50" i="468" s="1"/>
  <c r="BF40" i="468"/>
  <c r="BE40" i="468"/>
  <c r="BD40" i="468"/>
  <c r="BC40" i="468"/>
  <c r="BC39" i="468"/>
  <c r="AS38" i="468"/>
  <c r="AR38" i="468"/>
  <c r="AQ38" i="468"/>
  <c r="AP38" i="468"/>
  <c r="AO38" i="468"/>
  <c r="AN38" i="468"/>
  <c r="AM38" i="468"/>
  <c r="AL38" i="468"/>
  <c r="AK38" i="468"/>
  <c r="AJ38" i="468"/>
  <c r="AI38" i="468"/>
  <c r="AH38" i="468"/>
  <c r="AG38" i="468"/>
  <c r="AF38" i="468"/>
  <c r="AE38" i="468"/>
  <c r="AD38" i="468"/>
  <c r="AC38" i="468"/>
  <c r="AB38" i="468"/>
  <c r="AA38" i="468"/>
  <c r="Z38" i="468"/>
  <c r="Y38" i="468"/>
  <c r="X38" i="468"/>
  <c r="W38" i="468"/>
  <c r="V38" i="468"/>
  <c r="U38" i="468"/>
  <c r="T38" i="468"/>
  <c r="S38" i="468"/>
  <c r="R38" i="468"/>
  <c r="Q38" i="468"/>
  <c r="P38" i="468"/>
  <c r="O38" i="468"/>
  <c r="N38" i="468"/>
  <c r="M38" i="468"/>
  <c r="L38" i="468"/>
  <c r="K38" i="468"/>
  <c r="J38" i="468"/>
  <c r="I38" i="468"/>
  <c r="H38" i="468"/>
  <c r="G38" i="468"/>
  <c r="BH36" i="468"/>
  <c r="BH42" i="468" s="1"/>
  <c r="BH47" i="468" s="1"/>
  <c r="BH52" i="468" s="1"/>
  <c r="BH55" i="468" s="1"/>
  <c r="BH57" i="468" s="1"/>
  <c r="BL13" i="468" s="1"/>
  <c r="BF34" i="468"/>
  <c r="BF33" i="468"/>
  <c r="C33" i="468"/>
  <c r="B33" i="468"/>
  <c r="BH32" i="468"/>
  <c r="BH38" i="468" s="1"/>
  <c r="BL9" i="468" s="1"/>
  <c r="BP23" i="468" s="1"/>
  <c r="BP29" i="468" s="1"/>
  <c r="BP36" i="468" s="1"/>
  <c r="BP44" i="468" s="1"/>
  <c r="C32" i="468"/>
  <c r="B32" i="468"/>
  <c r="BH31" i="468"/>
  <c r="BL8" i="468" s="1"/>
  <c r="BP18" i="468" s="1"/>
  <c r="BP22" i="468" s="1"/>
  <c r="BP28" i="468" s="1"/>
  <c r="BP35" i="468" s="1"/>
  <c r="BP43" i="468" s="1"/>
  <c r="BE31" i="468"/>
  <c r="BF32" i="468" s="1"/>
  <c r="BP30" i="468"/>
  <c r="BP37" i="468" s="1"/>
  <c r="BP45" i="468" s="1"/>
  <c r="BH30" i="468"/>
  <c r="BH37" i="468" s="1"/>
  <c r="BH43" i="468" s="1"/>
  <c r="BH48" i="468" s="1"/>
  <c r="BH53" i="468" s="1"/>
  <c r="BH56" i="468" s="1"/>
  <c r="BH58" i="468" s="1"/>
  <c r="BH59" i="468" s="1"/>
  <c r="BE30" i="468"/>
  <c r="BD30" i="468"/>
  <c r="E30" i="468"/>
  <c r="D30" i="468"/>
  <c r="BH29" i="468"/>
  <c r="BE29" i="468"/>
  <c r="BF30" i="468" s="1"/>
  <c r="BD29" i="468"/>
  <c r="BC29" i="468"/>
  <c r="C29" i="468"/>
  <c r="B29" i="468"/>
  <c r="BH28" i="468"/>
  <c r="BH35" i="468" s="1"/>
  <c r="BH41" i="468" s="1"/>
  <c r="BH46" i="468" s="1"/>
  <c r="BH51" i="468" s="1"/>
  <c r="BH54" i="468" s="1"/>
  <c r="BF28" i="468"/>
  <c r="BE28" i="468"/>
  <c r="BD28" i="468"/>
  <c r="BC28" i="468"/>
  <c r="BH27" i="468"/>
  <c r="BH34" i="468" s="1"/>
  <c r="BF27" i="468"/>
  <c r="BE27" i="468"/>
  <c r="BD27" i="468"/>
  <c r="BC27" i="468"/>
  <c r="C27" i="468"/>
  <c r="B27" i="468"/>
  <c r="BH26" i="468"/>
  <c r="BH33" i="468" s="1"/>
  <c r="BH39" i="468" s="1"/>
  <c r="BH44" i="468" s="1"/>
  <c r="BF26" i="468"/>
  <c r="BE26" i="468"/>
  <c r="BD26" i="468"/>
  <c r="BC26" i="468"/>
  <c r="E26" i="468"/>
  <c r="E27" i="468" s="1"/>
  <c r="D26" i="468"/>
  <c r="D27" i="468" s="1"/>
  <c r="C26" i="468"/>
  <c r="B26" i="468"/>
  <c r="BH25" i="468"/>
  <c r="BC25" i="468"/>
  <c r="E25" i="468"/>
  <c r="E23" i="468" s="1"/>
  <c r="D25" i="468"/>
  <c r="C25" i="468"/>
  <c r="B25" i="468"/>
  <c r="BH24" i="468"/>
  <c r="BH23" i="468"/>
  <c r="B22" i="468"/>
  <c r="C22" i="468" s="1"/>
  <c r="B20" i="468"/>
  <c r="B21" i="468" s="1"/>
  <c r="Z19" i="468"/>
  <c r="Y19" i="468"/>
  <c r="AA19" i="468" s="1"/>
  <c r="P19" i="468"/>
  <c r="O19" i="468"/>
  <c r="Q19" i="468" s="1"/>
  <c r="AA18" i="468"/>
  <c r="Q18" i="468"/>
  <c r="Z17" i="468"/>
  <c r="Y17" i="468"/>
  <c r="Q17" i="468"/>
  <c r="P17" i="468"/>
  <c r="O17" i="468"/>
  <c r="AA16" i="468"/>
  <c r="Y16" i="468"/>
  <c r="Q16" i="468"/>
  <c r="O16" i="468"/>
  <c r="C16" i="468"/>
  <c r="B16" i="468"/>
  <c r="AA15" i="468"/>
  <c r="Q15" i="468"/>
  <c r="Y14" i="468"/>
  <c r="AA14" i="468" s="1"/>
  <c r="O14" i="468"/>
  <c r="Q14" i="468" s="1"/>
  <c r="Z13" i="468"/>
  <c r="AA13" i="468" s="1"/>
  <c r="P13" i="468"/>
  <c r="Q13" i="468" s="1"/>
  <c r="BL12" i="468"/>
  <c r="BP47" i="468" s="1"/>
  <c r="AA12" i="468"/>
  <c r="Q12" i="468"/>
  <c r="BL11" i="468"/>
  <c r="BP38" i="468" s="1"/>
  <c r="BP46" i="468" s="1"/>
  <c r="Z11" i="468"/>
  <c r="Y11" i="468"/>
  <c r="P11" i="468"/>
  <c r="O11" i="468"/>
  <c r="Q11" i="468" s="1"/>
  <c r="BL10" i="468"/>
  <c r="Z10" i="468"/>
  <c r="Y10" i="468"/>
  <c r="AA10" i="468" s="1"/>
  <c r="P10" i="468"/>
  <c r="O10" i="468"/>
  <c r="Q10" i="468" s="1"/>
  <c r="BP9" i="468"/>
  <c r="BP12" i="468" s="1"/>
  <c r="BP16" i="468" s="1"/>
  <c r="BP20" i="468" s="1"/>
  <c r="BP26" i="468" s="1"/>
  <c r="BP33" i="468" s="1"/>
  <c r="BP41" i="468" s="1"/>
  <c r="Y9" i="468"/>
  <c r="AA9" i="468" s="1"/>
  <c r="O9" i="468"/>
  <c r="Q9" i="468" s="1"/>
  <c r="BP8" i="468"/>
  <c r="BP11" i="468" s="1"/>
  <c r="BP15" i="468" s="1"/>
  <c r="BP19" i="468" s="1"/>
  <c r="BP25" i="468" s="1"/>
  <c r="BP32" i="468" s="1"/>
  <c r="BP40" i="468" s="1"/>
  <c r="Z8" i="468"/>
  <c r="Y8" i="468"/>
  <c r="AA8" i="468" s="1"/>
  <c r="P8" i="468"/>
  <c r="O8" i="468"/>
  <c r="Q8" i="468" s="1"/>
  <c r="BP7" i="468"/>
  <c r="BP10" i="468" s="1"/>
  <c r="BP14" i="468" s="1"/>
  <c r="BH49" i="468" s="1"/>
  <c r="BP24" i="468" s="1"/>
  <c r="BP31" i="468" s="1"/>
  <c r="BP39" i="468" s="1"/>
  <c r="BL14" i="468" s="1"/>
  <c r="BL7" i="468"/>
  <c r="BP13" i="468" s="1"/>
  <c r="BP17" i="468" s="1"/>
  <c r="BP21" i="468" s="1"/>
  <c r="BP27" i="468" s="1"/>
  <c r="BP34" i="468" s="1"/>
  <c r="BP42" i="468" s="1"/>
  <c r="AA7" i="468"/>
  <c r="Q7" i="468"/>
  <c r="BP6" i="468"/>
  <c r="BL6" i="468"/>
  <c r="Z6" i="468"/>
  <c r="Y6" i="468"/>
  <c r="P6" i="468"/>
  <c r="O6" i="468"/>
  <c r="BP5" i="468"/>
  <c r="Z5" i="468"/>
  <c r="Y5" i="468"/>
  <c r="AA5" i="468" s="1"/>
  <c r="P5" i="468"/>
  <c r="O5" i="468"/>
  <c r="Q5" i="468" s="1"/>
  <c r="D3" i="468"/>
  <c r="G2" i="468" s="1"/>
  <c r="S2" i="468"/>
  <c r="AF1" i="468"/>
  <c r="V1" i="468"/>
  <c r="S1" i="468"/>
  <c r="Q6" i="468" l="1"/>
  <c r="D23" i="468"/>
  <c r="AA6" i="468"/>
  <c r="AA11" i="468"/>
  <c r="AA17" i="468"/>
  <c r="B31" i="468"/>
  <c r="W25" i="468" s="1"/>
  <c r="C31" i="468"/>
  <c r="W39" i="468" s="1"/>
  <c r="G1" i="468"/>
  <c r="K3" i="468"/>
  <c r="K1" i="468"/>
  <c r="G3" i="468"/>
  <c r="K2" i="468"/>
  <c r="B23" i="468"/>
  <c r="C23" i="468" s="1"/>
  <c r="BF29" i="468"/>
  <c r="BF31" i="468"/>
  <c r="BF48" i="467"/>
  <c r="BF47" i="467"/>
  <c r="BF46" i="467"/>
  <c r="BE45" i="467"/>
  <c r="BE44" i="467"/>
  <c r="BF45" i="467" s="1"/>
  <c r="BD44" i="467"/>
  <c r="BE43" i="467"/>
  <c r="BF44" i="467" s="1"/>
  <c r="BD43" i="467"/>
  <c r="BC43" i="467"/>
  <c r="BF42" i="467"/>
  <c r="BE42" i="467"/>
  <c r="BF43" i="467" s="1"/>
  <c r="BD42" i="467"/>
  <c r="BC42" i="467"/>
  <c r="BF41" i="467"/>
  <c r="BE41" i="467"/>
  <c r="BD41" i="467"/>
  <c r="BC41" i="467"/>
  <c r="BH40" i="467"/>
  <c r="BH45" i="467" s="1"/>
  <c r="BH50" i="467" s="1"/>
  <c r="BF40" i="467"/>
  <c r="BE40" i="467"/>
  <c r="BD40" i="467"/>
  <c r="BC40" i="467"/>
  <c r="BC39" i="467"/>
  <c r="AS38" i="467"/>
  <c r="AR38" i="467"/>
  <c r="AQ38" i="467"/>
  <c r="AP38" i="467"/>
  <c r="AO38" i="467"/>
  <c r="AN38" i="467"/>
  <c r="AM38" i="467"/>
  <c r="AL38" i="467"/>
  <c r="AK38" i="467"/>
  <c r="AJ38" i="467"/>
  <c r="AI38" i="467"/>
  <c r="AH38" i="467"/>
  <c r="AG38" i="467"/>
  <c r="AF38" i="467"/>
  <c r="AE38" i="467"/>
  <c r="AD38" i="467"/>
  <c r="AC38" i="467"/>
  <c r="AB38" i="467"/>
  <c r="AA38" i="467"/>
  <c r="Z38" i="467"/>
  <c r="Y38" i="467"/>
  <c r="X38" i="467"/>
  <c r="W38" i="467"/>
  <c r="V38" i="467"/>
  <c r="U38" i="467"/>
  <c r="T38" i="467"/>
  <c r="S38" i="467"/>
  <c r="R38" i="467"/>
  <c r="Q38" i="467"/>
  <c r="P38" i="467"/>
  <c r="O38" i="467"/>
  <c r="N38" i="467"/>
  <c r="M38" i="467"/>
  <c r="L38" i="467"/>
  <c r="K38" i="467"/>
  <c r="J38" i="467"/>
  <c r="I38" i="467"/>
  <c r="H38" i="467"/>
  <c r="G38" i="467"/>
  <c r="BH36" i="467"/>
  <c r="BH42" i="467" s="1"/>
  <c r="BH47" i="467" s="1"/>
  <c r="BH52" i="467" s="1"/>
  <c r="BH55" i="467" s="1"/>
  <c r="BH57" i="467" s="1"/>
  <c r="BL13" i="467" s="1"/>
  <c r="BF34" i="467"/>
  <c r="BF33" i="467"/>
  <c r="C33" i="467"/>
  <c r="B33" i="467"/>
  <c r="BH32" i="467"/>
  <c r="BH38" i="467" s="1"/>
  <c r="BL9" i="467" s="1"/>
  <c r="BP23" i="467" s="1"/>
  <c r="BP29" i="467" s="1"/>
  <c r="BP36" i="467" s="1"/>
  <c r="BP44" i="467" s="1"/>
  <c r="C32" i="467"/>
  <c r="B32" i="467"/>
  <c r="D25" i="467" s="1"/>
  <c r="BH31" i="467"/>
  <c r="BL8" i="467" s="1"/>
  <c r="BP18" i="467" s="1"/>
  <c r="BP22" i="467" s="1"/>
  <c r="BP28" i="467" s="1"/>
  <c r="BP35" i="467" s="1"/>
  <c r="BP43" i="467" s="1"/>
  <c r="BE31" i="467"/>
  <c r="BF32" i="467" s="1"/>
  <c r="BP30" i="467"/>
  <c r="BP37" i="467" s="1"/>
  <c r="BP45" i="467" s="1"/>
  <c r="BH30" i="467"/>
  <c r="BH37" i="467" s="1"/>
  <c r="BH43" i="467" s="1"/>
  <c r="BH48" i="467" s="1"/>
  <c r="BH53" i="467" s="1"/>
  <c r="BH56" i="467" s="1"/>
  <c r="BH58" i="467" s="1"/>
  <c r="BH59" i="467" s="1"/>
  <c r="BE30" i="467"/>
  <c r="BD30" i="467"/>
  <c r="E30" i="467"/>
  <c r="D30" i="467"/>
  <c r="BH29" i="467"/>
  <c r="BE29" i="467"/>
  <c r="BF30" i="467" s="1"/>
  <c r="BD29" i="467"/>
  <c r="BC29" i="467"/>
  <c r="C29" i="467"/>
  <c r="B29" i="467"/>
  <c r="BH28" i="467"/>
  <c r="BH35" i="467" s="1"/>
  <c r="BH41" i="467" s="1"/>
  <c r="BH46" i="467" s="1"/>
  <c r="BH51" i="467" s="1"/>
  <c r="BH54" i="467" s="1"/>
  <c r="BE28" i="467"/>
  <c r="BD28" i="467"/>
  <c r="BC28" i="467"/>
  <c r="BH27" i="467"/>
  <c r="BH34" i="467" s="1"/>
  <c r="BF27" i="467"/>
  <c r="BE27" i="467"/>
  <c r="BF28" i="467" s="1"/>
  <c r="BD27" i="467"/>
  <c r="BC27" i="467"/>
  <c r="C27" i="467"/>
  <c r="B27" i="467"/>
  <c r="BH26" i="467"/>
  <c r="BH33" i="467" s="1"/>
  <c r="BH39" i="467" s="1"/>
  <c r="BH44" i="467" s="1"/>
  <c r="BF26" i="467"/>
  <c r="BE26" i="467"/>
  <c r="BD26" i="467"/>
  <c r="BC26" i="467"/>
  <c r="E26" i="467"/>
  <c r="E27" i="467" s="1"/>
  <c r="E23" i="467" s="1"/>
  <c r="D26" i="467"/>
  <c r="D27" i="467" s="1"/>
  <c r="D23" i="467" s="1"/>
  <c r="C26" i="467"/>
  <c r="B26" i="467"/>
  <c r="BH25" i="467"/>
  <c r="BC25" i="467"/>
  <c r="E25" i="467"/>
  <c r="C25" i="467"/>
  <c r="B25" i="467"/>
  <c r="BH24" i="467"/>
  <c r="BH23" i="467"/>
  <c r="B22" i="467"/>
  <c r="C22" i="467" s="1"/>
  <c r="B20" i="467"/>
  <c r="B21" i="467" s="1"/>
  <c r="Z19" i="467"/>
  <c r="Y19" i="467"/>
  <c r="AA19" i="467" s="1"/>
  <c r="P19" i="467"/>
  <c r="O19" i="467"/>
  <c r="Q19" i="467" s="1"/>
  <c r="AA18" i="467"/>
  <c r="Q18" i="467"/>
  <c r="Z17" i="467"/>
  <c r="AA17" i="467" s="1"/>
  <c r="Y17" i="467"/>
  <c r="P17" i="467"/>
  <c r="O17" i="467"/>
  <c r="Q17" i="467" s="1"/>
  <c r="AA16" i="467"/>
  <c r="Y16" i="467"/>
  <c r="Q16" i="467"/>
  <c r="O16" i="467"/>
  <c r="C16" i="467"/>
  <c r="B16" i="467"/>
  <c r="AA15" i="467"/>
  <c r="Q15" i="467"/>
  <c r="Y14" i="467"/>
  <c r="AA14" i="467" s="1"/>
  <c r="O14" i="467"/>
  <c r="Q14" i="467" s="1"/>
  <c r="Z13" i="467"/>
  <c r="AA13" i="467" s="1"/>
  <c r="P13" i="467"/>
  <c r="Q13" i="467" s="1"/>
  <c r="BL12" i="467"/>
  <c r="BP47" i="467" s="1"/>
  <c r="AA12" i="467"/>
  <c r="Q12" i="467"/>
  <c r="BL11" i="467"/>
  <c r="BP38" i="467" s="1"/>
  <c r="BP46" i="467" s="1"/>
  <c r="Z11" i="467"/>
  <c r="Y11" i="467"/>
  <c r="AA11" i="467" s="1"/>
  <c r="P11" i="467"/>
  <c r="O11" i="467"/>
  <c r="BL10" i="467"/>
  <c r="Z10" i="467"/>
  <c r="Y10" i="467"/>
  <c r="Q10" i="467"/>
  <c r="P10" i="467"/>
  <c r="O10" i="467"/>
  <c r="BP9" i="467"/>
  <c r="BP12" i="467" s="1"/>
  <c r="BP16" i="467" s="1"/>
  <c r="BP20" i="467" s="1"/>
  <c r="BP26" i="467" s="1"/>
  <c r="BP33" i="467" s="1"/>
  <c r="BP41" i="467" s="1"/>
  <c r="Y9" i="467"/>
  <c r="AA9" i="467" s="1"/>
  <c r="O9" i="467"/>
  <c r="Q9" i="467" s="1"/>
  <c r="Z8" i="467"/>
  <c r="Y8" i="467"/>
  <c r="P8" i="467"/>
  <c r="O8" i="467"/>
  <c r="Q8" i="467" s="1"/>
  <c r="BP7" i="467"/>
  <c r="BP10" i="467" s="1"/>
  <c r="BP14" i="467" s="1"/>
  <c r="BH49" i="467" s="1"/>
  <c r="BP24" i="467" s="1"/>
  <c r="BP31" i="467" s="1"/>
  <c r="BP39" i="467" s="1"/>
  <c r="BL14" i="467" s="1"/>
  <c r="BL7" i="467"/>
  <c r="BP13" i="467" s="1"/>
  <c r="BP17" i="467" s="1"/>
  <c r="BP21" i="467" s="1"/>
  <c r="BP27" i="467" s="1"/>
  <c r="BP34" i="467" s="1"/>
  <c r="BP42" i="467" s="1"/>
  <c r="AA7" i="467"/>
  <c r="Q7" i="467"/>
  <c r="BP6" i="467"/>
  <c r="BP8" i="467" s="1"/>
  <c r="BP11" i="467" s="1"/>
  <c r="BP15" i="467" s="1"/>
  <c r="BP19" i="467" s="1"/>
  <c r="BP25" i="467" s="1"/>
  <c r="BP32" i="467" s="1"/>
  <c r="BP40" i="467" s="1"/>
  <c r="BL6" i="467"/>
  <c r="Z6" i="467"/>
  <c r="Y6" i="467"/>
  <c r="P6" i="467"/>
  <c r="O6" i="467"/>
  <c r="BP5" i="467"/>
  <c r="Z5" i="467"/>
  <c r="Y5" i="467"/>
  <c r="P5" i="467"/>
  <c r="O5" i="467"/>
  <c r="Q5" i="467" s="1"/>
  <c r="D3" i="467"/>
  <c r="G3" i="467" s="1"/>
  <c r="S2" i="467"/>
  <c r="AF1" i="467"/>
  <c r="V1" i="467"/>
  <c r="S1" i="467"/>
  <c r="G1" i="467"/>
  <c r="L1" i="468" l="1"/>
  <c r="T42" i="468"/>
  <c r="T41" i="468"/>
  <c r="T39" i="468"/>
  <c r="T48" i="468"/>
  <c r="T46" i="468"/>
  <c r="T43" i="468"/>
  <c r="T49" i="468"/>
  <c r="T45" i="468"/>
  <c r="C34" i="468"/>
  <c r="T32" i="468"/>
  <c r="T26" i="468"/>
  <c r="C24" i="468"/>
  <c r="T28" i="468"/>
  <c r="T25" i="468"/>
  <c r="T27" i="468"/>
  <c r="T33" i="468"/>
  <c r="T29" i="468"/>
  <c r="T34" i="468"/>
  <c r="T31" i="468"/>
  <c r="T30" i="468"/>
  <c r="T35" i="468"/>
  <c r="B34" i="468"/>
  <c r="T47" i="468"/>
  <c r="T40" i="468"/>
  <c r="B24" i="468"/>
  <c r="T44" i="468"/>
  <c r="H1" i="468"/>
  <c r="M1" i="468" s="1"/>
  <c r="M2" i="468" s="1"/>
  <c r="AA6" i="467"/>
  <c r="AA10" i="467"/>
  <c r="AA8" i="467"/>
  <c r="AA5" i="467"/>
  <c r="Q11" i="467"/>
  <c r="Q6" i="467"/>
  <c r="B31" i="467"/>
  <c r="W25" i="467" s="1"/>
  <c r="C31" i="467"/>
  <c r="W39" i="467" s="1"/>
  <c r="G2" i="467"/>
  <c r="H1" i="467" s="1"/>
  <c r="K2" i="467"/>
  <c r="K1" i="467"/>
  <c r="K3" i="467"/>
  <c r="B23" i="467"/>
  <c r="BF29" i="467"/>
  <c r="BF31" i="467"/>
  <c r="B6" i="465"/>
  <c r="BF48" i="465"/>
  <c r="BF47" i="465"/>
  <c r="BF46" i="465"/>
  <c r="BE45" i="465"/>
  <c r="BE44" i="465"/>
  <c r="BF45" i="465" s="1"/>
  <c r="BD44" i="465"/>
  <c r="BE43" i="465"/>
  <c r="BF44" i="465" s="1"/>
  <c r="BD43" i="465"/>
  <c r="BC43" i="465"/>
  <c r="BF42" i="465"/>
  <c r="BE42" i="465"/>
  <c r="BF43" i="465" s="1"/>
  <c r="BD42" i="465"/>
  <c r="BC42" i="465"/>
  <c r="BF41" i="465"/>
  <c r="BE41" i="465"/>
  <c r="BD41" i="465"/>
  <c r="BC41" i="465"/>
  <c r="BH40" i="465"/>
  <c r="BH45" i="465" s="1"/>
  <c r="BH50" i="465" s="1"/>
  <c r="BL11" i="465" s="1"/>
  <c r="BP38" i="465" s="1"/>
  <c r="BP46" i="465" s="1"/>
  <c r="BF40" i="465"/>
  <c r="BE40" i="465"/>
  <c r="BD40" i="465"/>
  <c r="BC40" i="465"/>
  <c r="BC39" i="465"/>
  <c r="AS38" i="465"/>
  <c r="AR38" i="465"/>
  <c r="AQ38" i="465"/>
  <c r="AP38" i="465"/>
  <c r="AO38" i="465"/>
  <c r="AN38" i="465"/>
  <c r="AM38" i="465"/>
  <c r="AL38" i="465"/>
  <c r="AK38" i="465"/>
  <c r="AJ38" i="465"/>
  <c r="AI38" i="465"/>
  <c r="AH38" i="465"/>
  <c r="AG38" i="465"/>
  <c r="AF38" i="465"/>
  <c r="AE38" i="465"/>
  <c r="AD38" i="465"/>
  <c r="AC38" i="465"/>
  <c r="AB38" i="465"/>
  <c r="AA38" i="465"/>
  <c r="Z38" i="465"/>
  <c r="Y38" i="465"/>
  <c r="X38" i="465"/>
  <c r="W38" i="465"/>
  <c r="V38" i="465"/>
  <c r="U38" i="465"/>
  <c r="T38" i="465"/>
  <c r="S38" i="465"/>
  <c r="R38" i="465"/>
  <c r="Q38" i="465"/>
  <c r="P38" i="465"/>
  <c r="O38" i="465"/>
  <c r="N38" i="465"/>
  <c r="M38" i="465"/>
  <c r="L38" i="465"/>
  <c r="K38" i="465"/>
  <c r="J38" i="465"/>
  <c r="I38" i="465"/>
  <c r="H38" i="465"/>
  <c r="G38" i="465"/>
  <c r="BH36" i="465"/>
  <c r="BH42" i="465" s="1"/>
  <c r="BH47" i="465" s="1"/>
  <c r="BH52" i="465" s="1"/>
  <c r="BH55" i="465" s="1"/>
  <c r="BH57" i="465" s="1"/>
  <c r="BL13" i="465" s="1"/>
  <c r="BF34" i="465"/>
  <c r="BF33" i="465"/>
  <c r="C33" i="465"/>
  <c r="B33" i="465"/>
  <c r="BH32" i="465"/>
  <c r="BH38" i="465" s="1"/>
  <c r="BL9" i="465" s="1"/>
  <c r="BP23" i="465" s="1"/>
  <c r="BP29" i="465" s="1"/>
  <c r="BP36" i="465" s="1"/>
  <c r="BP44" i="465" s="1"/>
  <c r="C32" i="465"/>
  <c r="B32" i="465"/>
  <c r="BH31" i="465"/>
  <c r="BE31" i="465"/>
  <c r="BF32" i="465" s="1"/>
  <c r="BH30" i="465"/>
  <c r="BH37" i="465" s="1"/>
  <c r="BH43" i="465" s="1"/>
  <c r="BH48" i="465" s="1"/>
  <c r="BH53" i="465" s="1"/>
  <c r="BH56" i="465" s="1"/>
  <c r="BH58" i="465" s="1"/>
  <c r="BH59" i="465" s="1"/>
  <c r="BE30" i="465"/>
  <c r="BD30" i="465"/>
  <c r="E30" i="465"/>
  <c r="D30" i="465"/>
  <c r="BH29" i="465"/>
  <c r="BE29" i="465"/>
  <c r="BF30" i="465" s="1"/>
  <c r="BD29" i="465"/>
  <c r="BC29" i="465"/>
  <c r="C29" i="465"/>
  <c r="B29" i="465"/>
  <c r="BH28" i="465"/>
  <c r="BH35" i="465" s="1"/>
  <c r="BH41" i="465" s="1"/>
  <c r="BH46" i="465" s="1"/>
  <c r="BH51" i="465" s="1"/>
  <c r="BH54" i="465" s="1"/>
  <c r="BE28" i="465"/>
  <c r="BD28" i="465"/>
  <c r="BC28" i="465"/>
  <c r="BH27" i="465"/>
  <c r="BH34" i="465" s="1"/>
  <c r="BF27" i="465"/>
  <c r="BE27" i="465"/>
  <c r="BF28" i="465" s="1"/>
  <c r="BD27" i="465"/>
  <c r="BC27" i="465"/>
  <c r="D27" i="465"/>
  <c r="D23" i="465" s="1"/>
  <c r="C27" i="465"/>
  <c r="B27" i="465"/>
  <c r="BH26" i="465"/>
  <c r="BH33" i="465" s="1"/>
  <c r="BH39" i="465" s="1"/>
  <c r="BH44" i="465" s="1"/>
  <c r="BF26" i="465"/>
  <c r="BE26" i="465"/>
  <c r="BD26" i="465"/>
  <c r="BC26" i="465"/>
  <c r="E26" i="465"/>
  <c r="E27" i="465" s="1"/>
  <c r="D26" i="465"/>
  <c r="C26" i="465"/>
  <c r="B26" i="465"/>
  <c r="BH25" i="465"/>
  <c r="BC25" i="465"/>
  <c r="E25" i="465"/>
  <c r="E23" i="465" s="1"/>
  <c r="D25" i="465"/>
  <c r="C25" i="465"/>
  <c r="B25" i="465"/>
  <c r="BH24" i="465"/>
  <c r="BH23" i="465"/>
  <c r="B22" i="465"/>
  <c r="C22" i="465" s="1"/>
  <c r="B23" i="465" s="1"/>
  <c r="B20" i="465"/>
  <c r="B21" i="465" s="1"/>
  <c r="AA19" i="465"/>
  <c r="Z19" i="465"/>
  <c r="Y19" i="465"/>
  <c r="P19" i="465"/>
  <c r="O19" i="465"/>
  <c r="Q19" i="465" s="1"/>
  <c r="AA18" i="465"/>
  <c r="Q18" i="465"/>
  <c r="Z17" i="465"/>
  <c r="Y17" i="465"/>
  <c r="P17" i="465"/>
  <c r="O17" i="465"/>
  <c r="Q17" i="465" s="1"/>
  <c r="AA16" i="465"/>
  <c r="Y16" i="465"/>
  <c r="Q16" i="465"/>
  <c r="O16" i="465"/>
  <c r="C16" i="465"/>
  <c r="B16" i="465"/>
  <c r="AA15" i="465"/>
  <c r="Q15" i="465"/>
  <c r="Y14" i="465"/>
  <c r="AA14" i="465" s="1"/>
  <c r="O14" i="465"/>
  <c r="Q14" i="465" s="1"/>
  <c r="AA13" i="465"/>
  <c r="Z13" i="465"/>
  <c r="P13" i="465"/>
  <c r="Q13" i="465" s="1"/>
  <c r="BL12" i="465"/>
  <c r="BP47" i="465" s="1"/>
  <c r="AA12" i="465"/>
  <c r="Q12" i="465"/>
  <c r="Z11" i="465"/>
  <c r="Y11" i="465"/>
  <c r="P11" i="465"/>
  <c r="O11" i="465"/>
  <c r="Q11" i="465" s="1"/>
  <c r="BL10" i="465"/>
  <c r="BP30" i="465" s="1"/>
  <c r="BP37" i="465" s="1"/>
  <c r="BP45" i="465" s="1"/>
  <c r="Z10" i="465"/>
  <c r="Y10" i="465"/>
  <c r="AA10" i="465" s="1"/>
  <c r="P10" i="465"/>
  <c r="O10" i="465"/>
  <c r="Y9" i="465"/>
  <c r="AA9" i="465" s="1"/>
  <c r="O9" i="465"/>
  <c r="Q9" i="465" s="1"/>
  <c r="BL8" i="465"/>
  <c r="BP18" i="465" s="1"/>
  <c r="BP22" i="465" s="1"/>
  <c r="BP28" i="465" s="1"/>
  <c r="BP35" i="465" s="1"/>
  <c r="BP43" i="465" s="1"/>
  <c r="Z8" i="465"/>
  <c r="Y8" i="465"/>
  <c r="AA8" i="465" s="1"/>
  <c r="P8" i="465"/>
  <c r="O8" i="465"/>
  <c r="BL7" i="465"/>
  <c r="BP13" i="465" s="1"/>
  <c r="BP17" i="465" s="1"/>
  <c r="BP21" i="465" s="1"/>
  <c r="BP27" i="465" s="1"/>
  <c r="BP34" i="465" s="1"/>
  <c r="BP42" i="465" s="1"/>
  <c r="AA7" i="465"/>
  <c r="Q7" i="465"/>
  <c r="BP6" i="465"/>
  <c r="BP8" i="465" s="1"/>
  <c r="BP11" i="465" s="1"/>
  <c r="BP15" i="465" s="1"/>
  <c r="BP19" i="465" s="1"/>
  <c r="BP25" i="465" s="1"/>
  <c r="BP32" i="465" s="1"/>
  <c r="BP40" i="465" s="1"/>
  <c r="BL6" i="465"/>
  <c r="BP9" i="465" s="1"/>
  <c r="BP12" i="465" s="1"/>
  <c r="BP16" i="465" s="1"/>
  <c r="BP20" i="465" s="1"/>
  <c r="BP26" i="465" s="1"/>
  <c r="BP33" i="465" s="1"/>
  <c r="BP41" i="465" s="1"/>
  <c r="AA6" i="465"/>
  <c r="Z6" i="465"/>
  <c r="Y6" i="465"/>
  <c r="P6" i="465"/>
  <c r="O6" i="465"/>
  <c r="BP5" i="465"/>
  <c r="BP7" i="465" s="1"/>
  <c r="BP10" i="465" s="1"/>
  <c r="BP14" i="465" s="1"/>
  <c r="BH49" i="465" s="1"/>
  <c r="BP24" i="465" s="1"/>
  <c r="BP31" i="465" s="1"/>
  <c r="BP39" i="465" s="1"/>
  <c r="BL14" i="465" s="1"/>
  <c r="Z5" i="465"/>
  <c r="Y5" i="465"/>
  <c r="AA5" i="465" s="1"/>
  <c r="P5" i="465"/>
  <c r="O5" i="465"/>
  <c r="K3" i="465"/>
  <c r="G3" i="465"/>
  <c r="D3" i="465"/>
  <c r="S2" i="465"/>
  <c r="K2" i="465"/>
  <c r="G2" i="465"/>
  <c r="AF1" i="465"/>
  <c r="V1" i="465"/>
  <c r="S1" i="465"/>
  <c r="K1" i="465"/>
  <c r="L1" i="465" s="1"/>
  <c r="G1" i="465"/>
  <c r="T37" i="468" l="1"/>
  <c r="T23" i="468"/>
  <c r="R19" i="468"/>
  <c r="AB16" i="468"/>
  <c r="AB14" i="468"/>
  <c r="AB19" i="468"/>
  <c r="AB18" i="468"/>
  <c r="R17" i="468"/>
  <c r="R16" i="468"/>
  <c r="R15" i="468"/>
  <c r="R14" i="468"/>
  <c r="AB12" i="468"/>
  <c r="AB13" i="468"/>
  <c r="AB11" i="468"/>
  <c r="R9" i="468"/>
  <c r="R6" i="468"/>
  <c r="AB15" i="468"/>
  <c r="AB6" i="468"/>
  <c r="R5" i="468"/>
  <c r="AB17" i="468"/>
  <c r="R13" i="468"/>
  <c r="R12" i="468"/>
  <c r="R11" i="468"/>
  <c r="AB10" i="468"/>
  <c r="R18" i="468"/>
  <c r="R10" i="468"/>
  <c r="AB9" i="468"/>
  <c r="R8" i="468"/>
  <c r="AB7" i="468"/>
  <c r="R7" i="468"/>
  <c r="AB5" i="468"/>
  <c r="AB8" i="468"/>
  <c r="N43" i="468"/>
  <c r="P43" i="468" s="1"/>
  <c r="N41" i="468"/>
  <c r="P41" i="468" s="1"/>
  <c r="N44" i="468"/>
  <c r="P44" i="468" s="1"/>
  <c r="N40" i="468"/>
  <c r="P40" i="468" s="1"/>
  <c r="N42" i="468"/>
  <c r="P42" i="468" s="1"/>
  <c r="N39" i="468"/>
  <c r="N30" i="468"/>
  <c r="P30" i="468" s="1"/>
  <c r="R35" i="468" s="1"/>
  <c r="N26" i="468"/>
  <c r="N28" i="468"/>
  <c r="P28" i="468" s="1"/>
  <c r="N25" i="468"/>
  <c r="N29" i="468"/>
  <c r="P29" i="468" s="1"/>
  <c r="R34" i="468" s="1"/>
  <c r="N27" i="468"/>
  <c r="P27" i="468" s="1"/>
  <c r="L1" i="467"/>
  <c r="M1" i="467" s="1"/>
  <c r="M2" i="467" s="1"/>
  <c r="T42" i="467"/>
  <c r="T39" i="467"/>
  <c r="T46" i="467"/>
  <c r="T43" i="467"/>
  <c r="T41" i="467"/>
  <c r="T48" i="467"/>
  <c r="C23" i="467"/>
  <c r="T31" i="467" s="1"/>
  <c r="B34" i="467"/>
  <c r="T47" i="467"/>
  <c r="T40" i="467"/>
  <c r="B24" i="467"/>
  <c r="T44" i="467"/>
  <c r="T45" i="467"/>
  <c r="T49" i="467"/>
  <c r="AA11" i="465"/>
  <c r="AA17" i="465"/>
  <c r="Q8" i="465"/>
  <c r="H1" i="465"/>
  <c r="Q6" i="465"/>
  <c r="Q10" i="465"/>
  <c r="Q5" i="465"/>
  <c r="M1" i="465"/>
  <c r="M2" i="465" s="1"/>
  <c r="R19" i="465" s="1"/>
  <c r="B31" i="465"/>
  <c r="W25" i="465" s="1"/>
  <c r="C31" i="465"/>
  <c r="W39" i="465" s="1"/>
  <c r="C23" i="465"/>
  <c r="B34" i="465"/>
  <c r="T40" i="465"/>
  <c r="B24" i="465"/>
  <c r="BF29" i="465"/>
  <c r="BF31" i="465"/>
  <c r="T45" i="465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S7" i="468" l="1"/>
  <c r="S12" i="468"/>
  <c r="AC19" i="468"/>
  <c r="P25" i="468"/>
  <c r="R26" i="468" s="1"/>
  <c r="N23" i="468"/>
  <c r="AC7" i="468"/>
  <c r="S18" i="468"/>
  <c r="S13" i="468"/>
  <c r="AC15" i="468"/>
  <c r="AC13" i="468"/>
  <c r="S16" i="468"/>
  <c r="AC14" i="468"/>
  <c r="P39" i="468"/>
  <c r="R43" i="468" s="1"/>
  <c r="N37" i="468"/>
  <c r="S10" i="468"/>
  <c r="AC11" i="468"/>
  <c r="R33" i="468"/>
  <c r="AC8" i="468"/>
  <c r="S8" i="468"/>
  <c r="AC10" i="468"/>
  <c r="AC17" i="468"/>
  <c r="S6" i="468"/>
  <c r="AC12" i="468"/>
  <c r="S17" i="468"/>
  <c r="AC16" i="468"/>
  <c r="AC6" i="468"/>
  <c r="S15" i="468"/>
  <c r="R32" i="468"/>
  <c r="P26" i="468"/>
  <c r="R31" i="468" s="1"/>
  <c r="R47" i="468"/>
  <c r="R49" i="468"/>
  <c r="R46" i="468"/>
  <c r="R45" i="468"/>
  <c r="R48" i="468"/>
  <c r="AC5" i="468"/>
  <c r="AC9" i="468"/>
  <c r="S11" i="468"/>
  <c r="S5" i="468"/>
  <c r="S9" i="468"/>
  <c r="S14" i="468"/>
  <c r="AC18" i="468"/>
  <c r="S19" i="468"/>
  <c r="T33" i="467"/>
  <c r="T35" i="467"/>
  <c r="T34" i="467"/>
  <c r="T28" i="467"/>
  <c r="T32" i="467"/>
  <c r="T25" i="467"/>
  <c r="C34" i="467"/>
  <c r="T29" i="467"/>
  <c r="T30" i="467"/>
  <c r="C24" i="467"/>
  <c r="N41" i="467" s="1"/>
  <c r="P41" i="467" s="1"/>
  <c r="T27" i="467"/>
  <c r="T26" i="467"/>
  <c r="T37" i="467"/>
  <c r="N43" i="467"/>
  <c r="P43" i="467" s="1"/>
  <c r="N40" i="467"/>
  <c r="P40" i="467" s="1"/>
  <c r="N42" i="467"/>
  <c r="P42" i="467" s="1"/>
  <c r="N30" i="467"/>
  <c r="P30" i="467" s="1"/>
  <c r="R35" i="467" s="1"/>
  <c r="N26" i="467"/>
  <c r="N28" i="467"/>
  <c r="P28" i="467" s="1"/>
  <c r="N25" i="467"/>
  <c r="N29" i="467"/>
  <c r="P29" i="467" s="1"/>
  <c r="R34" i="467" s="1"/>
  <c r="N27" i="467"/>
  <c r="P27" i="467" s="1"/>
  <c r="R19" i="467"/>
  <c r="AB16" i="467"/>
  <c r="AB14" i="467"/>
  <c r="AB19" i="467"/>
  <c r="AB18" i="467"/>
  <c r="R17" i="467"/>
  <c r="R16" i="467"/>
  <c r="R15" i="467"/>
  <c r="R14" i="467"/>
  <c r="AB15" i="467"/>
  <c r="AB11" i="467"/>
  <c r="R9" i="467"/>
  <c r="R6" i="467"/>
  <c r="AB13" i="467"/>
  <c r="R11" i="467"/>
  <c r="AB10" i="467"/>
  <c r="R18" i="467"/>
  <c r="AB6" i="467"/>
  <c r="AB8" i="467"/>
  <c r="AB5" i="467"/>
  <c r="AB17" i="467"/>
  <c r="R13" i="467"/>
  <c r="AB12" i="467"/>
  <c r="R12" i="467"/>
  <c r="R10" i="467"/>
  <c r="AB9" i="467"/>
  <c r="R8" i="467"/>
  <c r="AB7" i="467"/>
  <c r="R5" i="467"/>
  <c r="R7" i="467"/>
  <c r="T30" i="465"/>
  <c r="T35" i="465"/>
  <c r="T43" i="465"/>
  <c r="T47" i="465"/>
  <c r="T42" i="465"/>
  <c r="T41" i="465"/>
  <c r="T39" i="465"/>
  <c r="T46" i="465"/>
  <c r="T48" i="465"/>
  <c r="AB13" i="465"/>
  <c r="AB5" i="465"/>
  <c r="AC5" i="465" s="1"/>
  <c r="AB19" i="465"/>
  <c r="AC19" i="465" s="1"/>
  <c r="R12" i="465"/>
  <c r="S12" i="465" s="1"/>
  <c r="R17" i="465"/>
  <c r="AB9" i="465"/>
  <c r="AB8" i="465"/>
  <c r="AC8" i="465" s="1"/>
  <c r="R18" i="465"/>
  <c r="S18" i="465" s="1"/>
  <c r="AB7" i="465"/>
  <c r="R9" i="465"/>
  <c r="S9" i="465" s="1"/>
  <c r="AB15" i="465"/>
  <c r="AC15" i="465" s="1"/>
  <c r="AB6" i="465"/>
  <c r="AC6" i="465" s="1"/>
  <c r="R10" i="465"/>
  <c r="R13" i="465"/>
  <c r="S13" i="465" s="1"/>
  <c r="R11" i="465"/>
  <c r="S11" i="465" s="1"/>
  <c r="AB18" i="465"/>
  <c r="AC18" i="465" s="1"/>
  <c r="R8" i="465"/>
  <c r="AB17" i="465"/>
  <c r="AC17" i="465" s="1"/>
  <c r="R14" i="465"/>
  <c r="S14" i="465" s="1"/>
  <c r="R7" i="465"/>
  <c r="S7" i="465" s="1"/>
  <c r="R15" i="465"/>
  <c r="AB16" i="465"/>
  <c r="AC16" i="465" s="1"/>
  <c r="AB12" i="465"/>
  <c r="AC12" i="465" s="1"/>
  <c r="R5" i="465"/>
  <c r="S5" i="465" s="1"/>
  <c r="AB11" i="465"/>
  <c r="R6" i="465"/>
  <c r="S6" i="465" s="1"/>
  <c r="AB10" i="465"/>
  <c r="AC10" i="465" s="1"/>
  <c r="R16" i="465"/>
  <c r="S16" i="465" s="1"/>
  <c r="AB14" i="465"/>
  <c r="AC14" i="465" s="1"/>
  <c r="T44" i="465"/>
  <c r="T49" i="465"/>
  <c r="C34" i="465"/>
  <c r="T32" i="465"/>
  <c r="T26" i="465"/>
  <c r="C24" i="465"/>
  <c r="T28" i="465"/>
  <c r="T25" i="465"/>
  <c r="T27" i="465"/>
  <c r="AC11" i="465"/>
  <c r="T34" i="465"/>
  <c r="T29" i="465"/>
  <c r="AC7" i="465"/>
  <c r="AC9" i="465"/>
  <c r="S17" i="465"/>
  <c r="T33" i="465"/>
  <c r="N30" i="465"/>
  <c r="P30" i="465" s="1"/>
  <c r="R35" i="465" s="1"/>
  <c r="N26" i="465"/>
  <c r="N28" i="465"/>
  <c r="P28" i="465" s="1"/>
  <c r="N25" i="465"/>
  <c r="N29" i="465"/>
  <c r="P29" i="465" s="1"/>
  <c r="R34" i="465" s="1"/>
  <c r="N27" i="465"/>
  <c r="P27" i="465" s="1"/>
  <c r="S8" i="465"/>
  <c r="AC13" i="465"/>
  <c r="S10" i="465"/>
  <c r="S19" i="465"/>
  <c r="T31" i="465"/>
  <c r="S15" i="465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R44" i="468" l="1"/>
  <c r="R41" i="468"/>
  <c r="R40" i="468"/>
  <c r="AD5" i="468"/>
  <c r="T11" i="468"/>
  <c r="U5" i="468"/>
  <c r="U10" i="468"/>
  <c r="U14" i="468"/>
  <c r="T19" i="468"/>
  <c r="T9" i="468"/>
  <c r="S20" i="468"/>
  <c r="T14" i="468"/>
  <c r="U16" i="468"/>
  <c r="R42" i="468"/>
  <c r="U13" i="468"/>
  <c r="T5" i="468"/>
  <c r="AC20" i="468"/>
  <c r="AE18" i="468"/>
  <c r="AD6" i="468"/>
  <c r="AE17" i="468"/>
  <c r="AE7" i="468"/>
  <c r="AD12" i="468"/>
  <c r="AD10" i="468"/>
  <c r="U17" i="468"/>
  <c r="AD18" i="468"/>
  <c r="U7" i="468"/>
  <c r="AD9" i="468"/>
  <c r="AE15" i="468"/>
  <c r="AE10" i="468"/>
  <c r="AE13" i="468"/>
  <c r="U12" i="468"/>
  <c r="U9" i="468"/>
  <c r="AE5" i="468"/>
  <c r="T15" i="468"/>
  <c r="U6" i="468"/>
  <c r="AE8" i="468"/>
  <c r="T10" i="468"/>
  <c r="AE14" i="468"/>
  <c r="T16" i="468"/>
  <c r="AD15" i="468"/>
  <c r="U18" i="468"/>
  <c r="AD17" i="468"/>
  <c r="T8" i="468"/>
  <c r="AE11" i="468"/>
  <c r="AD14" i="468"/>
  <c r="AD13" i="468"/>
  <c r="AD19" i="468"/>
  <c r="U11" i="468"/>
  <c r="U15" i="468"/>
  <c r="AE6" i="468"/>
  <c r="AE16" i="468"/>
  <c r="T17" i="468"/>
  <c r="R39" i="468"/>
  <c r="P37" i="468"/>
  <c r="T18" i="468"/>
  <c r="T12" i="468"/>
  <c r="T7" i="468"/>
  <c r="AE9" i="468"/>
  <c r="AD16" i="468"/>
  <c r="AE12" i="468"/>
  <c r="T6" i="468"/>
  <c r="U8" i="468"/>
  <c r="AD8" i="468"/>
  <c r="AD11" i="468"/>
  <c r="T13" i="468"/>
  <c r="AD7" i="468"/>
  <c r="R29" i="468"/>
  <c r="R27" i="468"/>
  <c r="P23" i="468"/>
  <c r="R30" i="468"/>
  <c r="R28" i="468"/>
  <c r="R25" i="468"/>
  <c r="N44" i="467"/>
  <c r="P44" i="467" s="1"/>
  <c r="R45" i="467" s="1"/>
  <c r="N39" i="467"/>
  <c r="P39" i="467" s="1"/>
  <c r="T23" i="467"/>
  <c r="R32" i="467"/>
  <c r="AC7" i="467"/>
  <c r="AC5" i="467"/>
  <c r="S15" i="467"/>
  <c r="R46" i="467"/>
  <c r="S8" i="467"/>
  <c r="AC12" i="467"/>
  <c r="AC8" i="467"/>
  <c r="S11" i="467"/>
  <c r="AC11" i="467"/>
  <c r="S16" i="467"/>
  <c r="AC14" i="467"/>
  <c r="R33" i="467"/>
  <c r="N37" i="467"/>
  <c r="S12" i="467"/>
  <c r="S9" i="467"/>
  <c r="AC19" i="467"/>
  <c r="P25" i="467"/>
  <c r="N23" i="467"/>
  <c r="S7" i="467"/>
  <c r="AC9" i="467"/>
  <c r="S13" i="467"/>
  <c r="AC6" i="467"/>
  <c r="AC13" i="467"/>
  <c r="AC15" i="467"/>
  <c r="S17" i="467"/>
  <c r="AC16" i="467"/>
  <c r="P26" i="467"/>
  <c r="R31" i="467" s="1"/>
  <c r="AC10" i="467"/>
  <c r="S5" i="467"/>
  <c r="S10" i="467"/>
  <c r="AC17" i="467"/>
  <c r="S18" i="467"/>
  <c r="S6" i="467"/>
  <c r="S14" i="467"/>
  <c r="AC18" i="467"/>
  <c r="S19" i="467"/>
  <c r="T5" i="465"/>
  <c r="AE12" i="465"/>
  <c r="S20" i="465"/>
  <c r="AD18" i="465"/>
  <c r="T13" i="465"/>
  <c r="U6" i="465"/>
  <c r="T37" i="465"/>
  <c r="T23" i="465"/>
  <c r="AD8" i="465"/>
  <c r="AE11" i="465"/>
  <c r="AE7" i="465"/>
  <c r="AD19" i="465"/>
  <c r="AD16" i="465"/>
  <c r="AE18" i="465"/>
  <c r="T7" i="465"/>
  <c r="AD13" i="465"/>
  <c r="U17" i="465"/>
  <c r="AC20" i="465"/>
  <c r="AD9" i="465"/>
  <c r="T15" i="465"/>
  <c r="AD17" i="465"/>
  <c r="T8" i="465"/>
  <c r="U16" i="465"/>
  <c r="AE5" i="465"/>
  <c r="U13" i="465"/>
  <c r="U15" i="465"/>
  <c r="T9" i="465"/>
  <c r="T6" i="465"/>
  <c r="AD15" i="465"/>
  <c r="AD12" i="465"/>
  <c r="AE16" i="465"/>
  <c r="U14" i="465"/>
  <c r="AD5" i="465"/>
  <c r="AE8" i="465"/>
  <c r="U12" i="465"/>
  <c r="U7" i="465"/>
  <c r="T12" i="465"/>
  <c r="T19" i="465"/>
  <c r="U18" i="465"/>
  <c r="U11" i="465"/>
  <c r="AD6" i="465"/>
  <c r="AE14" i="465"/>
  <c r="AE10" i="465"/>
  <c r="U5" i="465"/>
  <c r="AE15" i="465"/>
  <c r="AE13" i="465"/>
  <c r="U8" i="465"/>
  <c r="P25" i="465"/>
  <c r="N23" i="465"/>
  <c r="T17" i="465"/>
  <c r="AE9" i="465"/>
  <c r="T16" i="465"/>
  <c r="AD11" i="465"/>
  <c r="U9" i="465"/>
  <c r="AE17" i="465"/>
  <c r="T18" i="465"/>
  <c r="T10" i="465"/>
  <c r="R33" i="465"/>
  <c r="T14" i="465"/>
  <c r="AE6" i="465"/>
  <c r="AD7" i="465"/>
  <c r="AD14" i="465"/>
  <c r="U10" i="465"/>
  <c r="R32" i="465"/>
  <c r="P26" i="465"/>
  <c r="R31" i="465" s="1"/>
  <c r="T11" i="465"/>
  <c r="AD10" i="465"/>
  <c r="N43" i="465"/>
  <c r="P43" i="465" s="1"/>
  <c r="N41" i="465"/>
  <c r="P41" i="465" s="1"/>
  <c r="N44" i="465"/>
  <c r="P44" i="465" s="1"/>
  <c r="N40" i="465"/>
  <c r="P40" i="465" s="1"/>
  <c r="N42" i="465"/>
  <c r="P42" i="465" s="1"/>
  <c r="N39" i="465"/>
  <c r="Z13" i="435"/>
  <c r="AD20" i="468" l="1"/>
  <c r="AD21" i="468" s="1"/>
  <c r="L40" i="468" s="1"/>
  <c r="V28" i="468"/>
  <c r="AE25" i="468" s="1"/>
  <c r="T20" i="468"/>
  <c r="AE20" i="468"/>
  <c r="AE21" i="468" s="1"/>
  <c r="L41" i="468" s="1"/>
  <c r="U20" i="468"/>
  <c r="U21" i="468" s="1"/>
  <c r="L27" i="468" s="1"/>
  <c r="AE27" i="468"/>
  <c r="AE26" i="468"/>
  <c r="R37" i="468"/>
  <c r="V39" i="468"/>
  <c r="V48" i="468"/>
  <c r="V46" i="468"/>
  <c r="V43" i="468"/>
  <c r="V45" i="468"/>
  <c r="V47" i="468"/>
  <c r="V44" i="468"/>
  <c r="R23" i="468"/>
  <c r="V25" i="468"/>
  <c r="V34" i="468"/>
  <c r="V31" i="468"/>
  <c r="V32" i="468"/>
  <c r="V33" i="468"/>
  <c r="V30" i="468"/>
  <c r="V29" i="468"/>
  <c r="V27" i="468"/>
  <c r="V42" i="468"/>
  <c r="V40" i="468"/>
  <c r="V26" i="468"/>
  <c r="V41" i="468"/>
  <c r="R44" i="467"/>
  <c r="R48" i="467"/>
  <c r="R47" i="467"/>
  <c r="R42" i="467"/>
  <c r="R49" i="467"/>
  <c r="T19" i="467"/>
  <c r="AD19" i="467"/>
  <c r="U13" i="467"/>
  <c r="AE13" i="467"/>
  <c r="AE6" i="467"/>
  <c r="U18" i="467"/>
  <c r="S20" i="467"/>
  <c r="U16" i="467"/>
  <c r="U12" i="467"/>
  <c r="T7" i="467"/>
  <c r="U14" i="467"/>
  <c r="AD17" i="467"/>
  <c r="T5" i="467"/>
  <c r="AE8" i="467"/>
  <c r="AD15" i="467"/>
  <c r="AD12" i="467"/>
  <c r="AE7" i="467"/>
  <c r="R40" i="467"/>
  <c r="AE18" i="467"/>
  <c r="T6" i="467"/>
  <c r="AE17" i="467"/>
  <c r="AD10" i="467"/>
  <c r="AD14" i="467"/>
  <c r="AD6" i="467"/>
  <c r="AD9" i="467"/>
  <c r="U11" i="467"/>
  <c r="AD11" i="467"/>
  <c r="AC20" i="467"/>
  <c r="U17" i="467"/>
  <c r="AD18" i="467"/>
  <c r="U9" i="467"/>
  <c r="R43" i="467"/>
  <c r="AD16" i="467"/>
  <c r="AD13" i="467"/>
  <c r="AD5" i="467"/>
  <c r="AE14" i="467"/>
  <c r="R41" i="467"/>
  <c r="T8" i="467"/>
  <c r="U5" i="467"/>
  <c r="AE11" i="467"/>
  <c r="U15" i="467"/>
  <c r="AE10" i="467"/>
  <c r="R26" i="467"/>
  <c r="AE15" i="467"/>
  <c r="T13" i="467"/>
  <c r="AE9" i="467"/>
  <c r="U7" i="467"/>
  <c r="T16" i="467"/>
  <c r="AD8" i="467"/>
  <c r="T15" i="467"/>
  <c r="AE12" i="467"/>
  <c r="U10" i="467"/>
  <c r="AE16" i="467"/>
  <c r="T9" i="467"/>
  <c r="T12" i="467"/>
  <c r="R39" i="467"/>
  <c r="V40" i="467" s="1"/>
  <c r="P37" i="467"/>
  <c r="T11" i="467"/>
  <c r="U8" i="467"/>
  <c r="AE5" i="467"/>
  <c r="U6" i="467"/>
  <c r="T14" i="467"/>
  <c r="T18" i="467"/>
  <c r="T10" i="467"/>
  <c r="T17" i="467"/>
  <c r="R29" i="467"/>
  <c r="R27" i="467"/>
  <c r="V27" i="467" s="1"/>
  <c r="P23" i="467"/>
  <c r="R30" i="467"/>
  <c r="R25" i="467"/>
  <c r="R28" i="467"/>
  <c r="V28" i="467" s="1"/>
  <c r="AD7" i="467"/>
  <c r="T20" i="465"/>
  <c r="T21" i="465" s="1"/>
  <c r="L26" i="465" s="1"/>
  <c r="U20" i="465"/>
  <c r="U21" i="465" s="1"/>
  <c r="L27" i="465" s="1"/>
  <c r="AD20" i="465"/>
  <c r="AE20" i="465"/>
  <c r="AE21" i="465" s="1"/>
  <c r="L41" i="465" s="1"/>
  <c r="P39" i="465"/>
  <c r="R41" i="465" s="1"/>
  <c r="N37" i="465"/>
  <c r="R26" i="465"/>
  <c r="R40" i="465"/>
  <c r="R47" i="465"/>
  <c r="R44" i="465"/>
  <c r="R49" i="465"/>
  <c r="R46" i="465"/>
  <c r="R45" i="465"/>
  <c r="R48" i="465"/>
  <c r="R29" i="465"/>
  <c r="R27" i="465"/>
  <c r="P23" i="465"/>
  <c r="R30" i="465"/>
  <c r="R25" i="465"/>
  <c r="R28" i="465"/>
  <c r="R42" i="465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AE28" i="468" l="1"/>
  <c r="AE23" i="468" s="1"/>
  <c r="AF20" i="468"/>
  <c r="AF21" i="468" s="1"/>
  <c r="L42" i="468" s="1"/>
  <c r="T21" i="468"/>
  <c r="V20" i="468"/>
  <c r="V21" i="468" s="1"/>
  <c r="L28" i="468" s="1"/>
  <c r="AC40" i="468"/>
  <c r="AC41" i="468"/>
  <c r="AC39" i="468"/>
  <c r="AC21" i="468"/>
  <c r="L39" i="468" s="1"/>
  <c r="AO29" i="468"/>
  <c r="AO31" i="468"/>
  <c r="AO25" i="468"/>
  <c r="AO30" i="468"/>
  <c r="AO26" i="468"/>
  <c r="AO32" i="468"/>
  <c r="AO27" i="468"/>
  <c r="AO28" i="468"/>
  <c r="AO33" i="468"/>
  <c r="AQ33" i="468"/>
  <c r="AQ29" i="468"/>
  <c r="AQ27" i="468"/>
  <c r="AQ30" i="468"/>
  <c r="AQ25" i="468"/>
  <c r="AQ26" i="468"/>
  <c r="AQ32" i="468"/>
  <c r="AQ34" i="468"/>
  <c r="AQ31" i="468"/>
  <c r="AQ28" i="468"/>
  <c r="AO41" i="468"/>
  <c r="AO46" i="468"/>
  <c r="AO45" i="468"/>
  <c r="AO39" i="468"/>
  <c r="AO40" i="468"/>
  <c r="AO43" i="468"/>
  <c r="AO42" i="468"/>
  <c r="AO44" i="468"/>
  <c r="AO47" i="468"/>
  <c r="AQ39" i="468"/>
  <c r="AQ46" i="468"/>
  <c r="AQ45" i="468"/>
  <c r="AQ42" i="468"/>
  <c r="AQ47" i="468"/>
  <c r="AQ41" i="468"/>
  <c r="AQ48" i="468"/>
  <c r="AQ44" i="468"/>
  <c r="AQ40" i="468"/>
  <c r="AQ43" i="468"/>
  <c r="AA26" i="468"/>
  <c r="AA25" i="468"/>
  <c r="AC25" i="468"/>
  <c r="AC26" i="468"/>
  <c r="AC27" i="468"/>
  <c r="V23" i="468"/>
  <c r="V35" i="468" s="1"/>
  <c r="V22" i="468" s="1"/>
  <c r="Y25" i="468"/>
  <c r="AK45" i="468"/>
  <c r="AK41" i="468"/>
  <c r="AK39" i="468"/>
  <c r="AK43" i="468"/>
  <c r="AK44" i="468"/>
  <c r="AK40" i="468"/>
  <c r="AK42" i="468"/>
  <c r="AA40" i="468"/>
  <c r="AA39" i="468"/>
  <c r="AG28" i="468"/>
  <c r="AG27" i="468"/>
  <c r="AG29" i="468"/>
  <c r="AG25" i="468"/>
  <c r="AG26" i="468"/>
  <c r="AM29" i="468"/>
  <c r="AM26" i="468"/>
  <c r="AM32" i="468"/>
  <c r="AM27" i="468"/>
  <c r="AM31" i="468"/>
  <c r="AM30" i="468"/>
  <c r="AM28" i="468"/>
  <c r="AM25" i="468"/>
  <c r="AG41" i="468"/>
  <c r="AG43" i="468"/>
  <c r="AG39" i="468"/>
  <c r="AG40" i="468"/>
  <c r="AG42" i="468"/>
  <c r="Y39" i="468"/>
  <c r="V37" i="468"/>
  <c r="V49" i="468" s="1"/>
  <c r="V36" i="468" s="1"/>
  <c r="AE41" i="468"/>
  <c r="AE39" i="468"/>
  <c r="AE42" i="468"/>
  <c r="AE40" i="468"/>
  <c r="AI26" i="468"/>
  <c r="AI27" i="468"/>
  <c r="AI29" i="468"/>
  <c r="AI25" i="468"/>
  <c r="AI30" i="468"/>
  <c r="AI28" i="468"/>
  <c r="AK30" i="468"/>
  <c r="AK28" i="468"/>
  <c r="AK31" i="468"/>
  <c r="AK29" i="468"/>
  <c r="AK25" i="468"/>
  <c r="AK26" i="468"/>
  <c r="AK27" i="468"/>
  <c r="AI41" i="468"/>
  <c r="AI43" i="468"/>
  <c r="AI39" i="468"/>
  <c r="AI44" i="468"/>
  <c r="AI40" i="468"/>
  <c r="AI42" i="468"/>
  <c r="AM43" i="468"/>
  <c r="AM44" i="468"/>
  <c r="AM46" i="468"/>
  <c r="AM45" i="468"/>
  <c r="AM42" i="468"/>
  <c r="AM41" i="468"/>
  <c r="AM40" i="468"/>
  <c r="AM39" i="468"/>
  <c r="V42" i="467"/>
  <c r="AE41" i="467" s="1"/>
  <c r="V41" i="467"/>
  <c r="AC39" i="467" s="1"/>
  <c r="U20" i="467"/>
  <c r="U21" i="467" s="1"/>
  <c r="L27" i="467" s="1"/>
  <c r="T20" i="467"/>
  <c r="AE20" i="467"/>
  <c r="AE21" i="467" s="1"/>
  <c r="L41" i="467" s="1"/>
  <c r="AD20" i="467"/>
  <c r="AD21" i="467" s="1"/>
  <c r="L40" i="467" s="1"/>
  <c r="AC27" i="467"/>
  <c r="AC25" i="467"/>
  <c r="AC26" i="467"/>
  <c r="AE40" i="467"/>
  <c r="AE42" i="467"/>
  <c r="AA40" i="467"/>
  <c r="AA39" i="467"/>
  <c r="R37" i="467"/>
  <c r="V39" i="467"/>
  <c r="V48" i="467"/>
  <c r="V46" i="467"/>
  <c r="V43" i="467"/>
  <c r="V45" i="467"/>
  <c r="V44" i="467"/>
  <c r="V47" i="467"/>
  <c r="AE28" i="467"/>
  <c r="AE26" i="467"/>
  <c r="AE27" i="467"/>
  <c r="AE25" i="467"/>
  <c r="R23" i="467"/>
  <c r="V25" i="467"/>
  <c r="V31" i="467"/>
  <c r="V29" i="467"/>
  <c r="V32" i="467"/>
  <c r="V33" i="467"/>
  <c r="V30" i="467"/>
  <c r="V34" i="467"/>
  <c r="AC41" i="467"/>
  <c r="V26" i="467"/>
  <c r="R43" i="465"/>
  <c r="AD21" i="465"/>
  <c r="AF20" i="465"/>
  <c r="AF21" i="465" s="1"/>
  <c r="L42" i="465" s="1"/>
  <c r="V20" i="465"/>
  <c r="V21" i="465" s="1"/>
  <c r="V26" i="465"/>
  <c r="AA25" i="465" s="1"/>
  <c r="V28" i="465"/>
  <c r="V27" i="465"/>
  <c r="R23" i="465"/>
  <c r="V25" i="465"/>
  <c r="V30" i="465"/>
  <c r="V33" i="465"/>
  <c r="V31" i="465"/>
  <c r="V34" i="465"/>
  <c r="V32" i="465"/>
  <c r="V29" i="465"/>
  <c r="R39" i="465"/>
  <c r="V41" i="465" s="1"/>
  <c r="P37" i="46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A23" i="468" l="1"/>
  <c r="AA37" i="468"/>
  <c r="AO37" i="468"/>
  <c r="AK37" i="468"/>
  <c r="AI37" i="468"/>
  <c r="AM37" i="468"/>
  <c r="AQ37" i="468"/>
  <c r="AI23" i="468"/>
  <c r="AM23" i="468"/>
  <c r="AK23" i="468"/>
  <c r="AG37" i="468"/>
  <c r="AG23" i="468"/>
  <c r="AO23" i="468"/>
  <c r="AE37" i="468"/>
  <c r="AQ23" i="468"/>
  <c r="AC37" i="468"/>
  <c r="AC23" i="468"/>
  <c r="L26" i="468"/>
  <c r="S21" i="468"/>
  <c r="L25" i="468" s="1"/>
  <c r="Y37" i="468"/>
  <c r="Y23" i="468"/>
  <c r="AS46" i="468"/>
  <c r="J46" i="468" s="1"/>
  <c r="AS43" i="468"/>
  <c r="J43" i="468" s="1"/>
  <c r="AS45" i="468"/>
  <c r="J45" i="468" s="1"/>
  <c r="AS39" i="468"/>
  <c r="AS49" i="468"/>
  <c r="J49" i="468" s="1"/>
  <c r="AS40" i="468"/>
  <c r="J40" i="468" s="1"/>
  <c r="AS48" i="468"/>
  <c r="J48" i="468" s="1"/>
  <c r="AS41" i="468"/>
  <c r="J41" i="468" s="1"/>
  <c r="AS44" i="468"/>
  <c r="J44" i="468" s="1"/>
  <c r="AS47" i="468"/>
  <c r="J47" i="468" s="1"/>
  <c r="AS42" i="468"/>
  <c r="J42" i="468" s="1"/>
  <c r="AS32" i="468"/>
  <c r="J32" i="468" s="1"/>
  <c r="AS31" i="468"/>
  <c r="J31" i="468" s="1"/>
  <c r="AS28" i="468"/>
  <c r="J28" i="468" s="1"/>
  <c r="AS34" i="468"/>
  <c r="J34" i="468" s="1"/>
  <c r="AS35" i="468"/>
  <c r="J35" i="468" s="1"/>
  <c r="AS27" i="468"/>
  <c r="AS29" i="468"/>
  <c r="J29" i="468" s="1"/>
  <c r="AS30" i="468"/>
  <c r="J30" i="468" s="1"/>
  <c r="AS25" i="468"/>
  <c r="AS26" i="468"/>
  <c r="J26" i="468" s="1"/>
  <c r="AS33" i="468"/>
  <c r="J33" i="468" s="1"/>
  <c r="J27" i="468"/>
  <c r="L37" i="468"/>
  <c r="AC40" i="467"/>
  <c r="AC37" i="467" s="1"/>
  <c r="AE39" i="467"/>
  <c r="AE37" i="467" s="1"/>
  <c r="AC23" i="467"/>
  <c r="AE23" i="467"/>
  <c r="AA37" i="467"/>
  <c r="AF20" i="467"/>
  <c r="AF21" i="467" s="1"/>
  <c r="L42" i="467" s="1"/>
  <c r="T21" i="467"/>
  <c r="V20" i="467"/>
  <c r="V21" i="467" s="1"/>
  <c r="L28" i="467" s="1"/>
  <c r="AO27" i="467"/>
  <c r="AO33" i="467"/>
  <c r="AO26" i="467"/>
  <c r="AO32" i="467"/>
  <c r="AO30" i="467"/>
  <c r="AO29" i="467"/>
  <c r="AO25" i="467"/>
  <c r="AO31" i="467"/>
  <c r="AO28" i="467"/>
  <c r="AK27" i="467"/>
  <c r="AK30" i="467"/>
  <c r="AK29" i="467"/>
  <c r="AK25" i="467"/>
  <c r="AK26" i="467"/>
  <c r="AK31" i="467"/>
  <c r="AK28" i="467"/>
  <c r="AG42" i="467"/>
  <c r="AG40" i="467"/>
  <c r="AG41" i="467"/>
  <c r="AG43" i="467"/>
  <c r="AG39" i="467"/>
  <c r="AM31" i="467"/>
  <c r="AM32" i="467"/>
  <c r="AM27" i="467"/>
  <c r="AM25" i="467"/>
  <c r="AM29" i="467"/>
  <c r="AM26" i="467"/>
  <c r="AM30" i="467"/>
  <c r="AM28" i="467"/>
  <c r="V23" i="467"/>
  <c r="V35" i="467" s="1"/>
  <c r="V22" i="467" s="1"/>
  <c r="Y25" i="467"/>
  <c r="AO47" i="467"/>
  <c r="AO41" i="467"/>
  <c r="AO46" i="467"/>
  <c r="AO45" i="467"/>
  <c r="AO39" i="467"/>
  <c r="AO40" i="467"/>
  <c r="AO43" i="467"/>
  <c r="AO42" i="467"/>
  <c r="AO44" i="467"/>
  <c r="AM41" i="467"/>
  <c r="AM39" i="467"/>
  <c r="AM46" i="467"/>
  <c r="AM43" i="467"/>
  <c r="AM44" i="467"/>
  <c r="AM45" i="467"/>
  <c r="AM42" i="467"/>
  <c r="AM40" i="467"/>
  <c r="AA25" i="467"/>
  <c r="AA26" i="467"/>
  <c r="AG26" i="467"/>
  <c r="AG27" i="467"/>
  <c r="AG28" i="467"/>
  <c r="AG29" i="467"/>
  <c r="AG25" i="467"/>
  <c r="AI44" i="467"/>
  <c r="AI40" i="467"/>
  <c r="AI41" i="467"/>
  <c r="AI43" i="467"/>
  <c r="AI42" i="467"/>
  <c r="AI39" i="467"/>
  <c r="AQ47" i="467"/>
  <c r="AQ41" i="467"/>
  <c r="AQ43" i="467"/>
  <c r="AQ39" i="467"/>
  <c r="AQ46" i="467"/>
  <c r="AQ48" i="467"/>
  <c r="AQ44" i="467"/>
  <c r="AQ40" i="467"/>
  <c r="AQ45" i="467"/>
  <c r="AQ42" i="467"/>
  <c r="AQ34" i="467"/>
  <c r="AQ31" i="467"/>
  <c r="AQ28" i="467"/>
  <c r="AQ26" i="467"/>
  <c r="AQ25" i="467"/>
  <c r="AQ32" i="467"/>
  <c r="AQ30" i="467"/>
  <c r="AQ33" i="467"/>
  <c r="AQ29" i="467"/>
  <c r="AQ27" i="467"/>
  <c r="AI29" i="467"/>
  <c r="AI25" i="467"/>
  <c r="AI30" i="467"/>
  <c r="AI28" i="467"/>
  <c r="AI27" i="467"/>
  <c r="AI26" i="467"/>
  <c r="AK44" i="467"/>
  <c r="AK39" i="467"/>
  <c r="AK45" i="467"/>
  <c r="AK41" i="467"/>
  <c r="AK42" i="467"/>
  <c r="AK43" i="467"/>
  <c r="AK40" i="467"/>
  <c r="Y39" i="467"/>
  <c r="V37" i="467"/>
  <c r="V49" i="467" s="1"/>
  <c r="V36" i="467" s="1"/>
  <c r="AA26" i="465"/>
  <c r="AA23" i="465" s="1"/>
  <c r="V40" i="465"/>
  <c r="L28" i="465"/>
  <c r="S21" i="465"/>
  <c r="L25" i="465" s="1"/>
  <c r="L23" i="465" s="1"/>
  <c r="L40" i="465"/>
  <c r="AC21" i="465"/>
  <c r="L39" i="465" s="1"/>
  <c r="AC40" i="465"/>
  <c r="AC41" i="465"/>
  <c r="AC39" i="465"/>
  <c r="AA40" i="465"/>
  <c r="AA39" i="465"/>
  <c r="AA37" i="465" s="1"/>
  <c r="V23" i="465"/>
  <c r="V35" i="465" s="1"/>
  <c r="V22" i="465" s="1"/>
  <c r="Y25" i="465"/>
  <c r="V42" i="465"/>
  <c r="AG28" i="465"/>
  <c r="AG27" i="465"/>
  <c r="AG29" i="465"/>
  <c r="AG26" i="465"/>
  <c r="AG25" i="465"/>
  <c r="AO25" i="465"/>
  <c r="AO30" i="465"/>
  <c r="AO33" i="465"/>
  <c r="AO28" i="465"/>
  <c r="AO29" i="465"/>
  <c r="AO31" i="465"/>
  <c r="AO27" i="465"/>
  <c r="AO26" i="465"/>
  <c r="AO32" i="465"/>
  <c r="AK29" i="465"/>
  <c r="AK25" i="465"/>
  <c r="AK26" i="465"/>
  <c r="AK28" i="465"/>
  <c r="AK31" i="465"/>
  <c r="AK30" i="465"/>
  <c r="AK27" i="465"/>
  <c r="AM32" i="465"/>
  <c r="AM27" i="465"/>
  <c r="AM25" i="465"/>
  <c r="AM31" i="465"/>
  <c r="AM29" i="465"/>
  <c r="AM26" i="465"/>
  <c r="AM30" i="465"/>
  <c r="AM28" i="465"/>
  <c r="AC27" i="465"/>
  <c r="AC25" i="465"/>
  <c r="AC26" i="465"/>
  <c r="R37" i="465"/>
  <c r="V39" i="465"/>
  <c r="V45" i="465"/>
  <c r="V46" i="465"/>
  <c r="V43" i="465"/>
  <c r="V47" i="465"/>
  <c r="V48" i="465"/>
  <c r="V44" i="465"/>
  <c r="AQ32" i="465"/>
  <c r="AQ26" i="465"/>
  <c r="AQ34" i="465"/>
  <c r="AQ33" i="465"/>
  <c r="AQ29" i="465"/>
  <c r="AQ27" i="465"/>
  <c r="AQ31" i="465"/>
  <c r="AQ30" i="465"/>
  <c r="AQ25" i="465"/>
  <c r="AQ28" i="465"/>
  <c r="AI30" i="465"/>
  <c r="AI28" i="465"/>
  <c r="AI29" i="465"/>
  <c r="AI25" i="465"/>
  <c r="AI27" i="465"/>
  <c r="AI26" i="465"/>
  <c r="AE27" i="465"/>
  <c r="AE25" i="465"/>
  <c r="AE28" i="465"/>
  <c r="AE26" i="465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AS37" i="468" l="1"/>
  <c r="L23" i="468"/>
  <c r="AS23" i="468"/>
  <c r="H48" i="468"/>
  <c r="H33" i="468"/>
  <c r="H29" i="468"/>
  <c r="H44" i="468"/>
  <c r="H46" i="468"/>
  <c r="H43" i="468"/>
  <c r="BR35" i="468" s="1"/>
  <c r="H31" i="468"/>
  <c r="H30" i="468"/>
  <c r="H47" i="468"/>
  <c r="H32" i="468"/>
  <c r="H34" i="468"/>
  <c r="AS22" i="468"/>
  <c r="AS36" i="468"/>
  <c r="J39" i="468"/>
  <c r="H49" i="468"/>
  <c r="H45" i="468"/>
  <c r="H35" i="468"/>
  <c r="J25" i="468"/>
  <c r="H26" i="468" s="1"/>
  <c r="AC21" i="467"/>
  <c r="L39" i="467" s="1"/>
  <c r="AI23" i="467"/>
  <c r="AO23" i="467"/>
  <c r="AQ23" i="467"/>
  <c r="AM23" i="467"/>
  <c r="AK23" i="467"/>
  <c r="AA23" i="467"/>
  <c r="AG23" i="467"/>
  <c r="AM37" i="467"/>
  <c r="AQ37" i="467"/>
  <c r="AI37" i="467"/>
  <c r="AK37" i="467"/>
  <c r="AO37" i="467"/>
  <c r="AG37" i="467"/>
  <c r="L26" i="467"/>
  <c r="S21" i="467"/>
  <c r="L25" i="467" s="1"/>
  <c r="L37" i="467"/>
  <c r="Y37" i="467"/>
  <c r="AS29" i="467"/>
  <c r="J29" i="467" s="1"/>
  <c r="AS30" i="467"/>
  <c r="J30" i="467" s="1"/>
  <c r="AS25" i="467"/>
  <c r="AS26" i="467"/>
  <c r="J26" i="467" s="1"/>
  <c r="AS33" i="467"/>
  <c r="J33" i="467" s="1"/>
  <c r="AS28" i="467"/>
  <c r="J28" i="467" s="1"/>
  <c r="AS34" i="467"/>
  <c r="J34" i="467" s="1"/>
  <c r="AS32" i="467"/>
  <c r="J32" i="467" s="1"/>
  <c r="AS31" i="467"/>
  <c r="J31" i="467" s="1"/>
  <c r="AS35" i="467"/>
  <c r="J35" i="467" s="1"/>
  <c r="AS27" i="467"/>
  <c r="J27" i="467" s="1"/>
  <c r="AS49" i="467"/>
  <c r="J49" i="467" s="1"/>
  <c r="AS41" i="467"/>
  <c r="J41" i="467" s="1"/>
  <c r="AS46" i="467"/>
  <c r="J46" i="467" s="1"/>
  <c r="AS43" i="467"/>
  <c r="J43" i="467" s="1"/>
  <c r="AS45" i="467"/>
  <c r="J45" i="467" s="1"/>
  <c r="AS39" i="467"/>
  <c r="AS42" i="467"/>
  <c r="J42" i="467" s="1"/>
  <c r="AS40" i="467"/>
  <c r="J40" i="467" s="1"/>
  <c r="AS48" i="467"/>
  <c r="J48" i="467" s="1"/>
  <c r="AS44" i="467"/>
  <c r="J44" i="467" s="1"/>
  <c r="AS47" i="467"/>
  <c r="J47" i="467" s="1"/>
  <c r="Y23" i="467"/>
  <c r="AQ23" i="465"/>
  <c r="AM23" i="465"/>
  <c r="AK23" i="465"/>
  <c r="AI23" i="465"/>
  <c r="AO23" i="465"/>
  <c r="AC23" i="465"/>
  <c r="AE23" i="465"/>
  <c r="AC37" i="465"/>
  <c r="AG23" i="465"/>
  <c r="L37" i="465"/>
  <c r="AQ39" i="465"/>
  <c r="AQ46" i="465"/>
  <c r="AQ43" i="465"/>
  <c r="AQ45" i="465"/>
  <c r="AQ42" i="465"/>
  <c r="AQ48" i="465"/>
  <c r="AQ44" i="465"/>
  <c r="AQ40" i="465"/>
  <c r="AQ47" i="465"/>
  <c r="AQ41" i="465"/>
  <c r="AK45" i="465"/>
  <c r="AK44" i="465"/>
  <c r="AK43" i="465"/>
  <c r="AK41" i="465"/>
  <c r="AK40" i="465"/>
  <c r="AK42" i="465"/>
  <c r="AK39" i="465"/>
  <c r="Y23" i="465"/>
  <c r="AO41" i="465"/>
  <c r="AO46" i="465"/>
  <c r="AO45" i="465"/>
  <c r="AO39" i="465"/>
  <c r="AO40" i="465"/>
  <c r="AO43" i="465"/>
  <c r="AO42" i="465"/>
  <c r="AO44" i="465"/>
  <c r="AO47" i="465"/>
  <c r="Y39" i="465"/>
  <c r="V37" i="465"/>
  <c r="V49" i="465" s="1"/>
  <c r="V36" i="465" s="1"/>
  <c r="AI41" i="465"/>
  <c r="AI43" i="465"/>
  <c r="AI44" i="465"/>
  <c r="AI40" i="465"/>
  <c r="AI39" i="465"/>
  <c r="AI42" i="465"/>
  <c r="AG41" i="465"/>
  <c r="AG43" i="465"/>
  <c r="AG42" i="465"/>
  <c r="AG39" i="465"/>
  <c r="AG40" i="465"/>
  <c r="AS33" i="465"/>
  <c r="J33" i="465" s="1"/>
  <c r="AS28" i="465"/>
  <c r="J28" i="465" s="1"/>
  <c r="AS30" i="465"/>
  <c r="J30" i="465" s="1"/>
  <c r="AS25" i="465"/>
  <c r="AS26" i="465"/>
  <c r="J26" i="465" s="1"/>
  <c r="AS32" i="465"/>
  <c r="J32" i="465" s="1"/>
  <c r="AS31" i="465"/>
  <c r="J31" i="465" s="1"/>
  <c r="AS34" i="465"/>
  <c r="J34" i="465" s="1"/>
  <c r="AS35" i="465"/>
  <c r="J35" i="465" s="1"/>
  <c r="AS27" i="465"/>
  <c r="J27" i="465" s="1"/>
  <c r="AS29" i="465"/>
  <c r="J29" i="465" s="1"/>
  <c r="AM43" i="465"/>
  <c r="AM44" i="465"/>
  <c r="AM45" i="465"/>
  <c r="AM42" i="465"/>
  <c r="AM39" i="465"/>
  <c r="AM46" i="465"/>
  <c r="AM40" i="465"/>
  <c r="AM41" i="465"/>
  <c r="AE41" i="465"/>
  <c r="AE39" i="465"/>
  <c r="AE40" i="465"/>
  <c r="AE42" i="465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N12" i="468" l="1"/>
  <c r="BR38" i="468"/>
  <c r="BJ43" i="468"/>
  <c r="BJ57" i="468"/>
  <c r="BR36" i="468"/>
  <c r="BJ40" i="468"/>
  <c r="BJ38" i="468"/>
  <c r="BJ42" i="468"/>
  <c r="BJ39" i="468"/>
  <c r="BN14" i="468"/>
  <c r="BJ22" i="468"/>
  <c r="BJ16" i="468"/>
  <c r="BJ18" i="468"/>
  <c r="BJ20" i="468"/>
  <c r="BJ19" i="468"/>
  <c r="BJ17" i="468"/>
  <c r="BJ21" i="468"/>
  <c r="J37" i="468"/>
  <c r="H39" i="468"/>
  <c r="BR14" i="468" s="1"/>
  <c r="BJ48" i="468"/>
  <c r="BJ47" i="468"/>
  <c r="BJ46" i="468"/>
  <c r="BR18" i="468"/>
  <c r="BJ45" i="468"/>
  <c r="BN9" i="468"/>
  <c r="BJ44" i="468"/>
  <c r="BJ53" i="468"/>
  <c r="BJ51" i="468"/>
  <c r="BJ52" i="468"/>
  <c r="BJ50" i="468"/>
  <c r="BR22" i="468"/>
  <c r="BN10" i="468"/>
  <c r="BR23" i="468"/>
  <c r="H28" i="468"/>
  <c r="H42" i="468"/>
  <c r="BR21" i="468" s="1"/>
  <c r="BJ59" i="468"/>
  <c r="BR45" i="468"/>
  <c r="BR44" i="468"/>
  <c r="BR43" i="468"/>
  <c r="BR47" i="468"/>
  <c r="BR46" i="468"/>
  <c r="BN13" i="468"/>
  <c r="BR37" i="468"/>
  <c r="BJ41" i="468"/>
  <c r="BJ55" i="468"/>
  <c r="BJ56" i="468"/>
  <c r="BJ54" i="468"/>
  <c r="BR29" i="468"/>
  <c r="BR28" i="468"/>
  <c r="BR30" i="468"/>
  <c r="BN11" i="468"/>
  <c r="BJ58" i="468"/>
  <c r="H41" i="468"/>
  <c r="BR16" i="468" s="1"/>
  <c r="BN8" i="468"/>
  <c r="J23" i="468"/>
  <c r="H25" i="468"/>
  <c r="H27" i="468"/>
  <c r="H40" i="468"/>
  <c r="L23" i="467"/>
  <c r="AS23" i="467"/>
  <c r="AS22" i="467" s="1"/>
  <c r="AS37" i="467"/>
  <c r="AS36" i="467" s="1"/>
  <c r="J25" i="467"/>
  <c r="H27" i="467" s="1"/>
  <c r="H48" i="467"/>
  <c r="H32" i="467"/>
  <c r="H44" i="467"/>
  <c r="H31" i="467"/>
  <c r="H29" i="467"/>
  <c r="H45" i="467"/>
  <c r="H43" i="467"/>
  <c r="H34" i="467"/>
  <c r="H33" i="467"/>
  <c r="H35" i="467"/>
  <c r="H49" i="467"/>
  <c r="H47" i="467"/>
  <c r="H46" i="467"/>
  <c r="J39" i="467"/>
  <c r="H42" i="467" s="1"/>
  <c r="H30" i="467"/>
  <c r="AS23" i="465"/>
  <c r="AI37" i="465"/>
  <c r="AE37" i="465"/>
  <c r="AO37" i="465"/>
  <c r="AM37" i="465"/>
  <c r="AK37" i="465"/>
  <c r="AQ37" i="465"/>
  <c r="AG37" i="465"/>
  <c r="H29" i="465"/>
  <c r="H31" i="465"/>
  <c r="H30" i="465"/>
  <c r="H32" i="465"/>
  <c r="H34" i="465"/>
  <c r="H35" i="465"/>
  <c r="AS46" i="465"/>
  <c r="AS43" i="465"/>
  <c r="J43" i="465" s="1"/>
  <c r="AS45" i="465"/>
  <c r="J45" i="465" s="1"/>
  <c r="AS39" i="465"/>
  <c r="J39" i="465" s="1"/>
  <c r="AS40" i="465"/>
  <c r="J40" i="465" s="1"/>
  <c r="AS48" i="465"/>
  <c r="J48" i="465" s="1"/>
  <c r="AS44" i="465"/>
  <c r="J44" i="465" s="1"/>
  <c r="AS47" i="465"/>
  <c r="J47" i="465" s="1"/>
  <c r="AS42" i="465"/>
  <c r="J42" i="465" s="1"/>
  <c r="AS49" i="465"/>
  <c r="J49" i="465" s="1"/>
  <c r="AS41" i="465"/>
  <c r="J41" i="465" s="1"/>
  <c r="H33" i="465"/>
  <c r="J25" i="465"/>
  <c r="J46" i="465"/>
  <c r="Y37" i="465"/>
  <c r="AS22" i="465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R24" i="468" l="1"/>
  <c r="BR39" i="468"/>
  <c r="BJ49" i="468"/>
  <c r="BR27" i="468"/>
  <c r="BR42" i="468"/>
  <c r="BR11" i="468"/>
  <c r="BR32" i="468"/>
  <c r="BR26" i="468"/>
  <c r="BR25" i="468"/>
  <c r="BJ35" i="468"/>
  <c r="BJ33" i="468"/>
  <c r="BJ37" i="468"/>
  <c r="BJ36" i="468"/>
  <c r="BJ32" i="468"/>
  <c r="BJ31" i="468"/>
  <c r="BN7" i="468"/>
  <c r="BJ34" i="468"/>
  <c r="BR9" i="468"/>
  <c r="BR7" i="468"/>
  <c r="BR8" i="468"/>
  <c r="BR19" i="468"/>
  <c r="BR15" i="468"/>
  <c r="BR4" i="468"/>
  <c r="BJ30" i="468"/>
  <c r="BJ26" i="468"/>
  <c r="BJ29" i="468"/>
  <c r="BJ23" i="468"/>
  <c r="BJ25" i="468"/>
  <c r="BJ28" i="468"/>
  <c r="BR5" i="468"/>
  <c r="BJ24" i="468"/>
  <c r="BR6" i="468"/>
  <c r="BJ27" i="468"/>
  <c r="BN6" i="468"/>
  <c r="BR12" i="468"/>
  <c r="BR33" i="468"/>
  <c r="BR40" i="468"/>
  <c r="BR20" i="468"/>
  <c r="BN5" i="468"/>
  <c r="BJ14" i="468"/>
  <c r="H23" i="468"/>
  <c r="BJ12" i="468"/>
  <c r="BJ11" i="468"/>
  <c r="BJ4" i="468"/>
  <c r="BJ6" i="468"/>
  <c r="BJ10" i="468"/>
  <c r="BJ13" i="468"/>
  <c r="BJ9" i="468"/>
  <c r="BJ7" i="468"/>
  <c r="BJ8" i="468"/>
  <c r="BJ5" i="468"/>
  <c r="BN4" i="468"/>
  <c r="BR41" i="468"/>
  <c r="BR34" i="468"/>
  <c r="BR13" i="468"/>
  <c r="BR17" i="468"/>
  <c r="H37" i="468"/>
  <c r="BR10" i="468"/>
  <c r="BR31" i="468"/>
  <c r="BJ15" i="468"/>
  <c r="H28" i="467"/>
  <c r="BJ36" i="467" s="1"/>
  <c r="H26" i="467"/>
  <c r="BJ21" i="467" s="1"/>
  <c r="H25" i="467"/>
  <c r="BJ8" i="467" s="1"/>
  <c r="J23" i="467"/>
  <c r="BJ53" i="467"/>
  <c r="BN10" i="467"/>
  <c r="BJ55" i="467"/>
  <c r="BJ50" i="467"/>
  <c r="BJ26" i="467"/>
  <c r="BR22" i="467"/>
  <c r="BR29" i="467"/>
  <c r="BJ52" i="467"/>
  <c r="BN14" i="467"/>
  <c r="BJ20" i="467"/>
  <c r="BR23" i="467"/>
  <c r="BJ25" i="467"/>
  <c r="BJ29" i="467"/>
  <c r="BR21" i="467"/>
  <c r="BJ15" i="467"/>
  <c r="BR27" i="467"/>
  <c r="BJ23" i="467"/>
  <c r="BJ59" i="467"/>
  <c r="BR45" i="467"/>
  <c r="BR44" i="467"/>
  <c r="BR43" i="467"/>
  <c r="BR47" i="467"/>
  <c r="BR42" i="467"/>
  <c r="BR46" i="467"/>
  <c r="BN13" i="467"/>
  <c r="BN11" i="467"/>
  <c r="BJ54" i="467"/>
  <c r="BJ39" i="467"/>
  <c r="BJ42" i="467"/>
  <c r="BJ41" i="467"/>
  <c r="BJ40" i="467"/>
  <c r="BJ38" i="467"/>
  <c r="BJ43" i="467"/>
  <c r="BN8" i="467"/>
  <c r="BR13" i="467"/>
  <c r="H41" i="467"/>
  <c r="BR12" i="467" s="1"/>
  <c r="BJ57" i="467"/>
  <c r="BR38" i="467"/>
  <c r="BR37" i="467"/>
  <c r="BR36" i="467"/>
  <c r="BR34" i="467"/>
  <c r="BJ58" i="467"/>
  <c r="BR35" i="467"/>
  <c r="BN12" i="467"/>
  <c r="BJ24" i="467"/>
  <c r="BJ56" i="467"/>
  <c r="BJ35" i="467"/>
  <c r="BJ32" i="467"/>
  <c r="BN7" i="467"/>
  <c r="BJ48" i="467"/>
  <c r="BJ47" i="467"/>
  <c r="BJ46" i="467"/>
  <c r="BR18" i="467"/>
  <c r="BJ45" i="467"/>
  <c r="BN9" i="467"/>
  <c r="BJ44" i="467"/>
  <c r="BR17" i="467"/>
  <c r="BJ28" i="467"/>
  <c r="BJ19" i="467"/>
  <c r="BJ16" i="467"/>
  <c r="BR30" i="467"/>
  <c r="BR28" i="467"/>
  <c r="BJ51" i="467"/>
  <c r="J37" i="467"/>
  <c r="H39" i="467"/>
  <c r="BJ27" i="467"/>
  <c r="BJ30" i="467"/>
  <c r="BJ22" i="467"/>
  <c r="H40" i="467"/>
  <c r="AS37" i="465"/>
  <c r="AS36" i="465" s="1"/>
  <c r="H40" i="465"/>
  <c r="BR11" i="465" s="1"/>
  <c r="H41" i="465"/>
  <c r="BR12" i="465" s="1"/>
  <c r="H44" i="465"/>
  <c r="BJ38" i="465" s="1"/>
  <c r="H45" i="465"/>
  <c r="BJ39" i="465" s="1"/>
  <c r="H43" i="465"/>
  <c r="BN8" i="465" s="1"/>
  <c r="H42" i="465"/>
  <c r="BR13" i="465" s="1"/>
  <c r="H47" i="465"/>
  <c r="BJ41" i="465" s="1"/>
  <c r="J23" i="465"/>
  <c r="H25" i="465"/>
  <c r="H49" i="465"/>
  <c r="BJ43" i="465" s="1"/>
  <c r="BR40" i="465"/>
  <c r="H27" i="465"/>
  <c r="BR32" i="465"/>
  <c r="BR35" i="465"/>
  <c r="BR15" i="465"/>
  <c r="J37" i="465"/>
  <c r="H39" i="465"/>
  <c r="BJ49" i="465" s="1"/>
  <c r="H48" i="465"/>
  <c r="BJ42" i="465" s="1"/>
  <c r="BR28" i="465"/>
  <c r="H46" i="465"/>
  <c r="BJ40" i="465" s="1"/>
  <c r="H26" i="465"/>
  <c r="H28" i="465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7" i="468" l="1"/>
  <c r="B39" i="468"/>
  <c r="B38" i="468"/>
  <c r="BJ37" i="467"/>
  <c r="BJ31" i="467"/>
  <c r="BR16" i="467"/>
  <c r="BJ33" i="467"/>
  <c r="BJ34" i="467"/>
  <c r="BJ17" i="467"/>
  <c r="BJ18" i="467"/>
  <c r="BJ6" i="467"/>
  <c r="BJ11" i="467"/>
  <c r="BJ12" i="467"/>
  <c r="H23" i="467"/>
  <c r="BJ10" i="467"/>
  <c r="BJ7" i="467"/>
  <c r="BJ13" i="467"/>
  <c r="BJ9" i="467"/>
  <c r="BJ5" i="467"/>
  <c r="BR9" i="467"/>
  <c r="BR33" i="467"/>
  <c r="BN5" i="467"/>
  <c r="BR6" i="467"/>
  <c r="BR25" i="467"/>
  <c r="BR19" i="467"/>
  <c r="H37" i="467"/>
  <c r="BR24" i="467"/>
  <c r="BJ49" i="467"/>
  <c r="BR4" i="467"/>
  <c r="BR5" i="467"/>
  <c r="BR7" i="467"/>
  <c r="BR32" i="467"/>
  <c r="BJ4" i="467"/>
  <c r="BR15" i="467"/>
  <c r="BR39" i="467"/>
  <c r="BR14" i="467"/>
  <c r="BR10" i="467"/>
  <c r="BR40" i="467"/>
  <c r="BN4" i="467"/>
  <c r="BR8" i="467"/>
  <c r="BR31" i="467"/>
  <c r="BR20" i="467"/>
  <c r="BR26" i="467"/>
  <c r="BJ14" i="467"/>
  <c r="BN6" i="467"/>
  <c r="BR11" i="467"/>
  <c r="BR41" i="467"/>
  <c r="BR22" i="465"/>
  <c r="BR19" i="465"/>
  <c r="BR25" i="465"/>
  <c r="BR18" i="465"/>
  <c r="BR43" i="465"/>
  <c r="BR29" i="465"/>
  <c r="BJ46" i="465"/>
  <c r="BJ54" i="465"/>
  <c r="BR47" i="465"/>
  <c r="BN9" i="465"/>
  <c r="BR23" i="465"/>
  <c r="BJ51" i="465"/>
  <c r="BR36" i="465"/>
  <c r="BR44" i="465"/>
  <c r="BJ53" i="465"/>
  <c r="BR17" i="465"/>
  <c r="BR33" i="465"/>
  <c r="BR20" i="465"/>
  <c r="BR26" i="465"/>
  <c r="BR16" i="465"/>
  <c r="BR41" i="465"/>
  <c r="BR21" i="465"/>
  <c r="BR27" i="465"/>
  <c r="BR42" i="465"/>
  <c r="BJ56" i="465"/>
  <c r="BJ52" i="465"/>
  <c r="BJ44" i="465"/>
  <c r="BJ58" i="465"/>
  <c r="BN14" i="465"/>
  <c r="BR45" i="465"/>
  <c r="BN10" i="465"/>
  <c r="BJ48" i="465"/>
  <c r="BR37" i="465"/>
  <c r="BR30" i="465"/>
  <c r="BN12" i="465"/>
  <c r="BR34" i="465"/>
  <c r="H37" i="465"/>
  <c r="BR10" i="465"/>
  <c r="BR14" i="465"/>
  <c r="BR31" i="465"/>
  <c r="BJ30" i="465"/>
  <c r="BJ26" i="465"/>
  <c r="BJ29" i="465"/>
  <c r="BJ23" i="465"/>
  <c r="BJ25" i="465"/>
  <c r="BJ28" i="465"/>
  <c r="BJ24" i="465"/>
  <c r="BN6" i="465"/>
  <c r="BR5" i="465"/>
  <c r="BJ27" i="465"/>
  <c r="BR6" i="465"/>
  <c r="BJ35" i="465"/>
  <c r="BJ33" i="465"/>
  <c r="BJ37" i="465"/>
  <c r="BJ36" i="465"/>
  <c r="BJ32" i="465"/>
  <c r="BJ31" i="465"/>
  <c r="BR8" i="465"/>
  <c r="BJ34" i="465"/>
  <c r="BN7" i="465"/>
  <c r="BR9" i="465"/>
  <c r="BR7" i="465"/>
  <c r="BJ55" i="465"/>
  <c r="BN13" i="465"/>
  <c r="BR39" i="465"/>
  <c r="H23" i="465"/>
  <c r="BJ12" i="465"/>
  <c r="BJ10" i="465"/>
  <c r="BJ8" i="465"/>
  <c r="BJ5" i="465"/>
  <c r="BN4" i="465"/>
  <c r="BJ4" i="465"/>
  <c r="BJ13" i="465"/>
  <c r="BJ11" i="465"/>
  <c r="BJ9" i="465"/>
  <c r="BJ6" i="465"/>
  <c r="BJ7" i="465"/>
  <c r="BJ22" i="465"/>
  <c r="BJ16" i="465"/>
  <c r="BJ14" i="465"/>
  <c r="BJ18" i="465"/>
  <c r="BJ20" i="465"/>
  <c r="BJ19" i="465"/>
  <c r="BJ17" i="465"/>
  <c r="BJ21" i="465"/>
  <c r="BN5" i="465"/>
  <c r="BR4" i="465"/>
  <c r="BJ15" i="465"/>
  <c r="BJ50" i="465"/>
  <c r="BR24" i="465"/>
  <c r="BR38" i="465"/>
  <c r="BR46" i="465"/>
  <c r="BN11" i="465"/>
  <c r="BJ45" i="465"/>
  <c r="BJ47" i="465"/>
  <c r="BJ57" i="465"/>
  <c r="BJ59" i="465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68" l="1"/>
  <c r="B38" i="467"/>
  <c r="B39" i="467"/>
  <c r="B37" i="467"/>
  <c r="B39" i="465"/>
  <c r="B37" i="465"/>
  <c r="B38" i="465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B36" i="467" l="1"/>
  <c r="B36" i="46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<sst xmlns="http://schemas.openxmlformats.org/spreadsheetml/2006/main" count="1549" uniqueCount="324">
  <si>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</si>
  <si>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</si>
  <si>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</si>
  <si>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</si>
  <si>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</si>
  <si>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</si>
  <si>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</si>
  <si>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</si>
  <si>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</si>
  <si>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</si>
  <si>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</si>
  <si>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</si>
  <si>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</si>
  <si>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</si>
  <si>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</si>
  <si>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</si>
  <si>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</si>
  <si>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</si>
  <si>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</si>
  <si>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</si>
  <si>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</si>
  <si>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</si>
  <si>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</si>
  <si>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</si>
  <si>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</si>
  <si>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</si>
  <si>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</si>
  <si>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</si>
  <si>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</si>
  <si>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</si>
  <si>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</si>
  <si>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</si>
  <si>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</si>
  <si>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</si>
  <si>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</si>
  <si>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</si>
  <si>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</si>
  <si>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</si>
  <si>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</si>
  <si>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</si>
  <si>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</si>
  <si>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</si>
  <si>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</si>
  <si>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</si>
  <si>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</si>
  <si>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</si>
  <si>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</si>
  <si>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</si>
  <si>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</si>
  <si>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</si>
  <si>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</si>
  <si>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</si>
  <si>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</si>
  <si>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</si>
  <si>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</si>
  <si>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</si>
  <si>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</si>
  <si>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</si>
  <si>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</si>
  <si>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</si>
  <si>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</si>
  <si>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</si>
  <si>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</si>
  <si>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</si>
  <si>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</si>
  <si>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</si>
  <si>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</si>
  <si>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</si>
  <si>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</si>
  <si>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</si>
  <si>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</si>
  <si>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</si>
  <si>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</si>
  <si>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</si>
  <si>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</si>
  <si>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</si>
  <si>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</si>
  <si>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</si>
  <si>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</si>
  <si>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</si>
  <si>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</si>
  <si>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</si>
  <si>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</si>
  <si>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</si>
  <si>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</si>
  <si>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</si>
  <si>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</si>
  <si>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</si>
  <si>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</si>
  <si>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</si>
  <si>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</si>
  <si>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</si>
  <si>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</si>
  <si>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</si>
  <si>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</si>
  <si>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</si>
  <si>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</si>
  <si>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</si>
  <si>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</si>
  <si>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</si>
  <si>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</si>
  <si>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</si>
  <si>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</si>
  <si>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</si>
  <si>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</si>
  <si>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</si>
  <si>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</si>
  <si>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</si>
  <si>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</si>
  <si>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</si>
  <si>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</si>
  <si>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</si>
  <si>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</si>
  <si>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</si>
  <si>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</si>
  <si>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</si>
  <si>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</si>
  <si>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</si>
  <si>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</si>
  <si>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</si>
  <si>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</si>
  <si>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</si>
  <si>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</si>
  <si>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</si>
  <si>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</si>
  <si>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</si>
  <si>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</si>
  <si>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</si>
  <si>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</si>
  <si>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</si>
  <si>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</si>
  <si>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</si>
  <si>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</si>
  <si>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</si>
  <si>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</si>
  <si>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</si>
  <si>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</si>
  <si>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</si>
  <si>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</si>
  <si>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</si>
  <si>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</si>
  <si>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</si>
  <si>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</si>
  <si>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</si>
  <si>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</si>
  <si>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</si>
  <si>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</si>
  <si>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</si>
  <si>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</si>
  <si>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</si>
  <si>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Marmota</t>
  </si>
  <si>
    <t>VADER</t>
  </si>
  <si>
    <t xml:space="preserve"> 29 jugadors</t>
  </si>
  <si>
    <t xml:space="preserve">1. Diego Perales </t>
  </si>
  <si>
    <t>32 anys i 42 dies</t>
  </si>
  <si>
    <t>Té un TSI de 54 420 i un sou de 18 610 € a la setmana</t>
  </si>
  <si>
    <t>Té forma acceptable i resistència notable [Joc aeri]</t>
  </si>
  <si>
    <t>Té un nivell brillant d'experiència, pobre de lideratge</t>
  </si>
  <si>
    <t>Té un nivell de fidelitat diví</t>
  </si>
  <si>
    <t>*******+-+b*b   (Porter)</t>
  </si>
  <si>
    <t>7. Eriq Föhrweiser-Budewig  [1 amonestació acumulada]</t>
  </si>
  <si>
    <t>35 anys i 24 dies</t>
  </si>
  <si>
    <t>Té un TSI de 23 640 i un sou de 10 104 € a la setmana</t>
  </si>
  <si>
    <t>Té forma notable i resistència acceptable [Ràpid]</t>
  </si>
  <si>
    <t>Té un nivell extraterrestre d'experiència, insuficient de lideratge</t>
  </si>
  <si>
    <t>*******b*b+b   (Extrem)</t>
  </si>
  <si>
    <t>14. Ernestas Liubavicius  [2 amonestacions acumulades]</t>
  </si>
  <si>
    <t>35 anys i 26 dies</t>
  </si>
  <si>
    <t>Té un TSI de 15 430 i un sou de 10 284 € a la setmana</t>
  </si>
  <si>
    <t>Té forma notable i resistència acceptable [Joc aeri]</t>
  </si>
  <si>
    <t>Té un nivell brillant d'experiència, dèbil de lideratge</t>
  </si>
  <si>
    <t>********b+b   (Mig centre)</t>
  </si>
  <si>
    <t xml:space="preserve">19. Fernando Muñoz </t>
  </si>
  <si>
    <t>34 anys i 56 dies</t>
  </si>
  <si>
    <t>Té un TSI de 19 910 i un sou de 8 532 € a la setmana</t>
  </si>
  <si>
    <t>Té forma acceptable i resistència notable [Imprevisible]</t>
  </si>
  <si>
    <t>Té un nivell magnífic d'experiència, dèbil de lideratge</t>
  </si>
  <si>
    <t>*******+-+b*b+b   (Davanter)</t>
  </si>
  <si>
    <t xml:space="preserve">22. Francesco Pintus </t>
  </si>
  <si>
    <t>36 anys i 68 dies</t>
  </si>
  <si>
    <t>Té un TSI de 5 090 i un sou de 2 436 € a la setmana</t>
  </si>
  <si>
    <t>Té forma acceptable i resistència insuficient [Joc aeri]</t>
  </si>
  <si>
    <t>Té un nivell classe mundial d'experiència, dèbil de lideratge</t>
  </si>
  <si>
    <t>********   (Defensa lateral)</t>
  </si>
  <si>
    <t>11. Francesco Scioli  [2 amonestacions acumulades]</t>
  </si>
  <si>
    <t>35 anys i 11 dies</t>
  </si>
  <si>
    <t>Té un TSI de 24 460 i un sou de 13 332 € a la setmana</t>
  </si>
  <si>
    <t>Té un nivell sobrenatural d'experiència, insuficient de lideratge</t>
  </si>
  <si>
    <t>********b*b   (Mig centre)</t>
  </si>
  <si>
    <t xml:space="preserve">10. Gábor Török </t>
  </si>
  <si>
    <t>35 anys i 17 dies</t>
  </si>
  <si>
    <t>Té un TSI de 23 830 i un sou de 11 892 € a la setmana</t>
  </si>
  <si>
    <t>Té forma insuficient i resistència acceptable [Imprevisible]</t>
  </si>
  <si>
    <t>Té un nivell extraterrestre d'experiència, horrible de lideratge</t>
  </si>
  <si>
    <t>*******b+b   (Extrem)</t>
  </si>
  <si>
    <t>6. Gualtiero Prestandrea  [2 amonestacions acumulades]</t>
  </si>
  <si>
    <t>35 anys i 19 dies</t>
  </si>
  <si>
    <t>Té un TSI de 10 360 i un sou de 12 816 € a la setmana</t>
  </si>
  <si>
    <t>Té forma horrible i resistència acceptable [Imprevisible]</t>
  </si>
  <si>
    <t>Té un nivell sobrenatural d'experiència, dèbil de lideratge</t>
  </si>
  <si>
    <t>***+-+b+b   (Mig centre)</t>
  </si>
  <si>
    <t>4. Igor Alexander Gronau  [1 amonestació acumulada]</t>
  </si>
  <si>
    <t>37 anys i 6 dies</t>
  </si>
  <si>
    <t>Té un TSI de 6 080 i un sou de 1 080 € a la setmana</t>
  </si>
  <si>
    <t>Té forma insuficient i resistència acceptable [Joc aeri]</t>
  </si>
  <si>
    <t>Té un nivell extraterrestre d'experiència, acceptable de lideratge</t>
  </si>
  <si>
    <t>****+-+b*b   (Defensa lateral)</t>
  </si>
  <si>
    <t>5. Mathias Daucher  [1 amonestació acumulada]</t>
  </si>
  <si>
    <t>32 anys i 76 dies</t>
  </si>
  <si>
    <t>Té un TSI de 134 500 i un sou de 22 152 € a la setmana</t>
  </si>
  <si>
    <t>Té forma notable i resistència notable</t>
  </si>
  <si>
    <t>*******+-+b+b   (Defensa central)</t>
  </si>
  <si>
    <t xml:space="preserve">3. Olli-Heikki Miettinen </t>
  </si>
  <si>
    <t>36 anys i 13 dies</t>
  </si>
  <si>
    <t>Té un TSI de 13 530 i un sou de 3 216 € a la setmana</t>
  </si>
  <si>
    <t>********b+b   (Defensa lateral)</t>
  </si>
  <si>
    <t>9. Vladan Bojanic  [1 amonestació acumulada]</t>
  </si>
  <si>
    <t>36 anys i 9 dies</t>
  </si>
  <si>
    <t>Té un TSI de 5 510 i un sou de 1 092 € a la setmana</t>
  </si>
  <si>
    <t>Té forma acceptable i resistència acceptable [Imprevisible]</t>
  </si>
  <si>
    <t>Té un nivell sobrenatural d'experiència, pobre de lideratge</t>
  </si>
  <si>
    <t>*****+-+b*b+b   (Davanter)</t>
  </si>
  <si>
    <t xml:space="preserve">8. Andriy Kanavets </t>
  </si>
  <si>
    <t>34 anys i 110 dies</t>
  </si>
  <si>
    <t>Té un TSI de 16 450 i un sou de 19 296 € a la setmana</t>
  </si>
  <si>
    <t>Té forma pobre i resistència insuficient [Joc aeri]</t>
  </si>
  <si>
    <t>******+-+b*b   (Mig centre)</t>
  </si>
  <si>
    <t xml:space="preserve">12. Alexey Chunarev </t>
  </si>
  <si>
    <t>33 anys i 93 dies</t>
  </si>
  <si>
    <t>Té un TSI de 23 800 i un sou de 31 020 € a la setmana</t>
  </si>
  <si>
    <t>Té forma horrible i resistència acceptable [Tècnic]</t>
  </si>
  <si>
    <t>Té un nivell excel·lent d'experiència, horrible de lideratge</t>
  </si>
  <si>
    <t>Té un nivell de fidelitat extraterrestre</t>
  </si>
  <si>
    <t>********+b   (Defensa central)</t>
  </si>
  <si>
    <t xml:space="preserve">20. Andrzej Betcher </t>
  </si>
  <si>
    <t>37 anys i 85 dies</t>
  </si>
  <si>
    <t>Té un TSI de 3 190 i un sou de 984 € a la setmana</t>
  </si>
  <si>
    <t>Té forma dèbil i resistència dèbil [Joc aeri]</t>
  </si>
  <si>
    <t>*****b+b   (Defensa lateral)</t>
  </si>
  <si>
    <t xml:space="preserve">13. Cai Horst </t>
  </si>
  <si>
    <t>36 anys i 26 dies</t>
  </si>
  <si>
    <t>Té un TSI de 2 960 i un sou de 1 884 € a la setmana</t>
  </si>
  <si>
    <t>Té forma desastrós i resistència dèbil</t>
  </si>
  <si>
    <t>Té un nivell formidable d'experiència, pobre de lideratge</t>
  </si>
  <si>
    <t>*****+-+b*b   (Porter)</t>
  </si>
  <si>
    <t xml:space="preserve">15. Dani Pairés </t>
  </si>
  <si>
    <t>38 anys i 19 dies</t>
  </si>
  <si>
    <t>Té un TSI de 2 240 i un sou de 660 € a la setmana</t>
  </si>
  <si>
    <t>Té forma pobre i resistència pobre</t>
  </si>
  <si>
    <t>******b*b   (Extrem)</t>
  </si>
  <si>
    <t xml:space="preserve">21. Nigel Salmon </t>
  </si>
  <si>
    <t>29 anys i 81 dies</t>
  </si>
  <si>
    <t>Té un TSI de 80 130 i un sou de 35 892 € a la setmana</t>
  </si>
  <si>
    <t>Té forma pobre i resistència notable [Tècnic]</t>
  </si>
  <si>
    <t>Té un nivell notable d'experiència, desastrós de lideratge</t>
  </si>
  <si>
    <t>Té un nivell de fidelitat classe mundial</t>
  </si>
  <si>
    <t>*********+r   (Davanter)</t>
  </si>
  <si>
    <t xml:space="preserve">16. Radoslaw Szydlowski </t>
  </si>
  <si>
    <t>39 anys i 22 dies</t>
  </si>
  <si>
    <t>Té un TSI de 430 i un sou de 408 € a la setmana</t>
  </si>
  <si>
    <t>Té forma horrible i resistència pobre [Joc aeri]</t>
  </si>
  <si>
    <t>*****b*b   (Extrem)</t>
  </si>
  <si>
    <t xml:space="preserve">17. Robin Wälli </t>
  </si>
  <si>
    <t>33 anys i 101 dies</t>
  </si>
  <si>
    <t>Té un TSI de 26 420 i un sou de 27 336 € a la setmana</t>
  </si>
  <si>
    <t>Té forma dèbil i resistència acceptable [Joc aeri]</t>
  </si>
  <si>
    <t>Té un nivell notable d'experiència, insuficient de lideratge</t>
  </si>
  <si>
    <t>*******+-+b+b   (Mig centre)</t>
  </si>
  <si>
    <t xml:space="preserve">25. Sasha Troia </t>
  </si>
  <si>
    <t>35 anys i 77 dies</t>
  </si>
  <si>
    <t>Té un TSI de 90 i un sou de 396 € a la setmana</t>
  </si>
  <si>
    <t>Té forma dèbil i resistència insuficient</t>
  </si>
  <si>
    <t>Té un nivell pobre d'experiència, dèbil de lideratge</t>
  </si>
  <si>
    <t>***b   (Mig centre)</t>
  </si>
  <si>
    <t xml:space="preserve">2. Sergio Gramatica </t>
  </si>
  <si>
    <t>38 anys i 97 dies</t>
  </si>
  <si>
    <t>Té un TSI de 1 330 i un sou de 816 € a la setmana</t>
  </si>
  <si>
    <t>Té forma dèbil i resistència pobre [Joc aeri]</t>
  </si>
  <si>
    <t>Té un nivell titànic d'experiència, acceptable de lideratge</t>
  </si>
  <si>
    <t>*******+   (Defensa lateral)</t>
  </si>
  <si>
    <t xml:space="preserve">18. Tezozómoc Arciniega </t>
  </si>
  <si>
    <t>36 anys i 110 dies</t>
  </si>
  <si>
    <t>Té un TSI de 1 450 i un sou de 1 092 € a la setmana</t>
  </si>
  <si>
    <t>Té forma dèbil i resistència dèbil [Tècnic]</t>
  </si>
  <si>
    <t>Té un nivell classe mundial d'experiència, insuficient de lideratge</t>
  </si>
  <si>
    <t>*****+-+b*b*b   (Davanter)</t>
  </si>
  <si>
    <t xml:space="preserve">Ratilo Brauser </t>
  </si>
  <si>
    <t>35 anys i 71 dies</t>
  </si>
  <si>
    <t>Té un TSI de 70 i un sou de 336 € a la setmana</t>
  </si>
  <si>
    <t>Té forma pobre i resistència insuficient [Tècnic]</t>
  </si>
  <si>
    <t>Té un nivell dèbil d'experiència, dèbil de lideratge</t>
  </si>
  <si>
    <t>*+   (Defensa central)</t>
  </si>
  <si>
    <t xml:space="preserve">Vlad Vasile </t>
  </si>
  <si>
    <t>34 anys i 67 dies</t>
  </si>
  <si>
    <t>Té un TSI de 80 i un sou de 396 € a la setmana</t>
  </si>
  <si>
    <t>Té un nivell pobre d'experiència, notable de lideratge</t>
  </si>
  <si>
    <t>*+-+b   (Defensa central)</t>
  </si>
  <si>
    <t xml:space="preserve">Davy Vijgen </t>
  </si>
  <si>
    <t>35 anys i 13 dies</t>
  </si>
  <si>
    <t>Té un TSI de 100 i un sou de 324 € a la setmana</t>
  </si>
  <si>
    <t>Té un nivell dèbil d'experiència, acceptable de lideratge</t>
  </si>
  <si>
    <t>**+b   (Defensa central)</t>
  </si>
  <si>
    <t>Alfonso García de Toledo  [Bonificació per club d'origen]</t>
  </si>
  <si>
    <t>26 anys i 18 dies</t>
  </si>
  <si>
    <t>Té un TSI de 680 i un sou de 270 € a la setmana</t>
  </si>
  <si>
    <t>Té forma insuficient i resistència notable [Tècnic]</t>
  </si>
  <si>
    <t>Té un nivell pobre d'experiència, pobre de lideratge</t>
  </si>
  <si>
    <t>****+b   (Davanter)</t>
  </si>
  <si>
    <t>Juan Antonio Sáinz  [Bonificació per club d'origen]</t>
  </si>
  <si>
    <t>22 anys i 6 dies</t>
  </si>
  <si>
    <t>Té un TSI de 290 i un sou de 310 € a la setmana</t>
  </si>
  <si>
    <t>Té forma dèbil i resistència excel·lent [Imprevisible]</t>
  </si>
  <si>
    <t>Té un nivell horrible d'experiència, pobre de lideratge</t>
  </si>
  <si>
    <t>**   (Extrem)</t>
  </si>
  <si>
    <t>Zenón Galvis  [Bonificació per club d'origen]</t>
  </si>
  <si>
    <t>28 anys i 88 dies</t>
  </si>
  <si>
    <t>Té un TSI de 260 i un sou de 290 € a la setmana</t>
  </si>
  <si>
    <t>Té forma horrible i resistència notable</t>
  </si>
  <si>
    <t>Té un nivell horrible d'experiència, desastrós de lideratge</t>
  </si>
  <si>
    <t>**   (Defensa central)</t>
  </si>
  <si>
    <t>Future</t>
  </si>
  <si>
    <t>TL</t>
  </si>
  <si>
    <t>Orienteers</t>
  </si>
  <si>
    <t>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</si>
</sst>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'Marmota-VADER'!$G$25:$G$35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'Marmota-VADER'!$H$25:$H$35</c:f>
              <c:numCache>
                <c:formatCode>0.0%</c:formatCode>
                <c:ptCount val="11"/>
                <c:pt idx="0">
                  <c:v>6.8612772326054922E-2</c:v>
                </c:pt>
                <c:pt idx="1">
                  <c:v>0.20686247267775548</c:v>
                </c:pt>
                <c:pt idx="2">
                  <c:v>0.28314745179590095</c:v>
                </c:pt>
                <c:pt idx="3">
                  <c:v>0.23478948459689139</c:v>
                </c:pt>
                <c:pt idx="4">
                  <c:v>0.1322986404672595</c:v>
                </c:pt>
                <c:pt idx="5">
                  <c:v>5.369669280111701E-2</c:v>
                </c:pt>
                <c:pt idx="6">
                  <c:v>1.6193006430290147E-2</c:v>
                </c:pt>
                <c:pt idx="7">
                  <c:v>3.6799629748153271E-3</c:v>
                </c:pt>
                <c:pt idx="8">
                  <c:v>6.3090167685434233E-4</c:v>
                </c:pt>
                <c:pt idx="9">
                  <c:v>8.0644369874714687E-5</c:v>
                </c:pt>
                <c:pt idx="10">
                  <c:v>7.4746606963025232E-6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'Marmota-VADER'!$H$39:$H$49</c:f>
              <c:numCache>
                <c:formatCode>0.0%</c:formatCode>
                <c:ptCount val="11"/>
                <c:pt idx="0">
                  <c:v>3.4119755518289704E-2</c:v>
                </c:pt>
                <c:pt idx="1">
                  <c:v>0.13201636433701228</c:v>
                </c:pt>
                <c:pt idx="2">
                  <c:v>0.23507698701714813</c:v>
                </c:pt>
                <c:pt idx="3">
                  <c:v>0.25522666861030896</c:v>
                </c:pt>
                <c:pt idx="4">
                  <c:v>0.18866328746430425</c:v>
                </c:pt>
                <c:pt idx="5">
                  <c:v>0.10038247575520499</c:v>
                </c:pt>
                <c:pt idx="6">
                  <c:v>3.9613959554534492E-2</c:v>
                </c:pt>
                <c:pt idx="7">
                  <c:v>1.1763964577533233E-2</c:v>
                </c:pt>
                <c:pt idx="8">
                  <c:v>2.6359978487499442E-3</c:v>
                </c:pt>
                <c:pt idx="9">
                  <c:v>4.4168170757316323E-4</c:v>
                </c:pt>
                <c:pt idx="10">
                  <c:v>5.4017587400318064E-5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22288"/>
        <c:axId val="291823856"/>
      </c:lineChart>
      <c:catAx>
        <c:axId val="29182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823856"/>
        <c:crosses val="autoZero"/>
        <c:auto val="1"/>
        <c:lblAlgn val="ctr"/>
        <c:lblOffset val="100"/>
        <c:noMultiLvlLbl val="0"/>
      </c:catAx>
      <c:valAx>
        <c:axId val="2918238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82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42520"/>
        <c:axId val="293143304"/>
      </c:lineChart>
      <c:catAx>
        <c:axId val="2931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143304"/>
        <c:crosses val="autoZero"/>
        <c:auto val="1"/>
        <c:lblAlgn val="ctr"/>
        <c:lblOffset val="100"/>
        <c:noMultiLvlLbl val="0"/>
      </c:catAx>
      <c:valAx>
        <c:axId val="2931433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14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'Marmota-VADER'!$B$37:$B$39</c:f>
              <c:numCache>
                <c:formatCode>0.0%</c:formatCode>
                <c:ptCount val="3"/>
                <c:pt idx="0">
                  <c:v>0.18717283294113982</c:v>
                </c:pt>
                <c:pt idx="1">
                  <c:v>0.51319688513462347</c:v>
                </c:pt>
                <c:pt idx="2">
                  <c:v>0.29961747246144743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'Future-VADER'!$G$25:$G$35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'Future-VADER'!$H$25:$H$35</c:f>
              <c:numCache>
                <c:formatCode>0.0%</c:formatCode>
                <c:ptCount val="11"/>
                <c:pt idx="0">
                  <c:v>0.12490549141861215</c:v>
                </c:pt>
                <c:pt idx="1">
                  <c:v>0.35928905704014591</c:v>
                </c:pt>
                <c:pt idx="2">
                  <c:v>0.31554575612972641</c:v>
                </c:pt>
                <c:pt idx="3">
                  <c:v>0.1467343390442872</c:v>
                </c:pt>
                <c:pt idx="4">
                  <c:v>4.3275542807632468E-2</c:v>
                </c:pt>
                <c:pt idx="5">
                  <c:v>8.8061061078192771E-3</c:v>
                </c:pt>
                <c:pt idx="6">
                  <c:v>1.292065323352671E-3</c:v>
                </c:pt>
                <c:pt idx="7">
                  <c:v>1.397354398974648E-4</c:v>
                </c:pt>
                <c:pt idx="8">
                  <c:v>1.1214374364131445E-5</c:v>
                </c:pt>
                <c:pt idx="9">
                  <c:v>6.6323184662914851E-7</c:v>
                </c:pt>
                <c:pt idx="10">
                  <c:v>2.8242461556234506E-8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'Future-VADER'!$H$39:$H$49</c:f>
              <c:numCache>
                <c:formatCode>0.0%</c:formatCode>
                <c:ptCount val="11"/>
                <c:pt idx="0">
                  <c:v>0.13197497060529367</c:v>
                </c:pt>
                <c:pt idx="1">
                  <c:v>0.29170779159164267</c:v>
                </c:pt>
                <c:pt idx="2">
                  <c:v>0.29369229031776012</c:v>
                </c:pt>
                <c:pt idx="3">
                  <c:v>0.17956201682165113</c:v>
                </c:pt>
                <c:pt idx="4">
                  <c:v>7.4713512727550044E-2</c:v>
                </c:pt>
                <c:pt idx="5">
                  <c:v>2.2405471615136556E-2</c:v>
                </c:pt>
                <c:pt idx="6">
                  <c:v>4.9907770390242622E-3</c:v>
                </c:pt>
                <c:pt idx="7">
                  <c:v>8.3685370612380703E-4</c:v>
                </c:pt>
                <c:pt idx="8">
                  <c:v>1.0567986714236349E-4</c:v>
                </c:pt>
                <c:pt idx="9">
                  <c:v>9.9286698767633333E-6</c:v>
                </c:pt>
                <c:pt idx="10">
                  <c:v>6.7470456432685965E-7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21504"/>
        <c:axId val="291816408"/>
      </c:lineChart>
      <c:catAx>
        <c:axId val="2918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816408"/>
        <c:crosses val="autoZero"/>
        <c:auto val="1"/>
        <c:lblAlgn val="ctr"/>
        <c:lblOffset val="100"/>
        <c:noMultiLvlLbl val="0"/>
      </c:catAx>
      <c:valAx>
        <c:axId val="2918164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82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'Future-VADER'!$B$37:$B$39</c:f>
              <c:numCache>
                <c:formatCode>0.0%</c:formatCode>
                <c:ptCount val="3"/>
                <c:pt idx="0">
                  <c:v>0.24375022492280413</c:v>
                </c:pt>
                <c:pt idx="1">
                  <c:v>0.42124045890314737</c:v>
                </c:pt>
                <c:pt idx="2">
                  <c:v>0.33500925475751858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'OBIWAN-Orinteers'!$G$25:$G$35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'OBIWAN-Orinteers'!$H$25:$H$35</c:f>
              <c:numCache>
                <c:formatCode>0.0%</c:formatCode>
                <c:ptCount val="11"/>
                <c:pt idx="0">
                  <c:v>0.1211083740886893</c:v>
                </c:pt>
                <c:pt idx="1">
                  <c:v>0.27716273762468996</c:v>
                </c:pt>
                <c:pt idx="2">
                  <c:v>0.29298994742192286</c:v>
                </c:pt>
                <c:pt idx="3">
                  <c:v>0.18971269640384864</c:v>
                </c:pt>
                <c:pt idx="4">
                  <c:v>8.411536271310556E-2</c:v>
                </c:pt>
                <c:pt idx="5">
                  <c:v>2.7036380294892363E-2</c:v>
                </c:pt>
                <c:pt idx="6">
                  <c:v>6.501203698527783E-3</c:v>
                </c:pt>
                <c:pt idx="7">
                  <c:v>1.1884720745820791E-3</c:v>
                </c:pt>
                <c:pt idx="8">
                  <c:v>1.6585055016220515E-4</c:v>
                </c:pt>
                <c:pt idx="9">
                  <c:v>1.7527108812462658E-5</c:v>
                </c:pt>
                <c:pt idx="10">
                  <c:v>1.3699259260558894E-6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'OBIWAN-Orinteers'!$H$39:$H$49</c:f>
              <c:numCache>
                <c:formatCode>0.0%</c:formatCode>
                <c:ptCount val="11"/>
                <c:pt idx="0">
                  <c:v>4.1984437600272977E-2</c:v>
                </c:pt>
                <c:pt idx="1">
                  <c:v>0.16701674497253305</c:v>
                </c:pt>
                <c:pt idx="2">
                  <c:v>0.2747672795063606</c:v>
                </c:pt>
                <c:pt idx="3">
                  <c:v>0.25936034217879606</c:v>
                </c:pt>
                <c:pt idx="4">
                  <c:v>0.16014719318434101</c:v>
                </c:pt>
                <c:pt idx="5">
                  <c:v>6.9132531485514695E-2</c:v>
                </c:pt>
                <c:pt idx="6">
                  <c:v>2.1628146334126443E-2</c:v>
                </c:pt>
                <c:pt idx="7">
                  <c:v>4.991986007759925E-3</c:v>
                </c:pt>
                <c:pt idx="8">
                  <c:v>8.5376650956513547E-4</c:v>
                </c:pt>
                <c:pt idx="9">
                  <c:v>1.0728753768780315E-4</c:v>
                </c:pt>
                <c:pt idx="10">
                  <c:v>9.6676777792887202E-6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17584"/>
        <c:axId val="291817976"/>
      </c:lineChart>
      <c:catAx>
        <c:axId val="29181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817976"/>
        <c:crosses val="autoZero"/>
        <c:auto val="1"/>
        <c:lblAlgn val="ctr"/>
        <c:lblOffset val="100"/>
        <c:noMultiLvlLbl val="0"/>
      </c:catAx>
      <c:valAx>
        <c:axId val="2918179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81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'OBIWAN-Orinteers'!$B$37:$B$39</c:f>
              <c:numCache>
                <c:formatCode>0.0%</c:formatCode>
                <c:ptCount val="3"/>
                <c:pt idx="0">
                  <c:v>0.19657010383776058</c:v>
                </c:pt>
                <c:pt idx="1">
                  <c:v>0.54443570645269335</c:v>
                </c:pt>
                <c:pt idx="2">
                  <c:v>0.25899212469765381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44088"/>
        <c:axId val="293137816"/>
      </c:lineChart>
      <c:catAx>
        <c:axId val="29314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137816"/>
        <c:crosses val="autoZero"/>
        <c:auto val="1"/>
        <c:lblAlgn val="ctr"/>
        <c:lblOffset val="100"/>
        <c:noMultiLvlLbl val="0"/>
      </c:catAx>
      <c:valAx>
        <c:axId val="293137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14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39776"/>
        <c:axId val="293137424"/>
      </c:lineChart>
      <c:catAx>
        <c:axId val="2931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137424"/>
        <c:crosses val="autoZero"/>
        <c:auto val="1"/>
        <c:lblAlgn val="ctr"/>
        <c:lblOffset val="100"/>
        <c:noMultiLvlLbl val="0"/>
      </c:catAx>
      <c:valAx>
        <c:axId val="2931374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13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6" sqref="C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150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9.0580087495689392E-3</v>
      </c>
      <c r="BL4">
        <v>0</v>
      </c>
      <c r="BM4">
        <v>0</v>
      </c>
      <c r="BN4" s="107">
        <f>H25*H39</f>
        <v>2.3410510171970674E-3</v>
      </c>
      <c r="BP4">
        <v>1</v>
      </c>
      <c r="BQ4">
        <v>0</v>
      </c>
      <c r="BR4" s="107">
        <f>$H$26*H39</f>
        <v>7.0580969936739008E-3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144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6.8000000000000005E-2</v>
      </c>
      <c r="P5" s="16" t="str">
        <f>P3</f>
        <v>0,6</v>
      </c>
      <c r="Q5" s="16">
        <f>P5*O5</f>
        <v>4.0800000000000003E-2</v>
      </c>
      <c r="R5" s="157">
        <f>IF($M$2="SI",Q5*$B$22/0.5*$S$1,Q5*$B$22/0.5*$S$2)</f>
        <v>4.3710424330209503E-2</v>
      </c>
      <c r="S5" s="176">
        <f>(1-R5)</f>
        <v>0.95628957566979045</v>
      </c>
      <c r="T5" s="177">
        <f>R5*PRODUCT(S6:S19)</f>
        <v>2.0337979066122981E-2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1.8594328654169958E-2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1.6129283789302555E-2</v>
      </c>
      <c r="BL5">
        <v>1</v>
      </c>
      <c r="BM5">
        <v>1</v>
      </c>
      <c r="BN5" s="107">
        <f>$H$26*H40</f>
        <v>2.7309231560681817E-2</v>
      </c>
      <c r="BP5">
        <f>BP4+1</f>
        <v>2</v>
      </c>
      <c r="BQ5">
        <v>0</v>
      </c>
      <c r="BR5" s="107">
        <f>$H$27*H39</f>
        <v>9.6609218309028598E-3</v>
      </c>
    </row>
    <row r="6" spans="1:70" x14ac:dyDescent="0.25">
      <c r="A6" s="2" t="s">
        <v>1</v>
      </c>
      <c r="B6" s="168">
        <f>8.5*1.2</f>
        <v>10.199999999999999</v>
      </c>
      <c r="C6" s="169">
        <v>10.25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5.1000000000000004E-2</v>
      </c>
      <c r="P6" s="16" t="str">
        <f>P3</f>
        <v>0,6</v>
      </c>
      <c r="Q6" s="16">
        <f t="shared" ref="Q6:Q19" si="1">P6*O6</f>
        <v>3.0600000000000002E-2</v>
      </c>
      <c r="R6" s="157">
        <f>IF($M$2="SI",Q6*$B$22/0.5*$S$1,Q6*$B$22/0.5*$S$2)</f>
        <v>3.2782818247657129E-2</v>
      </c>
      <c r="S6" s="176">
        <f t="shared" ref="S6:S19" si="2">(1-R6)</f>
        <v>0.96721718175234284</v>
      </c>
      <c r="T6" s="177">
        <f>R6*S5*PRODUCT(S7:S19)</f>
        <v>1.508115064903575E-2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1.3277027761191992E-2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1.7511809304896597E-2</v>
      </c>
      <c r="BL6">
        <f>BH14+1</f>
        <v>2</v>
      </c>
      <c r="BM6">
        <v>2</v>
      </c>
      <c r="BN6" s="107">
        <f>$H$27*H41</f>
        <v>6.6561449849763588E-2</v>
      </c>
      <c r="BP6">
        <f>BL5+1</f>
        <v>2</v>
      </c>
      <c r="BQ6">
        <v>1</v>
      </c>
      <c r="BR6" s="107">
        <f>$H$27*H40</f>
        <v>3.738009715738428E-2</v>
      </c>
    </row>
    <row r="7" spans="1:70" x14ac:dyDescent="0.25">
      <c r="A7" s="5" t="s">
        <v>2</v>
      </c>
      <c r="B7" s="168">
        <v>12</v>
      </c>
      <c r="C7" s="169">
        <v>13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1.2944711189073359E-2</v>
      </c>
      <c r="BL7">
        <f>BH23+1</f>
        <v>3</v>
      </c>
      <c r="BM7">
        <v>3</v>
      </c>
      <c r="BN7" s="107">
        <f>$H$28*H42</f>
        <v>5.9924537978396038E-2</v>
      </c>
      <c r="BP7">
        <f>BP5+1</f>
        <v>3</v>
      </c>
      <c r="BQ7">
        <v>0</v>
      </c>
      <c r="BR7" s="107">
        <f>$H$28*H39</f>
        <v>8.0109598127111811E-3</v>
      </c>
    </row>
    <row r="8" spans="1:70" x14ac:dyDescent="0.25">
      <c r="A8" s="5" t="s">
        <v>3</v>
      </c>
      <c r="B8" s="168">
        <v>12.5</v>
      </c>
      <c r="C8" s="169">
        <v>12.5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0.04</v>
      </c>
      <c r="P8" s="16" t="str">
        <f>P3</f>
        <v>0,6</v>
      </c>
      <c r="Q8" s="16">
        <f t="shared" si="1"/>
        <v>2.4E-2</v>
      </c>
      <c r="R8" s="157">
        <f t="shared" si="6"/>
        <v>2.5712014311887944E-2</v>
      </c>
      <c r="S8" s="176">
        <f t="shared" si="2"/>
        <v>0.97428798568811203</v>
      </c>
      <c r="T8" s="177">
        <f>R8*PRODUCT(S5:S7)*PRODUCT(S9:S19)</f>
        <v>1.1742510281306823E-2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1.0027889628230795E-2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6.8875199545176081E-3</v>
      </c>
      <c r="BL8">
        <f>BH31+1</f>
        <v>4</v>
      </c>
      <c r="BM8">
        <v>4</v>
      </c>
      <c r="BN8" s="107">
        <f>$H$29*H43</f>
        <v>2.4959896437611213E-2</v>
      </c>
      <c r="BP8">
        <f>BP6+1</f>
        <v>3</v>
      </c>
      <c r="BQ8">
        <v>1</v>
      </c>
      <c r="BR8" s="107">
        <f>$H$28*H40</f>
        <v>3.0996054141042544E-2</v>
      </c>
    </row>
    <row r="9" spans="1:70" x14ac:dyDescent="0.25">
      <c r="A9" s="5" t="s">
        <v>4</v>
      </c>
      <c r="B9" s="168">
        <v>12.75</v>
      </c>
      <c r="C9" s="169">
        <v>12.5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2.5000000000000001E-2</v>
      </c>
      <c r="Z9" s="146">
        <v>0.5</v>
      </c>
      <c r="AA9" s="19">
        <f t="shared" si="3"/>
        <v>1.2500000000000001E-2</v>
      </c>
      <c r="AB9" s="157">
        <f t="shared" si="4"/>
        <v>1.3457319582151321E-2</v>
      </c>
      <c r="AC9" s="176">
        <f t="shared" si="5"/>
        <v>0.98654268041784865</v>
      </c>
      <c r="AD9" s="177">
        <f>AB9*PRODUCT(AC5:AC8)*PRODUCT(AC10:AC19)</f>
        <v>7.3712289552852793E-3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4.9844789270532099E-3</v>
      </c>
      <c r="BH9">
        <v>0</v>
      </c>
      <c r="BI9">
        <v>6</v>
      </c>
      <c r="BJ9" s="107">
        <f t="shared" si="0"/>
        <v>2.718023587848823E-3</v>
      </c>
      <c r="BL9">
        <f>BH38+1</f>
        <v>5</v>
      </c>
      <c r="BM9">
        <v>5</v>
      </c>
      <c r="BN9" s="107">
        <f>$H$30*H44</f>
        <v>5.3902069632428187E-3</v>
      </c>
      <c r="BP9">
        <f>BL6+1</f>
        <v>3</v>
      </c>
      <c r="BQ9">
        <v>2</v>
      </c>
      <c r="BR9" s="107">
        <f>$H$28*H41</f>
        <v>5.5193604622346341E-2</v>
      </c>
    </row>
    <row r="10" spans="1:70" x14ac:dyDescent="0.25">
      <c r="A10" s="6" t="s">
        <v>5</v>
      </c>
      <c r="B10" s="168">
        <v>12.25</v>
      </c>
      <c r="C10" s="169">
        <v>13</v>
      </c>
      <c r="E10" s="192" t="s">
        <v>17</v>
      </c>
      <c r="F10" s="167" t="s">
        <v>144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6.5565636495314258E-2</v>
      </c>
      <c r="S10" s="176">
        <f t="shared" si="2"/>
        <v>0.93443436350468578</v>
      </c>
      <c r="T10" s="177">
        <f>R10*PRODUCT(S5:S9)*PRODUCT(S11:S19)</f>
        <v>3.1220487169658175E-2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2.4471106121432488E-2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6.5887036674212862E-2</v>
      </c>
      <c r="AC10" s="176">
        <f t="shared" si="5"/>
        <v>0.93411296332578719</v>
      </c>
      <c r="AD10" s="177">
        <f>AB10*PRODUCT(AC5:AC9)*PRODUCT(AC11:AC19)</f>
        <v>3.8115163722600424E-2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2.3085324727934876E-2</v>
      </c>
      <c r="BH10">
        <v>0</v>
      </c>
      <c r="BI10">
        <v>7</v>
      </c>
      <c r="BJ10" s="107">
        <f t="shared" si="0"/>
        <v>8.0715822321006262E-4</v>
      </c>
      <c r="BL10">
        <f>BH44+1</f>
        <v>6</v>
      </c>
      <c r="BM10">
        <v>6</v>
      </c>
      <c r="BN10" s="107">
        <f>$H$31*H45</f>
        <v>6.4146910179583086E-4</v>
      </c>
      <c r="BP10">
        <f>BP7+1</f>
        <v>4</v>
      </c>
      <c r="BQ10">
        <v>0</v>
      </c>
      <c r="BR10" s="107">
        <f>$H$29*H39</f>
        <v>4.5139972681450032E-3</v>
      </c>
    </row>
    <row r="11" spans="1:70" x14ac:dyDescent="0.25">
      <c r="A11" s="6" t="s">
        <v>6</v>
      </c>
      <c r="B11" s="168">
        <v>9</v>
      </c>
      <c r="C11" s="169">
        <v>13</v>
      </c>
      <c r="E11" s="192" t="s">
        <v>19</v>
      </c>
      <c r="F11" s="167" t="s">
        <v>147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6.5565636495314258E-2</v>
      </c>
      <c r="S11" s="176">
        <f t="shared" si="2"/>
        <v>0.93443436350468578</v>
      </c>
      <c r="T11" s="177">
        <f>R11*PRODUCT(S5:S10)*PRODUCT(S12:S19)</f>
        <v>3.1220487169658175E-2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2.2280485578224943E-2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6.5887036674212862E-2</v>
      </c>
      <c r="AC11" s="176">
        <f t="shared" si="5"/>
        <v>0.93411296332578719</v>
      </c>
      <c r="AD11" s="177">
        <f>AB11*PRODUCT(AC5:AC10)*PRODUCT(AC12:AC19)</f>
        <v>3.8115163722600424E-2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2.0396897001706278E-2</v>
      </c>
      <c r="BH11">
        <v>0</v>
      </c>
      <c r="BI11">
        <v>8</v>
      </c>
      <c r="BJ11" s="107">
        <f t="shared" si="0"/>
        <v>1.8086312024825048E-4</v>
      </c>
      <c r="BL11">
        <f>BH50+1</f>
        <v>7</v>
      </c>
      <c r="BM11">
        <v>7</v>
      </c>
      <c r="BN11" s="107">
        <f>$H$32*H46</f>
        <v>4.3290954082361327E-5</v>
      </c>
      <c r="BP11">
        <f>BP8+1</f>
        <v>4</v>
      </c>
      <c r="BQ11">
        <v>1</v>
      </c>
      <c r="BR11" s="107">
        <f>$H$29*H40</f>
        <v>1.7465585521217127E-2</v>
      </c>
    </row>
    <row r="12" spans="1:70" x14ac:dyDescent="0.25">
      <c r="A12" s="6" t="s">
        <v>7</v>
      </c>
      <c r="B12" s="168">
        <v>10.75</v>
      </c>
      <c r="C12" s="169">
        <v>12.25</v>
      </c>
      <c r="E12" s="192" t="s">
        <v>19</v>
      </c>
      <c r="F12" s="167" t="s">
        <v>144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3.0305006442300617E-5</v>
      </c>
      <c r="BL12">
        <f>BH54+1</f>
        <v>8</v>
      </c>
      <c r="BM12">
        <v>8</v>
      </c>
      <c r="BN12" s="107">
        <f>$H$33*H47</f>
        <v>1.6630554629607789E-6</v>
      </c>
      <c r="BP12">
        <f>BP9+1</f>
        <v>4</v>
      </c>
      <c r="BQ12">
        <v>2</v>
      </c>
      <c r="BR12" s="107">
        <f>$H$29*H41</f>
        <v>3.110036578750831E-2</v>
      </c>
    </row>
    <row r="13" spans="1:70" x14ac:dyDescent="0.25">
      <c r="A13" s="7" t="s">
        <v>8</v>
      </c>
      <c r="B13" s="168">
        <v>11.5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5.3566696483099877E-2</v>
      </c>
      <c r="S13" s="176">
        <f t="shared" si="2"/>
        <v>0.94643330351690014</v>
      </c>
      <c r="T13" s="177">
        <f>R13*PRODUCT(S5:S12)*PRODUCT(S14:S19)</f>
        <v>2.5183555474325964E-2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1.6546880962666797E-2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5.3829278328605283E-2</v>
      </c>
      <c r="AC13" s="176">
        <f t="shared" si="5"/>
        <v>0.94617072167139471</v>
      </c>
      <c r="AD13" s="177">
        <f>AB13*PRODUCT(AC5:AC12)*PRODUCT(AC14:AC19)</f>
        <v>3.0743001468804168E-2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1.4702745910697717E-2</v>
      </c>
      <c r="BH13">
        <v>0</v>
      </c>
      <c r="BI13">
        <v>10</v>
      </c>
      <c r="BJ13" s="107">
        <f t="shared" si="0"/>
        <v>3.7062964259007963E-6</v>
      </c>
      <c r="BL13">
        <f>BH57+1</f>
        <v>9</v>
      </c>
      <c r="BM13">
        <v>9</v>
      </c>
      <c r="BN13" s="107">
        <f>$H$34*H48</f>
        <v>3.5619142992425744E-8</v>
      </c>
      <c r="BP13">
        <f>BL7+1</f>
        <v>4</v>
      </c>
      <c r="BQ13">
        <v>3</v>
      </c>
      <c r="BR13" s="107">
        <f>$H$29*H42</f>
        <v>3.3766141268131655E-2</v>
      </c>
    </row>
    <row r="14" spans="1:70" x14ac:dyDescent="0.25">
      <c r="A14" s="7" t="s">
        <v>9</v>
      </c>
      <c r="B14" s="168">
        <v>8.5</v>
      </c>
      <c r="C14" s="169">
        <v>9</v>
      </c>
      <c r="E14" s="192" t="s">
        <v>20</v>
      </c>
      <c r="F14" s="167" t="s">
        <v>147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0.38</v>
      </c>
      <c r="P14" s="144">
        <v>0.95</v>
      </c>
      <c r="Q14" s="16">
        <f t="shared" si="1"/>
        <v>0.36099999999999999</v>
      </c>
      <c r="R14" s="157">
        <f t="shared" si="6"/>
        <v>0.38675154860798111</v>
      </c>
      <c r="S14" s="176">
        <f t="shared" si="2"/>
        <v>0.61324845139201889</v>
      </c>
      <c r="T14" s="177">
        <f>R14*PRODUCT(S5:S13)*PRODUCT(S15:S19)</f>
        <v>0.28061300612315332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7.4055369003083607E-3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0.29148554214939754</v>
      </c>
      <c r="AC14" s="176">
        <f t="shared" si="5"/>
        <v>0.70851445785060241</v>
      </c>
      <c r="AD14" s="177">
        <f>AB14*PRODUCT(AC5:AC13)*PRODUCT(AC15:AC19)</f>
        <v>0.22231333568122263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1.4860117459595215E-2</v>
      </c>
      <c r="BH14">
        <v>1</v>
      </c>
      <c r="BI14">
        <v>2</v>
      </c>
      <c r="BJ14" s="107">
        <f t="shared" ref="BJ14:BJ22" si="7">$H$26*H41</f>
        <v>4.8628606804003882E-2</v>
      </c>
      <c r="BL14">
        <f>BP39+1</f>
        <v>10</v>
      </c>
      <c r="BM14">
        <v>10</v>
      </c>
      <c r="BN14" s="107">
        <f>$H$35*H49</f>
        <v>4.0376313745024382E-10</v>
      </c>
      <c r="BP14">
        <f>BP10+1</f>
        <v>5</v>
      </c>
      <c r="BQ14">
        <v>0</v>
      </c>
      <c r="BR14" s="107">
        <f>$H$30*H39</f>
        <v>1.8321180305148192E-3</v>
      </c>
    </row>
    <row r="15" spans="1:70" x14ac:dyDescent="0.25">
      <c r="A15" s="189" t="s">
        <v>71</v>
      </c>
      <c r="B15" s="170">
        <v>11.5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5.279681976203459E-2</v>
      </c>
      <c r="BP15">
        <f>BP11+1</f>
        <v>5</v>
      </c>
      <c r="BQ15">
        <v>1</v>
      </c>
      <c r="BR15" s="107">
        <f>$H$30*H40</f>
        <v>7.0888421605248874E-3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147</v>
      </c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3.9027354148380163E-2</v>
      </c>
      <c r="BP16">
        <f>BP12+1</f>
        <v>5</v>
      </c>
      <c r="BQ16">
        <v>2</v>
      </c>
      <c r="BR16" s="107">
        <f>$H$30*H41</f>
        <v>1.2622856756471975E-2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2.5712014311887944E-2</v>
      </c>
      <c r="S17" s="176">
        <f t="shared" si="2"/>
        <v>0.97428798568811203</v>
      </c>
      <c r="T17" s="177">
        <f>R17*PRODUCT(S5:S16)*PRODUCT(S18:S19)</f>
        <v>1.1742510281306824E-2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2.5838053597730531E-2</v>
      </c>
      <c r="AC17" s="176">
        <f t="shared" si="5"/>
        <v>0.9741619464022695</v>
      </c>
      <c r="AD17" s="177">
        <f>AB17*PRODUCT(AC5:AC16)*PRODUCT(AC18:AC19)</f>
        <v>1.4332628611582361E-2</v>
      </c>
      <c r="AE17" s="177">
        <f>AB17*AB18*PRODUCT(AC5:AC16)*AC19+AB17*AB19*PRODUCT(AC5:AC16)*AC18</f>
        <v>5.7788809474178986E-4</v>
      </c>
      <c r="BH17">
        <v>1</v>
      </c>
      <c r="BI17">
        <v>5</v>
      </c>
      <c r="BJ17" s="107">
        <f t="shared" si="7"/>
        <v>2.0765367148236544E-2</v>
      </c>
      <c r="BP17">
        <f>BP13+1</f>
        <v>5</v>
      </c>
      <c r="BQ17">
        <v>3</v>
      </c>
      <c r="BR17" s="107">
        <f>$H$30*H42</f>
        <v>1.3704828019020255E-2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147</v>
      </c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8.1946416260076024E-3</v>
      </c>
      <c r="BP18">
        <f>BL8+1</f>
        <v>5</v>
      </c>
      <c r="BQ18">
        <v>4</v>
      </c>
      <c r="BR18" s="107">
        <f>$H$30*H43</f>
        <v>1.0130594589819575E-2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3.8757080396595797E-2</v>
      </c>
      <c r="AC19" s="178">
        <f t="shared" si="5"/>
        <v>0.96124291960340424</v>
      </c>
      <c r="AD19" s="179">
        <f>AB19*PRODUCT(AC5:AC18)</f>
        <v>2.1787886964744433E-2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2.4335228010020516E-3</v>
      </c>
      <c r="BP19">
        <f>BP15+1</f>
        <v>6</v>
      </c>
      <c r="BQ19">
        <v>1</v>
      </c>
      <c r="BR19" s="107">
        <f>$H$31*H40</f>
        <v>2.1377418366127668E-3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0.44495100812100974</v>
      </c>
      <c r="T20" s="181">
        <f>SUM(T5:T19)</f>
        <v>0.42714168621456799</v>
      </c>
      <c r="U20" s="181">
        <f>SUM(U5:U19)</f>
        <v>0.11260325560622533</v>
      </c>
      <c r="V20" s="181">
        <f>1-S20-T20-U20</f>
        <v>1.5304050058196933E-2</v>
      </c>
      <c r="W20" s="21"/>
      <c r="X20" s="22"/>
      <c r="Y20" s="22"/>
      <c r="Z20" s="22"/>
      <c r="AA20" s="22"/>
      <c r="AB20" s="23"/>
      <c r="AC20" s="184">
        <f>PRODUCT(AC5:AC19)</f>
        <v>0.54037744493827888</v>
      </c>
      <c r="AD20" s="181">
        <f>SUM(AD5:AD19)</f>
        <v>0.37277840912683974</v>
      </c>
      <c r="AE20" s="181">
        <f>SUM(AE5:AE19)</f>
        <v>7.8607452121729093E-2</v>
      </c>
      <c r="AF20" s="181">
        <f>1-AC20-AD20-AE20</f>
        <v>8.2366938131522849E-3</v>
      </c>
      <c r="BH20">
        <v>1</v>
      </c>
      <c r="BI20">
        <v>8</v>
      </c>
      <c r="BJ20" s="107">
        <f t="shared" si="7"/>
        <v>5.4528903296565756E-4</v>
      </c>
      <c r="BP20">
        <f>BP16+1</f>
        <v>6</v>
      </c>
      <c r="BQ20">
        <v>2</v>
      </c>
      <c r="BR20" s="107">
        <f>$H$31*H41</f>
        <v>3.806603162381913E-3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0.44495100812100974</v>
      </c>
      <c r="T21" s="183">
        <f>T20*V1</f>
        <v>0.42714168621456799</v>
      </c>
      <c r="U21" s="183">
        <f>U20*V1</f>
        <v>0.11260325560622533</v>
      </c>
      <c r="V21" s="183">
        <f>V20*V1</f>
        <v>1.5304050058196933E-2</v>
      </c>
      <c r="W21" s="21"/>
      <c r="X21" s="22"/>
      <c r="Y21" s="22"/>
      <c r="Z21" s="22"/>
      <c r="AA21" s="22"/>
      <c r="AB21" s="23"/>
      <c r="AC21" s="185">
        <f>1-AD21-AE21-AF21</f>
        <v>0.54037744493827888</v>
      </c>
      <c r="AD21" s="183">
        <f>AD20*V1</f>
        <v>0.37277840912683974</v>
      </c>
      <c r="AE21" s="183">
        <f>AE20*V1</f>
        <v>7.8607452121729093E-2</v>
      </c>
      <c r="AF21" s="183">
        <f>AF20*V1</f>
        <v>8.2366938131522849E-3</v>
      </c>
      <c r="BH21" s="18">
        <v>1</v>
      </c>
      <c r="BI21">
        <v>9</v>
      </c>
      <c r="BJ21" s="107">
        <f t="shared" si="7"/>
        <v>9.1367370165117872E-5</v>
      </c>
      <c r="BP21">
        <f>BP17+1</f>
        <v>6</v>
      </c>
      <c r="BQ21">
        <v>3</v>
      </c>
      <c r="BR21" s="107">
        <f>$H$31*H42</f>
        <v>4.1328870859882651E-3</v>
      </c>
    </row>
    <row r="22" spans="1:70" x14ac:dyDescent="0.25">
      <c r="A22" s="26" t="s">
        <v>77</v>
      </c>
      <c r="B22" s="62">
        <f>(B6)/((B6)+(C6))</f>
        <v>0.4987775061124694</v>
      </c>
      <c r="C22" s="63">
        <f>1-B22</f>
        <v>0.5012224938875306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7"/>
        <v>1.1174211697716564E-5</v>
      </c>
      <c r="BP22">
        <f>BP18+1</f>
        <v>6</v>
      </c>
      <c r="BQ22">
        <v>4</v>
      </c>
      <c r="BR22" s="107">
        <f>$H$31*H43</f>
        <v>3.0550258270691569E-3</v>
      </c>
    </row>
    <row r="23" spans="1:70" ht="15.75" thickBot="1" x14ac:dyDescent="0.3">
      <c r="A23" s="40" t="s">
        <v>67</v>
      </c>
      <c r="B23" s="56">
        <f>((B22^2.8)/((B22^2.8)+(C22^2.8)))*B21</f>
        <v>2.4828853188432234</v>
      </c>
      <c r="C23" s="57">
        <f>B21-B23</f>
        <v>2.5171146811567766</v>
      </c>
      <c r="D23" s="151">
        <f>SUM(D25:D30)</f>
        <v>1</v>
      </c>
      <c r="E23" s="151">
        <f>SUM(E25:E30)</f>
        <v>1</v>
      </c>
      <c r="H23" s="59">
        <f>SUM(H25:H35)</f>
        <v>0.9999995047775101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1.0000000000000002</v>
      </c>
      <c r="T23" s="59">
        <f>SUM(T25:T35)</f>
        <v>1</v>
      </c>
      <c r="V23" s="59">
        <f>SUM(V25:V34)</f>
        <v>0.99899501624774656</v>
      </c>
      <c r="Y23" s="80">
        <f>SUM(Y25:Y35)</f>
        <v>1.0350853100753986E-3</v>
      </c>
      <c r="Z23" s="81"/>
      <c r="AA23" s="80">
        <f>SUM(AA25:AA35)</f>
        <v>1.0220498336570136E-2</v>
      </c>
      <c r="AB23" s="81"/>
      <c r="AC23" s="80">
        <f>SUM(AC25:AC35)</f>
        <v>4.5423273943612626E-2</v>
      </c>
      <c r="AD23" s="81"/>
      <c r="AE23" s="80">
        <f>SUM(AE25:AE35)</f>
        <v>0.11966729979620694</v>
      </c>
      <c r="AF23" s="81"/>
      <c r="AG23" s="80">
        <f>SUM(AG25:AG35)</f>
        <v>0.20698252391050637</v>
      </c>
      <c r="AH23" s="81"/>
      <c r="AI23" s="80">
        <f>SUM(AI25:AI35)</f>
        <v>0.24565306223155631</v>
      </c>
      <c r="AJ23" s="81"/>
      <c r="AK23" s="80">
        <f>SUM(AK25:AK35)</f>
        <v>0.20267783343666682</v>
      </c>
      <c r="AL23" s="81"/>
      <c r="AM23" s="80">
        <f>SUM(AM25:AM35)</f>
        <v>0.11487662617546486</v>
      </c>
      <c r="AN23" s="81"/>
      <c r="AO23" s="80">
        <f>SUM(AO25:AO35)</f>
        <v>4.2885602441975326E-2</v>
      </c>
      <c r="AP23" s="81"/>
      <c r="AQ23" s="80">
        <f>SUM(AQ25:AQ35)</f>
        <v>9.5732106651121255E-3</v>
      </c>
      <c r="AR23" s="81"/>
      <c r="AS23" s="80">
        <f>SUM(AS25:AS35)</f>
        <v>1.0049837522534419E-3</v>
      </c>
      <c r="BH23">
        <f t="shared" ref="BH23:BH30" si="8">BH15+1</f>
        <v>2</v>
      </c>
      <c r="BI23">
        <v>3</v>
      </c>
      <c r="BJ23" s="107">
        <f t="shared" ref="BJ23:BJ30" si="9">$H$27*H42</f>
        <v>7.2266780847365847E-2</v>
      </c>
      <c r="BP23">
        <f>BL9+1</f>
        <v>6</v>
      </c>
      <c r="BQ23">
        <v>5</v>
      </c>
      <c r="BR23" s="107">
        <f>$H$31*H44</f>
        <v>1.6254940753924793E-3</v>
      </c>
    </row>
    <row r="24" spans="1:70" ht="15.75" thickBot="1" x14ac:dyDescent="0.3">
      <c r="A24" s="26" t="s">
        <v>76</v>
      </c>
      <c r="B24" s="64">
        <f>B23/B21</f>
        <v>0.49657706376864469</v>
      </c>
      <c r="C24" s="65">
        <f>C23/B21</f>
        <v>0.50342293623135537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5.341952909295529E-2</v>
      </c>
      <c r="BP24">
        <f>BH49+1</f>
        <v>7</v>
      </c>
      <c r="BQ24">
        <v>0</v>
      </c>
      <c r="BR24" s="107">
        <f t="shared" ref="BR24:BR30" si="10">$H$32*H39</f>
        <v>1.2555943701705706E-4</v>
      </c>
    </row>
    <row r="25" spans="1:70" x14ac:dyDescent="0.25">
      <c r="A25" s="26" t="s">
        <v>69</v>
      </c>
      <c r="B25" s="117">
        <f>1/(1+EXP(-3.1416*4*((B11/(B11+C8))-(3.1416/6))))</f>
        <v>0.21091587975125142</v>
      </c>
      <c r="C25" s="118">
        <f>1/(1+EXP(-3.1416*4*((C11/(C11+B8))-(3.1416/6))))</f>
        <v>0.4567664718416985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6.8612772326054922E-2</v>
      </c>
      <c r="I25" s="97">
        <v>0</v>
      </c>
      <c r="J25" s="98">
        <f t="shared" ref="J25:J35" si="11">Y25+AA25+AC25+AE25+AG25+AI25+AK25+AM25+AO25+AQ25+AS25</f>
        <v>0.1542029820671737</v>
      </c>
      <c r="K25" s="97">
        <v>0</v>
      </c>
      <c r="L25" s="98">
        <f>S21</f>
        <v>0.44495100812100974</v>
      </c>
      <c r="M25" s="84">
        <v>0</v>
      </c>
      <c r="N25" s="71">
        <f>(1-$B$24)^$B$21</f>
        <v>3.2334413793530054E-2</v>
      </c>
      <c r="O25" s="70">
        <v>0</v>
      </c>
      <c r="P25" s="71">
        <f>N25</f>
        <v>3.2334413793530054E-2</v>
      </c>
      <c r="Q25" s="12">
        <v>0</v>
      </c>
      <c r="R25" s="73">
        <f>P25*N25</f>
        <v>1.0455143153712265E-3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1.0350853100753986E-3</v>
      </c>
      <c r="W25" s="136">
        <f>B31</f>
        <v>0.34280473173322573</v>
      </c>
      <c r="X25" s="12">
        <v>0</v>
      </c>
      <c r="Y25" s="79">
        <f>V25</f>
        <v>1.0350853100753986E-3</v>
      </c>
      <c r="Z25" s="12">
        <v>0</v>
      </c>
      <c r="AA25" s="78">
        <f>((1-W25)^Z26)*V26</f>
        <v>6.7168631461223312E-3</v>
      </c>
      <c r="AB25" s="12">
        <v>0</v>
      </c>
      <c r="AC25" s="79">
        <f>(((1-$W$25)^AB27))*V27</f>
        <v>1.9618567323764151E-2</v>
      </c>
      <c r="AD25" s="12">
        <v>0</v>
      </c>
      <c r="AE25" s="79">
        <f>(((1-$W$25)^AB28))*V28</f>
        <v>3.3967123894170496E-2</v>
      </c>
      <c r="AF25" s="12">
        <v>0</v>
      </c>
      <c r="AG25" s="79">
        <f>(((1-$W$25)^AB29))*V29</f>
        <v>3.8611030249864634E-2</v>
      </c>
      <c r="AH25" s="12">
        <v>0</v>
      </c>
      <c r="AI25" s="79">
        <f>(((1-$W$25)^AB30))*V30</f>
        <v>3.011579427735522E-2</v>
      </c>
      <c r="AJ25" s="12">
        <v>0</v>
      </c>
      <c r="AK25" s="79">
        <f>(((1-$W$25)^AB31))*V31</f>
        <v>1.632949749928974E-2</v>
      </c>
      <c r="AL25" s="12">
        <v>0</v>
      </c>
      <c r="AM25" s="79">
        <f>(((1-$W$25)^AB32))*V32</f>
        <v>6.082647758894456E-3</v>
      </c>
      <c r="AN25" s="12">
        <v>0</v>
      </c>
      <c r="AO25" s="79">
        <f>(((1-$W$25)^AB33))*V33</f>
        <v>1.4923371091526427E-3</v>
      </c>
      <c r="AP25" s="12">
        <v>0</v>
      </c>
      <c r="AQ25" s="79">
        <f>(((1-$W$25)^AB34))*V34</f>
        <v>2.1893110400494461E-4</v>
      </c>
      <c r="AR25" s="12">
        <v>0</v>
      </c>
      <c r="AS25" s="79">
        <f>(((1-$W$25)^AB35))*V35</f>
        <v>1.5104394479681515E-5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2.8423042215050102E-2</v>
      </c>
      <c r="BP25">
        <f>BP19+1</f>
        <v>7</v>
      </c>
      <c r="BQ25">
        <v>1</v>
      </c>
      <c r="BR25" s="107">
        <f t="shared" si="10"/>
        <v>4.8581533282993577E-4</v>
      </c>
    </row>
    <row r="26" spans="1:70" x14ac:dyDescent="0.25">
      <c r="A26" s="40" t="s">
        <v>24</v>
      </c>
      <c r="B26" s="119">
        <f>1/(1+EXP(-3.1416*4*((B10/(B10+C9))-(3.1416/6))))</f>
        <v>0.41095140653231521</v>
      </c>
      <c r="C26" s="120">
        <f>1/(1+EXP(-3.1416*4*((C10/(C10+B9))-(3.1416/6))))</f>
        <v>0.44137955026611614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0.20686247267775548</v>
      </c>
      <c r="I26" s="93">
        <v>1</v>
      </c>
      <c r="J26" s="86">
        <f t="shared" si="11"/>
        <v>0.316879720070041</v>
      </c>
      <c r="K26" s="93">
        <v>1</v>
      </c>
      <c r="L26" s="86">
        <f>T21</f>
        <v>0.42714168621456799</v>
      </c>
      <c r="M26" s="85">
        <v>1</v>
      </c>
      <c r="N26" s="71">
        <f>(($B$24)^M26)*((1-($B$24))^($B$21-M26))*HLOOKUP($B$21,$AV$24:$BF$34,M26+1)</f>
        <v>0.15947354703851341</v>
      </c>
      <c r="O26" s="72">
        <v>1</v>
      </c>
      <c r="P26" s="71">
        <f t="shared" ref="P26:P30" si="12">N26</f>
        <v>0.15947354703851341</v>
      </c>
      <c r="Q26" s="28">
        <v>1</v>
      </c>
      <c r="R26" s="37">
        <f>N26*P25+P26*N25</f>
        <v>1.0312967318130544E-2</v>
      </c>
      <c r="S26" s="72">
        <v>1</v>
      </c>
      <c r="T26" s="135">
        <f t="shared" ref="T26:T35" si="13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1.0220498336570136E-2</v>
      </c>
      <c r="W26" s="137"/>
      <c r="X26" s="28">
        <v>1</v>
      </c>
      <c r="Y26" s="73"/>
      <c r="Z26" s="28">
        <v>1</v>
      </c>
      <c r="AA26" s="79">
        <f>(1-((1-W25)^Z26))*V26</f>
        <v>3.5036351904478048E-3</v>
      </c>
      <c r="AB26" s="28">
        <v>1</v>
      </c>
      <c r="AC26" s="79">
        <f>((($W$25)^M26)*((1-($W$25))^($U$27-M26))*HLOOKUP($U$27,$AV$24:$BF$34,M26+1))*V27</f>
        <v>2.0466786762327053E-2</v>
      </c>
      <c r="AD26" s="28">
        <v>1</v>
      </c>
      <c r="AE26" s="79">
        <f>((($W$25)^M26)*((1-($W$25))^($U$28-M26))*HLOOKUP($U$28,$AV$24:$BF$34,M26+1))*V28</f>
        <v>5.315356648108286E-2</v>
      </c>
      <c r="AF26" s="28">
        <v>1</v>
      </c>
      <c r="AG26" s="79">
        <f>((($W$25)^M26)*((1-($W$25))^($U$29-M26))*HLOOKUP($U$29,$AV$24:$BF$34,M26+1))*V29</f>
        <v>8.0560798325014227E-2</v>
      </c>
      <c r="AH26" s="28">
        <v>1</v>
      </c>
      <c r="AI26" s="79">
        <f>((($W$25)^M26)*((1-($W$25))^($U$30-M26))*HLOOKUP($U$30,$AV$24:$BF$34,M26+1))*V30</f>
        <v>7.8544667594829906E-2</v>
      </c>
      <c r="AJ26" s="28">
        <v>1</v>
      </c>
      <c r="AK26" s="79">
        <f>((($W$25)^M26)*((1-($W$25))^($U$31-M26))*HLOOKUP($U$31,$AV$24:$BF$34,M26+1))*V31</f>
        <v>5.1106536640279775E-2</v>
      </c>
      <c r="AL26" s="28">
        <v>1</v>
      </c>
      <c r="AM26" s="79">
        <f>((($W$25)^Q26)*((1-($W$25))^($U$32-Q26))*HLOOKUP($U$32,$AV$24:$BF$34,Q26+1))*V32</f>
        <v>2.2209720211472467E-2</v>
      </c>
      <c r="AN26" s="28">
        <v>1</v>
      </c>
      <c r="AO26" s="79">
        <f>((($W$25)^Q26)*((1-($W$25))^($U$33-Q26))*HLOOKUP($U$33,$AV$24:$BF$34,Q26+1))*V33</f>
        <v>6.22743646597217E-3</v>
      </c>
      <c r="AP26" s="28">
        <v>1</v>
      </c>
      <c r="AQ26" s="79">
        <f>((($W$25)^Q26)*((1-($W$25))^($U$34-Q26))*HLOOKUP($U$34,$AV$24:$BF$34,Q26+1))*V34</f>
        <v>1.0277851926257008E-3</v>
      </c>
      <c r="AR26" s="28">
        <v>1</v>
      </c>
      <c r="AS26" s="79">
        <f>((($W$25)^Q26)*((1-($W$25))^($U$35-Q26))*HLOOKUP($U$35,$AV$24:$BF$34,Q26+1))*V35</f>
        <v>7.8787205989106377E-5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1.1216591703412325E-2</v>
      </c>
      <c r="BP26">
        <f>BP20+1</f>
        <v>7</v>
      </c>
      <c r="BQ26">
        <v>2</v>
      </c>
      <c r="BR26" s="107">
        <f t="shared" si="10"/>
        <v>8.6507460845424843E-4</v>
      </c>
    </row>
    <row r="27" spans="1:70" x14ac:dyDescent="0.25">
      <c r="A27" s="26" t="s">
        <v>25</v>
      </c>
      <c r="B27" s="119">
        <f>1/(1+EXP(-3.1416*4*((B12/(B12+C7))-(3.1416/6))))</f>
        <v>0.29073488800762715</v>
      </c>
      <c r="C27" s="120">
        <f>1/(1+EXP(-3.1416*4*((C12/(C12+B7))-(3.1416/6))))</f>
        <v>0.44231011753223809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0.28314745179590095</v>
      </c>
      <c r="I27" s="93">
        <v>2</v>
      </c>
      <c r="J27" s="86">
        <f t="shared" si="11"/>
        <v>0.29313599396893358</v>
      </c>
      <c r="K27" s="93">
        <v>2</v>
      </c>
      <c r="L27" s="86">
        <f>U21</f>
        <v>0.11260325560622533</v>
      </c>
      <c r="M27" s="85">
        <v>2</v>
      </c>
      <c r="N27" s="71">
        <f>(($B$24)^M27)*((1-($B$24))^($B$21-M27))*HLOOKUP($B$21,$AV$24:$BF$34,M27+1)</f>
        <v>0.31460984408053472</v>
      </c>
      <c r="O27" s="72">
        <v>2</v>
      </c>
      <c r="P27" s="71">
        <f t="shared" si="12"/>
        <v>0.31460984408053472</v>
      </c>
      <c r="Q27" s="28">
        <v>2</v>
      </c>
      <c r="R27" s="37">
        <f>P25*N27+P26*N26+P27*N25</f>
        <v>4.5777261969080912E-2</v>
      </c>
      <c r="S27" s="72">
        <v>2</v>
      </c>
      <c r="T27" s="135">
        <f t="shared" si="13"/>
        <v>2.5000000000000001E-5</v>
      </c>
      <c r="U27" s="93">
        <v>2</v>
      </c>
      <c r="V27" s="86">
        <f>R27*T25+T26*R26+R25*T27</f>
        <v>4.5423273943612619E-2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5.3379198575214193E-3</v>
      </c>
      <c r="AD27" s="28">
        <v>2</v>
      </c>
      <c r="AE27" s="79">
        <f>((($W$25)^M27)*((1-($W$25))^($U$28-M27))*HLOOKUP($U$28,$AV$24:$BF$34,M27+1))*V28</f>
        <v>2.7725844932308983E-2</v>
      </c>
      <c r="AF27" s="28">
        <v>2</v>
      </c>
      <c r="AG27" s="79">
        <f>((($W$25)^M27)*((1-($W$25))^($U$29-M27))*HLOOKUP($U$29,$AV$24:$BF$34,M27+1))*V29</f>
        <v>6.3032916223334623E-2</v>
      </c>
      <c r="AH27" s="28">
        <v>2</v>
      </c>
      <c r="AI27" s="79">
        <f>((($W$25)^M27)*((1-($W$25))^($U$30-M27))*HLOOKUP($U$30,$AV$24:$BF$34,M27+1))*V30</f>
        <v>8.1940589057896945E-2</v>
      </c>
      <c r="AJ27" s="28">
        <v>2</v>
      </c>
      <c r="AK27" s="79">
        <f>((($W$25)^M27)*((1-($W$25))^($U$31-M27))*HLOOKUP($U$31,$AV$24:$BF$34,M27+1))*V31</f>
        <v>6.6645194467809546E-2</v>
      </c>
      <c r="AL27" s="28">
        <v>2</v>
      </c>
      <c r="AM27" s="79">
        <f>((($W$25)^Q27)*((1-($W$25))^($U$32-Q27))*HLOOKUP($U$32,$AV$24:$BF$34,Q27+1))*V32</f>
        <v>3.4754954333633042E-2</v>
      </c>
      <c r="AN27" s="28">
        <v>2</v>
      </c>
      <c r="AO27" s="79">
        <f>((($W$25)^Q27)*((1-($W$25))^($U$33-Q27))*HLOOKUP($U$33,$AV$24:$BF$34,Q27+1))*V33</f>
        <v>1.1369195375625455E-2</v>
      </c>
      <c r="AP27" s="28">
        <v>2</v>
      </c>
      <c r="AQ27" s="79">
        <f>((($W$25)^Q27)*((1-($W$25))^($U$34-Q27))*HLOOKUP($U$34,$AV$24:$BF$34,Q27+1))*V34</f>
        <v>2.1444440899073204E-3</v>
      </c>
      <c r="AR27" s="28">
        <v>2</v>
      </c>
      <c r="AS27" s="79">
        <f>((($W$25)^Q27)*((1-($W$25))^($U$35-Q27))*HLOOKUP($U$35,$AV$24:$BF$34,Q27+1))*V35</f>
        <v>1.8493563089629693E-4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3.3309365931457773E-3</v>
      </c>
      <c r="BP27">
        <f>BP21+1</f>
        <v>7</v>
      </c>
      <c r="BQ27">
        <v>3</v>
      </c>
      <c r="BR27" s="107">
        <f t="shared" si="10"/>
        <v>9.3922469067139823E-4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0.23478948459689139</v>
      </c>
      <c r="I28" s="93">
        <v>3</v>
      </c>
      <c r="J28" s="86">
        <f t="shared" si="11"/>
        <v>0.16077559611058809</v>
      </c>
      <c r="K28" s="93">
        <v>3</v>
      </c>
      <c r="L28" s="86">
        <f>V21</f>
        <v>1.5304050058196933E-2</v>
      </c>
      <c r="M28" s="85">
        <v>3</v>
      </c>
      <c r="N28" s="71">
        <f>(($B$24)^M28)*((1-($B$24))^($B$21-M28))*HLOOKUP($B$21,$AV$24:$BF$34,M28+1)</f>
        <v>0.31033157483000773</v>
      </c>
      <c r="O28" s="72">
        <v>3</v>
      </c>
      <c r="P28" s="71">
        <f t="shared" si="12"/>
        <v>0.31033157483000773</v>
      </c>
      <c r="Q28" s="28">
        <v>3</v>
      </c>
      <c r="R28" s="37">
        <f>P25*N28+P26*N27+P27*N26+P28*N25</f>
        <v>0.12041267464501565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0.11966729979620692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4.8207644886446082E-3</v>
      </c>
      <c r="AF28" s="28">
        <v>3</v>
      </c>
      <c r="AG28" s="79">
        <f>((($W$25)^M28)*((1-($W$25))^($U$29-M28))*HLOOKUP($U$29,$AV$24:$BF$34,M28+1))*V29</f>
        <v>2.1919392890426614E-2</v>
      </c>
      <c r="AH28" s="28">
        <v>3</v>
      </c>
      <c r="AI28" s="79">
        <f>((($W$25)^M28)*((1-($W$25))^($U$30-M28))*HLOOKUP($U$30,$AV$24:$BF$34,M28+1))*V30</f>
        <v>4.2741667517077246E-2</v>
      </c>
      <c r="AJ28" s="28">
        <v>3</v>
      </c>
      <c r="AK28" s="79">
        <f>((($W$25)^M28)*((1-($W$25))^($U$31-M28))*HLOOKUP($U$31,$AV$24:$BF$34,M28+1))*V31</f>
        <v>4.6351090488115837E-2</v>
      </c>
      <c r="AL28" s="28">
        <v>3</v>
      </c>
      <c r="AM28" s="79">
        <f>((($W$25)^Q28)*((1-($W$25))^($U$32-Q28))*HLOOKUP($U$32,$AV$24:$BF$34,Q28+1))*V32</f>
        <v>3.0214669753995872E-2</v>
      </c>
      <c r="AN28" s="28">
        <v>3</v>
      </c>
      <c r="AO28" s="79">
        <f>((($W$25)^Q28)*((1-($W$25))^($U$33-Q28))*HLOOKUP($U$33,$AV$24:$BF$34,Q28+1))*V33</f>
        <v>1.1860748727064305E-2</v>
      </c>
      <c r="AP28" s="28">
        <v>3</v>
      </c>
      <c r="AQ28" s="79">
        <f>((($W$25)^Q28)*((1-($W$25))^($U$34-Q28))*HLOOKUP($U$34,$AV$24:$BF$34,Q28+1))*V34</f>
        <v>2.6100203471612154E-3</v>
      </c>
      <c r="AR28" s="28">
        <v>3</v>
      </c>
      <c r="AS28" s="79">
        <f>((($W$25)^Q28)*((1-($W$25))^($U$35-Q28))*HLOOKUP($U$35,$AV$24:$BF$34,Q28+1))*V35</f>
        <v>2.5724189810238804E-4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7.4637607381302339E-4</v>
      </c>
      <c r="BP28">
        <f>BP22+1</f>
        <v>7</v>
      </c>
      <c r="BQ28">
        <v>4</v>
      </c>
      <c r="BR28" s="107">
        <f t="shared" si="10"/>
        <v>6.9427391257558023E-4</v>
      </c>
    </row>
    <row r="29" spans="1:70" x14ac:dyDescent="0.25">
      <c r="A29" s="26" t="s">
        <v>27</v>
      </c>
      <c r="B29" s="123">
        <f>1/(1+EXP(-3.1416*4*((B14/(B14+C13))-(3.1416/6))))</f>
        <v>0.2493455947464728</v>
      </c>
      <c r="C29" s="118">
        <f>1/(1+EXP(-3.1416*4*((C14/(C14+B13))-(3.1416/6))))</f>
        <v>0.25677264650337078</v>
      </c>
      <c r="D29" s="153">
        <v>0.04</v>
      </c>
      <c r="E29" s="153">
        <v>0.04</v>
      </c>
      <c r="G29" s="87">
        <v>4</v>
      </c>
      <c r="H29" s="128">
        <f>J29*L25+J28*L26+J27*L27+J26*L28</f>
        <v>0.1322986404672595</v>
      </c>
      <c r="I29" s="93">
        <v>4</v>
      </c>
      <c r="J29" s="86">
        <f t="shared" si="11"/>
        <v>5.7909905624429561E-2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0.15305574213345352</v>
      </c>
      <c r="O29" s="72">
        <v>4</v>
      </c>
      <c r="P29" s="71">
        <f t="shared" si="12"/>
        <v>0.15305574213345352</v>
      </c>
      <c r="Q29" s="28">
        <v>4</v>
      </c>
      <c r="R29" s="37">
        <f>P25*N29+P26*N28+P27*N27+P28*N26+P29*N25</f>
        <v>0.20785664338399454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0.20698252391050634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2.8583862218662893E-3</v>
      </c>
      <c r="AH29" s="28">
        <v>4</v>
      </c>
      <c r="AI29" s="79">
        <f>((($W$25)^M29)*((1-($W$25))^($U$30-M29))*HLOOKUP($U$30,$AV$24:$BF$34,M29+1))*V30</f>
        <v>1.114740669517017E-2</v>
      </c>
      <c r="AJ29" s="28">
        <v>4</v>
      </c>
      <c r="AK29" s="79">
        <f>((($W$25)^M29)*((1-($W$25))^($U$31-M29))*HLOOKUP($U$31,$AV$24:$BF$34,M29+1))*V31</f>
        <v>1.8133164419563808E-2</v>
      </c>
      <c r="AL29" s="28">
        <v>4</v>
      </c>
      <c r="AM29" s="79">
        <f>((($W$25)^Q29)*((1-($W$25))^($U$32-Q29))*HLOOKUP($U$32,$AV$24:$BF$34,Q29+1))*V32</f>
        <v>1.5760508724816418E-2</v>
      </c>
      <c r="AN29" s="28">
        <v>4</v>
      </c>
      <c r="AO29" s="79">
        <f>((($W$25)^Q29)*((1-($W$25))^($U$33-Q29))*HLOOKUP($U$33,$AV$24:$BF$34,Q29+1))*V33</f>
        <v>7.7334716595334734E-3</v>
      </c>
      <c r="AP29" s="28">
        <v>4</v>
      </c>
      <c r="AQ29" s="79">
        <f>((($W$25)^Q29)*((1-($W$25))^($U$34-Q29))*HLOOKUP($U$34,$AV$24:$BF$34,Q29+1))*V34</f>
        <v>2.0421494983215529E-3</v>
      </c>
      <c r="AR29" s="28">
        <v>4</v>
      </c>
      <c r="AS29" s="79">
        <f>((($W$25)^Q29)*((1-($W$25))^($U$35-Q29))*HLOOKUP($U$35,$AV$24:$BF$34,Q29+1))*V35</f>
        <v>2.348184051578451E-4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1.2506105000420346E-4</v>
      </c>
      <c r="BP29">
        <f>BP23+1</f>
        <v>7</v>
      </c>
      <c r="BQ29">
        <v>5</v>
      </c>
      <c r="BR29" s="107">
        <f t="shared" si="10"/>
        <v>3.6940379409945164E-4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5.369669280111701E-2</v>
      </c>
      <c r="I30" s="93">
        <v>5</v>
      </c>
      <c r="J30" s="86">
        <f t="shared" si="11"/>
        <v>1.4318283312654848E-2</v>
      </c>
      <c r="K30" s="93">
        <v>5</v>
      </c>
      <c r="L30" s="86"/>
      <c r="M30" s="85">
        <v>5</v>
      </c>
      <c r="N30" s="71">
        <f>(($B$24)^M30)*((1-($B$24))^($B$21-M30))*HLOOKUP($B$21,$AV$24:$BF$34,M30+1)</f>
        <v>3.0194878123960742E-2</v>
      </c>
      <c r="O30" s="72">
        <v>5</v>
      </c>
      <c r="P30" s="71">
        <f t="shared" si="12"/>
        <v>3.0194878123960742E-2</v>
      </c>
      <c r="Q30" s="28">
        <v>5</v>
      </c>
      <c r="R30" s="37">
        <f>P25*N30+P26*N29+P27*N28+P28*N27+P29*N26+P30*N25</f>
        <v>0.24603608829374951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0.24565306223155622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1.1629370892268099E-3</v>
      </c>
      <c r="AJ30" s="28">
        <v>5</v>
      </c>
      <c r="AK30" s="79">
        <f>((($W$25)^M30)*((1-($W$25))^($U$31-M30))*HLOOKUP($U$31,$AV$24:$BF$34,M30+1))*V31</f>
        <v>3.7834323309824799E-3</v>
      </c>
      <c r="AL30" s="28">
        <v>5</v>
      </c>
      <c r="AM30" s="79">
        <f>((($W$25)^Q30)*((1-($W$25))^($U$32-Q30))*HLOOKUP($U$32,$AV$24:$BF$34,Q30+1))*V32</f>
        <v>4.9325768698596732E-3</v>
      </c>
      <c r="AN30" s="28">
        <v>5</v>
      </c>
      <c r="AO30" s="79">
        <f>((($W$25)^Q30)*((1-($W$25))^($U$33-Q30))*HLOOKUP($U$33,$AV$24:$BF$34,Q30+1))*V33</f>
        <v>3.227133006729721E-3</v>
      </c>
      <c r="AP30" s="28">
        <v>5</v>
      </c>
      <c r="AQ30" s="79">
        <f>((($W$25)^Q30)*((1-($W$25))^($U$34-Q30))*HLOOKUP($U$34,$AV$24:$BF$34,Q30+1))*V34</f>
        <v>1.0652214718123742E-3</v>
      </c>
      <c r="AR30" s="28">
        <v>5</v>
      </c>
      <c r="AS30" s="79">
        <f>((($W$25)^Q30)*((1-($W$25))^($U$35-Q30))*HLOOKUP($U$35,$AV$24:$BF$34,Q30+1))*V35</f>
        <v>1.4698254404378887E-4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1.5294942224562427E-5</v>
      </c>
      <c r="BP30">
        <f>BL10+1</f>
        <v>7</v>
      </c>
      <c r="BQ30">
        <v>6</v>
      </c>
      <c r="BR30" s="107">
        <f t="shared" si="10"/>
        <v>1.457779044465188E-4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0.34280473173322573</v>
      </c>
      <c r="C31" s="61">
        <f>(C25*E25)+(C26*E26)+(C27*E27)+(C28*E28)+(C29*E29)+(C30*E30)/(C25+C26+C27+C28+C29+C30)</f>
        <v>0.47837174337576477</v>
      </c>
      <c r="G31" s="87">
        <v>6</v>
      </c>
      <c r="H31" s="128">
        <f>J31*L25+J30*L26+J29*L27+J28*L28</f>
        <v>1.6193006430290147E-2</v>
      </c>
      <c r="I31" s="93">
        <v>6</v>
      </c>
      <c r="J31" s="86">
        <f t="shared" si="11"/>
        <v>2.4625386980895079E-3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0.20224194130659262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0.20267783343666676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3.2891759062563761E-4</v>
      </c>
      <c r="AL31" s="28">
        <v>6</v>
      </c>
      <c r="AM31" s="79">
        <f>((($W$25)^Q31)*((1-($W$25))^($U$32-Q31))*HLOOKUP($U$32,$AV$24:$BF$34,Q31+1))*V32</f>
        <v>8.5763991935264023E-4</v>
      </c>
      <c r="AN31" s="28">
        <v>6</v>
      </c>
      <c r="AO31" s="79">
        <f>((($W$25)^Q31)*((1-($W$25))^($U$33-Q31))*HLOOKUP($U$33,$AV$24:$BF$34,Q31+1))*V33</f>
        <v>8.4166496478056717E-4</v>
      </c>
      <c r="AP31" s="28">
        <v>6</v>
      </c>
      <c r="AQ31" s="79">
        <f>((($W$25)^Q31)*((1-($W$25))^($U$34-Q31))*HLOOKUP($U$34,$AV$24:$BF$34,Q31+1))*V34</f>
        <v>3.704256340170754E-4</v>
      </c>
      <c r="AR31" s="28">
        <v>6</v>
      </c>
      <c r="AS31" s="79">
        <f>((($W$25)^Q31)*((1-($W$25))^($U$35-Q31))*HLOOKUP($U$35,$AV$24:$BF$34,Q31+1))*V35</f>
        <v>6.3890589313586916E-5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4.4296156026099154E-2</v>
      </c>
      <c r="BP31">
        <f t="shared" ref="BP31:BP37" si="17">BP24+1</f>
        <v>8</v>
      </c>
      <c r="BQ31">
        <v>0</v>
      </c>
      <c r="BR31" s="107">
        <f t="shared" ref="BR31:BR38" si="18">$H$33*H39</f>
        <v>2.1526210970349175E-5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3.6799629748153271E-3</v>
      </c>
      <c r="I32" s="93">
        <v>7</v>
      </c>
      <c r="J32" s="86">
        <f t="shared" si="11"/>
        <v>2.9119752588706402E-4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0.11399527078332047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0.11487662617546479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6.3908603440271139E-5</v>
      </c>
      <c r="AN32" s="28">
        <v>7</v>
      </c>
      <c r="AO32" s="79">
        <f>((($W$25)^Q32)*((1-($W$25))^($U$33-Q32))*HLOOKUP($U$33,$AV$24:$BF$34,Q32+1))*V33</f>
        <v>1.2543640110486526E-4</v>
      </c>
      <c r="AP32" s="28">
        <v>7</v>
      </c>
      <c r="AQ32" s="79">
        <f>((($W$25)^Q32)*((1-($W$25))^($U$34-Q32))*HLOOKUP($U$34,$AV$24:$BF$34,Q32+1))*V34</f>
        <v>8.280882599206897E-5</v>
      </c>
      <c r="AR32" s="28">
        <v>7</v>
      </c>
      <c r="AS32" s="79">
        <f>((($W$25)^Q32)*((1-($W$25))^($U$35-Q32))*HLOOKUP($U$35,$AV$24:$BF$34,Q32+1))*V35</f>
        <v>1.9043695349858629E-5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2.3568749745124528E-2</v>
      </c>
      <c r="BP32">
        <f t="shared" si="17"/>
        <v>8</v>
      </c>
      <c r="BQ32">
        <v>1</v>
      </c>
      <c r="BR32" s="107">
        <f t="shared" si="18"/>
        <v>8.3289345632434845E-5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6.3090167685434233E-4</v>
      </c>
      <c r="I33" s="93">
        <v>8</v>
      </c>
      <c r="J33" s="86">
        <f t="shared" si="11"/>
        <v>2.2702444573795421E-5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4.2166908360040001E-2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4.2885602441975305E-2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8.1787320121269548E-6</v>
      </c>
      <c r="AP33" s="28">
        <v>8</v>
      </c>
      <c r="AQ33" s="79">
        <f>((($W$25)^Q33)*((1-($W$25))^($U$34-Q33))*HLOOKUP($U$34,$AV$24:$BF$34,Q33+1))*V34</f>
        <v>1.0798638833105295E-5</v>
      </c>
      <c r="AR33" s="28">
        <v>8</v>
      </c>
      <c r="AS33" s="79">
        <f>((($W$25)^Q33)*((1-($W$25))^($U$35-Q33))*HLOOKUP($U$35,$AV$24:$BF$34,Q33+1))*V35</f>
        <v>3.7250737285631712E-6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9.3009411466512554E-3</v>
      </c>
      <c r="BP33">
        <f t="shared" si="17"/>
        <v>8</v>
      </c>
      <c r="BQ33">
        <v>2</v>
      </c>
      <c r="BR33" s="107">
        <f t="shared" si="18"/>
        <v>1.4831046529898521E-4</v>
      </c>
    </row>
    <row r="34" spans="1:70" x14ac:dyDescent="0.25">
      <c r="A34" s="40" t="s">
        <v>86</v>
      </c>
      <c r="B34" s="56">
        <f>B23*2</f>
        <v>4.9657706376864468</v>
      </c>
      <c r="C34" s="57">
        <f>C23*2</f>
        <v>5.0342293623135532</v>
      </c>
      <c r="G34" s="87">
        <v>9</v>
      </c>
      <c r="H34" s="128">
        <f>J34*L25+J33*L26+J32*L27+J31*L28</f>
        <v>8.0644369874714687E-5</v>
      </c>
      <c r="I34" s="93">
        <v>9</v>
      </c>
      <c r="J34" s="86">
        <f t="shared" si="11"/>
        <v>1.057654583339052E-6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9.2429989597839837E-3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9.5732106651121203E-3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6.2586243676767371E-7</v>
      </c>
      <c r="AR34" s="28">
        <v>9</v>
      </c>
      <c r="AS34" s="79">
        <f>((($W$25)^Q34)*((1-($W$25))^($U$35-Q34))*HLOOKUP($U$35,$AV$24:$BF$34,Q34+1))*V35</f>
        <v>4.3179214657137834E-7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2.7620551799751149E-3</v>
      </c>
      <c r="BP34">
        <f t="shared" si="17"/>
        <v>8</v>
      </c>
      <c r="BQ34">
        <v>3</v>
      </c>
      <c r="BR34" s="107">
        <f t="shared" si="18"/>
        <v>1.6102293320419147E-4</v>
      </c>
    </row>
    <row r="35" spans="1:70" ht="15.75" thickBot="1" x14ac:dyDescent="0.3">
      <c r="G35" s="88">
        <v>10</v>
      </c>
      <c r="H35" s="129">
        <f>J35*L25+J34*L26+J33*L27+J32*L28</f>
        <v>7.4746606963025232E-6</v>
      </c>
      <c r="I35" s="94">
        <v>10</v>
      </c>
      <c r="J35" s="89">
        <f t="shared" si="11"/>
        <v>2.252304575477091E-8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9.1173066492084302E-4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1.0049837522534411E-3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2.252304575477091E-8</v>
      </c>
      <c r="BH35">
        <f t="shared" si="15"/>
        <v>3</v>
      </c>
      <c r="BI35">
        <v>8</v>
      </c>
      <c r="BJ35" s="107">
        <f t="shared" si="16"/>
        <v>6.1890457630651389E-4</v>
      </c>
      <c r="BP35">
        <f t="shared" si="17"/>
        <v>8</v>
      </c>
      <c r="BQ35">
        <v>4</v>
      </c>
      <c r="BR35" s="107">
        <f t="shared" si="18"/>
        <v>1.1902798442208237E-4</v>
      </c>
    </row>
    <row r="36" spans="1:70" x14ac:dyDescent="0.25">
      <c r="A36" s="1"/>
      <c r="B36" s="108">
        <f>SUM(B37:B39)</f>
        <v>0.99998719053721075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0.99999999999999967</v>
      </c>
      <c r="BH36">
        <f t="shared" si="15"/>
        <v>3</v>
      </c>
      <c r="BI36">
        <v>9</v>
      </c>
      <c r="BJ36" s="107">
        <f t="shared" si="16"/>
        <v>1.0370222047697789E-4</v>
      </c>
      <c r="BP36">
        <f t="shared" si="17"/>
        <v>8</v>
      </c>
      <c r="BQ36">
        <v>5</v>
      </c>
      <c r="BR36" s="107">
        <f t="shared" si="18"/>
        <v>6.3331472280749198E-5</v>
      </c>
    </row>
    <row r="37" spans="1:70" ht="15.75" thickBot="1" x14ac:dyDescent="0.3">
      <c r="A37" s="109" t="s">
        <v>104</v>
      </c>
      <c r="B37" s="107">
        <f>SUM(BN4:BN14)</f>
        <v>0.18717283294113982</v>
      </c>
      <c r="G37" s="13"/>
      <c r="H37" s="59">
        <f>SUM(H39:H49)</f>
        <v>0.99999515997805954</v>
      </c>
      <c r="I37" s="13"/>
      <c r="J37" s="59">
        <f>SUM(J39:J49)</f>
        <v>0.99999999999999967</v>
      </c>
      <c r="K37" s="59"/>
      <c r="L37" s="59">
        <f>SUM(L39:L49)</f>
        <v>0.99999999999999989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0.99879712645636798</v>
      </c>
      <c r="W37" s="13"/>
      <c r="X37" s="13"/>
      <c r="Y37" s="80">
        <f>SUM(Y39:Y49)</f>
        <v>8.9812297078056531E-4</v>
      </c>
      <c r="Z37" s="81"/>
      <c r="AA37" s="80">
        <f>SUM(AA39:AA49)</f>
        <v>9.118585587207401E-3</v>
      </c>
      <c r="AB37" s="81"/>
      <c r="AC37" s="80">
        <f>SUM(AC39:AC49)</f>
        <v>4.1674892020481073E-2</v>
      </c>
      <c r="AD37" s="81"/>
      <c r="AE37" s="80">
        <f>SUM(AE39:AE49)</f>
        <v>0.11292076139197138</v>
      </c>
      <c r="AF37" s="81"/>
      <c r="AG37" s="80">
        <f>SUM(AG39:AG49)</f>
        <v>0.20091947543261893</v>
      </c>
      <c r="AH37" s="81"/>
      <c r="AI37" s="80">
        <f>SUM(AI39:AI49)</f>
        <v>0.24537584975853063</v>
      </c>
      <c r="AJ37" s="81"/>
      <c r="AK37" s="80">
        <f>SUM(AK39:AK49)</f>
        <v>0.20842319172838195</v>
      </c>
      <c r="AL37" s="81"/>
      <c r="AM37" s="80">
        <f>SUM(AM39:AM49)</f>
        <v>0.12172063524817953</v>
      </c>
      <c r="AN37" s="81"/>
      <c r="AO37" s="80">
        <f>SUM(AO39:AO49)</f>
        <v>4.6897746041789624E-2</v>
      </c>
      <c r="AP37" s="81"/>
      <c r="AQ37" s="80">
        <f>SUM(AQ39:AQ49)</f>
        <v>1.0847866276426423E-2</v>
      </c>
      <c r="AR37" s="81"/>
      <c r="AS37" s="80">
        <f>SUM(AS39:AS49)</f>
        <v>1.2028735436320208E-3</v>
      </c>
      <c r="BH37">
        <f t="shared" si="15"/>
        <v>3</v>
      </c>
      <c r="BI37">
        <v>10</v>
      </c>
      <c r="BJ37" s="107">
        <f t="shared" si="16"/>
        <v>1.2682761504888213E-5</v>
      </c>
      <c r="BP37">
        <f t="shared" si="17"/>
        <v>8</v>
      </c>
      <c r="BQ37">
        <v>6</v>
      </c>
      <c r="BR37" s="107">
        <f t="shared" si="18"/>
        <v>2.4992513509795908E-5</v>
      </c>
    </row>
    <row r="38" spans="1:70" ht="15.75" thickBot="1" x14ac:dyDescent="0.3">
      <c r="A38" s="110" t="s">
        <v>105</v>
      </c>
      <c r="B38" s="107">
        <f>SUM(BJ4:BJ59)</f>
        <v>0.51319688513462347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1.3280465069151259E-2</v>
      </c>
      <c r="BP38">
        <f>BL11+1</f>
        <v>8</v>
      </c>
      <c r="BQ38">
        <v>7</v>
      </c>
      <c r="BR38" s="107">
        <f t="shared" si="18"/>
        <v>7.4219049784208018E-6</v>
      </c>
    </row>
    <row r="39" spans="1:70" x14ac:dyDescent="0.25">
      <c r="A39" s="111" t="s">
        <v>0</v>
      </c>
      <c r="B39" s="107">
        <f>SUM(BR4:BR47)</f>
        <v>0.29961747246144743</v>
      </c>
      <c r="G39" s="130">
        <v>0</v>
      </c>
      <c r="H39" s="131">
        <f>L39*J39</f>
        <v>3.4119755518289704E-2</v>
      </c>
      <c r="I39" s="97">
        <v>0</v>
      </c>
      <c r="J39" s="98">
        <f t="shared" ref="J39:J49" si="33">Y39+AA39+AC39+AE39+AG39+AI39+AK39+AM39+AO39+AQ39+AS39</f>
        <v>6.3140598923751914E-2</v>
      </c>
      <c r="K39" s="102">
        <v>0</v>
      </c>
      <c r="L39" s="98">
        <f>AC21</f>
        <v>0.54037744493827888</v>
      </c>
      <c r="M39" s="84">
        <v>0</v>
      </c>
      <c r="N39" s="71">
        <f>(1-$C$24)^$B$21</f>
        <v>3.0194878123960725E-2</v>
      </c>
      <c r="O39" s="70">
        <v>0</v>
      </c>
      <c r="P39" s="71">
        <f>N39</f>
        <v>3.0194878123960725E-2</v>
      </c>
      <c r="Q39" s="12">
        <v>0</v>
      </c>
      <c r="R39" s="73">
        <f>P39*N39</f>
        <v>9.1173066492084194E-4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8.9812297078056531E-4</v>
      </c>
      <c r="W39" s="136">
        <f>C31</f>
        <v>0.47837174337576477</v>
      </c>
      <c r="X39" s="12">
        <v>0</v>
      </c>
      <c r="Y39" s="79">
        <f>V39</f>
        <v>8.9812297078056531E-4</v>
      </c>
      <c r="Z39" s="12">
        <v>0</v>
      </c>
      <c r="AA39" s="78">
        <f>((1-W39)^Z40)*V40</f>
        <v>4.7565119027338744E-3</v>
      </c>
      <c r="AB39" s="12">
        <v>0</v>
      </c>
      <c r="AC39" s="79">
        <f>(((1-$W$39)^AB41))*V41</f>
        <v>1.1339573007386567E-2</v>
      </c>
      <c r="AD39" s="12">
        <v>0</v>
      </c>
      <c r="AE39" s="79">
        <f>(((1-$W$39)^AB42))*V42</f>
        <v>1.6027180393291006E-2</v>
      </c>
      <c r="AF39" s="12">
        <v>0</v>
      </c>
      <c r="AG39" s="79">
        <f>(((1-$W$39)^AB43))*V43</f>
        <v>1.4875325307539671E-2</v>
      </c>
      <c r="AH39" s="12">
        <v>0</v>
      </c>
      <c r="AI39" s="79">
        <f>(((1-$W$39)^AB44))*V44</f>
        <v>9.476268601881133E-3</v>
      </c>
      <c r="AJ39" s="12">
        <v>0</v>
      </c>
      <c r="AK39" s="79">
        <f>(((1-$W$39)^AB45))*V45</f>
        <v>4.1986792317643172E-3</v>
      </c>
      <c r="AL39" s="12">
        <v>0</v>
      </c>
      <c r="AM39" s="79">
        <f>(((1-$W$39)^AB46))*V46</f>
        <v>1.2790631116646304E-3</v>
      </c>
      <c r="AN39" s="12">
        <v>0</v>
      </c>
      <c r="AO39" s="79">
        <f>(((1-$W$39)^AB47))*V47</f>
        <v>2.5706375282021191E-4</v>
      </c>
      <c r="AP39" s="12">
        <v>0</v>
      </c>
      <c r="AQ39" s="79">
        <f>(((1-$W$39)^AB48))*V48</f>
        <v>3.1016608259506215E-5</v>
      </c>
      <c r="AR39" s="12">
        <v>0</v>
      </c>
      <c r="AS39" s="79">
        <f>(((1-$W$39)^AB49))*V49</f>
        <v>1.7940356304301009E-6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5.240872992589918E-3</v>
      </c>
      <c r="BP39">
        <f t="shared" ref="BP39:BP46" si="34">BP31+1</f>
        <v>9</v>
      </c>
      <c r="BQ39">
        <v>0</v>
      </c>
      <c r="BR39" s="107">
        <f t="shared" ref="BR39:BR47" si="35">$H$34*H39</f>
        <v>2.7515661840517925E-6</v>
      </c>
    </row>
    <row r="40" spans="1:70" x14ac:dyDescent="0.25">
      <c r="G40" s="91">
        <v>1</v>
      </c>
      <c r="H40" s="132">
        <f>L39*J40+L40*J39</f>
        <v>0.13201636433701228</v>
      </c>
      <c r="I40" s="93">
        <v>1</v>
      </c>
      <c r="J40" s="86">
        <f t="shared" si="33"/>
        <v>0.20074655841953301</v>
      </c>
      <c r="K40" s="95">
        <v>1</v>
      </c>
      <c r="L40" s="86">
        <f>AD21</f>
        <v>0.37277840912683974</v>
      </c>
      <c r="M40" s="85">
        <v>1</v>
      </c>
      <c r="N40" s="71">
        <f>(($C$24)^M26)*((1-($C$24))^($B$21-M26))*HLOOKUP($B$21,$AV$24:$BF$34,M26+1)</f>
        <v>0.15305574213345344</v>
      </c>
      <c r="O40" s="72">
        <v>1</v>
      </c>
      <c r="P40" s="71">
        <f t="shared" ref="P40:P44" si="36">N40</f>
        <v>0.15305574213345344</v>
      </c>
      <c r="Q40" s="28">
        <v>1</v>
      </c>
      <c r="R40" s="37">
        <f>P40*N39+P39*N40</f>
        <v>9.2429989597839733E-3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9.118585587207401E-3</v>
      </c>
      <c r="W40" s="137"/>
      <c r="X40" s="28">
        <v>1</v>
      </c>
      <c r="Y40" s="73"/>
      <c r="Z40" s="28">
        <v>1</v>
      </c>
      <c r="AA40" s="79">
        <f>(1-((1-W39)^Z40))*V40</f>
        <v>4.3620736844735266E-3</v>
      </c>
      <c r="AB40" s="28">
        <v>1</v>
      </c>
      <c r="AC40" s="79">
        <f>((($W$39)^M40)*((1-($W$39))^($U$27-M40))*HLOOKUP($U$27,$AV$24:$BF$34,M40+1))*V41</f>
        <v>2.0798456524520451E-2</v>
      </c>
      <c r="AD40" s="28">
        <v>1</v>
      </c>
      <c r="AE40" s="79">
        <f>((($W$39)^M40)*((1-($W$39))^($U$28-M40))*HLOOKUP($U$28,$AV$24:$BF$34,M40+1))*V42</f>
        <v>4.4094334205093844E-2</v>
      </c>
      <c r="AF40" s="28">
        <v>1</v>
      </c>
      <c r="AG40" s="79">
        <f>((($W$39)^M40)*((1-($W$39))^($U$29-M40))*HLOOKUP($U$29,$AV$24:$BF$34,M40+1))*V43</f>
        <v>5.4567099924385319E-2</v>
      </c>
      <c r="AH40" s="28">
        <v>1</v>
      </c>
      <c r="AI40" s="79">
        <f>((($W$39)^M40)*((1-($W$39))^($U$30-M40))*HLOOKUP($U$30,$AV$24:$BF$34,M40+1))*V44</f>
        <v>4.3452200625746201E-2</v>
      </c>
      <c r="AJ40" s="28">
        <v>1</v>
      </c>
      <c r="AK40" s="79">
        <f>((($W$39)^M40)*((1-($W$39))^($U$31-M40))*HLOOKUP($U$31,$AV$24:$BF$34,M40+1))*V45</f>
        <v>2.3102998870955668E-2</v>
      </c>
      <c r="AL40" s="28">
        <v>1</v>
      </c>
      <c r="AM40" s="79">
        <f>((($W$39)^Q40)*((1-($W$39))^($U$32-Q40))*HLOOKUP($U$32,$AV$24:$BF$34,Q40+1))*V46</f>
        <v>8.2109692101819381E-3</v>
      </c>
      <c r="AN40" s="28">
        <v>1</v>
      </c>
      <c r="AO40" s="79">
        <f>((($W$39)^Q40)*((1-($W$39))^($U$33-Q40))*HLOOKUP($U$33,$AV$24:$BF$34,Q40+1))*V47</f>
        <v>1.8859719968568607E-3</v>
      </c>
      <c r="AP40" s="28">
        <v>1</v>
      </c>
      <c r="AQ40" s="79">
        <f>((($W$39)^Q40)*((1-($W$39))^($U$34-Q40))*HLOOKUP($U$34,$AV$24:$BF$34,Q40+1))*V48</f>
        <v>2.5600074191633424E-4</v>
      </c>
      <c r="AR40" s="28">
        <v>1</v>
      </c>
      <c r="AS40" s="79">
        <f>((($W$39)^Q40)*((1-($W$39))^($U$35-Q40))*HLOOKUP($U$35,$AV$24:$BF$34,Q40+1))*V49</f>
        <v>1.6452635402865432E-5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1.5563565201126455E-3</v>
      </c>
      <c r="BP40">
        <f t="shared" si="34"/>
        <v>9</v>
      </c>
      <c r="BQ40">
        <v>1</v>
      </c>
      <c r="BR40" s="107">
        <f t="shared" si="35"/>
        <v>1.064637651510911E-5</v>
      </c>
    </row>
    <row r="41" spans="1:70" x14ac:dyDescent="0.25">
      <c r="G41" s="91">
        <v>2</v>
      </c>
      <c r="H41" s="132">
        <f>L39*J41+J40*L40+J39*L41</f>
        <v>0.23507698701714813</v>
      </c>
      <c r="I41" s="93">
        <v>2</v>
      </c>
      <c r="J41" s="86">
        <f t="shared" si="33"/>
        <v>0.28735411549741147</v>
      </c>
      <c r="K41" s="95">
        <v>2</v>
      </c>
      <c r="L41" s="86">
        <f>AE21</f>
        <v>7.8607452121729093E-2</v>
      </c>
      <c r="M41" s="85">
        <v>2</v>
      </c>
      <c r="N41" s="71">
        <f>(($C$24)^M27)*((1-($C$24))^($B$21-M27))*HLOOKUP($B$21,$AV$24:$BF$34,M27+1)</f>
        <v>0.31033157483000762</v>
      </c>
      <c r="O41" s="72">
        <v>2</v>
      </c>
      <c r="P41" s="71">
        <f t="shared" si="36"/>
        <v>0.31033157483000762</v>
      </c>
      <c r="Q41" s="28">
        <v>2</v>
      </c>
      <c r="R41" s="37">
        <f>P41*N39+P40*N40+P39*N41</f>
        <v>4.2166908360039952E-2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4.167489202048108E-2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9.5368624885740546E-3</v>
      </c>
      <c r="AD41" s="28">
        <v>2</v>
      </c>
      <c r="AE41" s="79">
        <f>((($W$39)^M41)*((1-($W$39))^($U$28-M41))*HLOOKUP($U$28,$AV$24:$BF$34,M41+1))*V42</f>
        <v>4.0437770114665116E-2</v>
      </c>
      <c r="AF41" s="28">
        <v>2</v>
      </c>
      <c r="AG41" s="79">
        <f>((($W$39)^M41)*((1-($W$39))^($U$29-M41))*HLOOKUP($U$29,$AV$24:$BF$34,M41+1))*V43</f>
        <v>7.5063107846336879E-2</v>
      </c>
      <c r="AH41" s="28">
        <v>2</v>
      </c>
      <c r="AI41" s="79">
        <f>((($W$39)^M41)*((1-($W$39))^($U$30-M41))*HLOOKUP($U$30,$AV$24:$BF$34,M41+1))*V44</f>
        <v>7.9697772131334207E-2</v>
      </c>
      <c r="AJ41" s="28">
        <v>2</v>
      </c>
      <c r="AK41" s="79">
        <f>((($W$39)^M41)*((1-($W$39))^($U$31-M41))*HLOOKUP($U$31,$AV$24:$BF$34,M41+1))*V45</f>
        <v>5.2967902460989466E-2</v>
      </c>
      <c r="AL41" s="28">
        <v>2</v>
      </c>
      <c r="AM41" s="79">
        <f>((($W$39)^Q41)*((1-($W$39))^($U$32-Q41))*HLOOKUP($U$32,$AV$24:$BF$34,Q41+1))*V46</f>
        <v>2.2590200622753045E-2</v>
      </c>
      <c r="AN41" s="28">
        <v>2</v>
      </c>
      <c r="AO41" s="79">
        <f>((($W$39)^Q41)*((1-($W$39))^($U$33-Q41))*HLOOKUP($U$33,$AV$24:$BF$34,Q41+1))*V47</f>
        <v>6.0535159900371519E-3</v>
      </c>
      <c r="AP41" s="28">
        <v>2</v>
      </c>
      <c r="AQ41" s="79">
        <f>((($W$39)^Q41)*((1-($W$39))^($U$34-Q41))*HLOOKUP($U$34,$AV$24:$BF$34,Q41+1))*V48</f>
        <v>9.390865595245157E-4</v>
      </c>
      <c r="AR41" s="28">
        <v>2</v>
      </c>
      <c r="AS41" s="79">
        <f>((($W$39)^Q41)*((1-($W$39))^($U$35-Q41))*HLOOKUP($U$35,$AV$24:$BF$34,Q41+1))*V49</f>
        <v>6.789728319700471E-5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3.4873893166423835E-4</v>
      </c>
      <c r="BP41">
        <f t="shared" si="34"/>
        <v>9</v>
      </c>
      <c r="BQ41">
        <v>2</v>
      </c>
      <c r="BR41" s="107">
        <f t="shared" si="35"/>
        <v>1.8957635490044395E-5</v>
      </c>
    </row>
    <row r="42" spans="1:70" ht="15" customHeight="1" x14ac:dyDescent="0.25">
      <c r="G42" s="91">
        <v>3</v>
      </c>
      <c r="H42" s="132">
        <f>J42*L39+J41*L40+L42*J39+L41*J40</f>
        <v>0.25522666861030896</v>
      </c>
      <c r="I42" s="93">
        <v>3</v>
      </c>
      <c r="J42" s="86">
        <f t="shared" si="33"/>
        <v>0.24391657082228735</v>
      </c>
      <c r="K42" s="95">
        <v>3</v>
      </c>
      <c r="L42" s="86">
        <f>AF21</f>
        <v>8.2366938131522849E-3</v>
      </c>
      <c r="M42" s="85">
        <v>3</v>
      </c>
      <c r="N42" s="71">
        <f>(($C$24)^M28)*((1-($C$24))^($B$21-M28))*HLOOKUP($B$21,$AV$24:$BF$34,M28+1)</f>
        <v>0.31460984408053461</v>
      </c>
      <c r="O42" s="72">
        <v>3</v>
      </c>
      <c r="P42" s="71">
        <f t="shared" si="36"/>
        <v>0.31460984408053461</v>
      </c>
      <c r="Q42" s="28">
        <v>3</v>
      </c>
      <c r="R42" s="37">
        <f>P42*N39+P41*N40+P40*N41+P39*N42</f>
        <v>0.11399527078332036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0.11292076139197139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1.236147667892141E-2</v>
      </c>
      <c r="AF42" s="28">
        <v>3</v>
      </c>
      <c r="AG42" s="79">
        <f>((($W$39)^M42)*((1-($W$39))^($U$29-M42))*HLOOKUP($U$29,$AV$24:$BF$34,M42+1))*V43</f>
        <v>4.5892286071103038E-2</v>
      </c>
      <c r="AH42" s="28">
        <v>3</v>
      </c>
      <c r="AI42" s="79">
        <f>((($W$39)^M42)*((1-($W$39))^($U$30-M42))*HLOOKUP($U$30,$AV$24:$BF$34,M42+1))*V44</f>
        <v>7.3088759501567749E-2</v>
      </c>
      <c r="AJ42" s="28">
        <v>3</v>
      </c>
      <c r="AK42" s="79">
        <f>((($W$39)^M42)*((1-($W$39))^($U$31-M42))*HLOOKUP($U$31,$AV$24:$BF$34,M42+1))*V45</f>
        <v>6.4767319181672722E-2</v>
      </c>
      <c r="AL42" s="28">
        <v>3</v>
      </c>
      <c r="AM42" s="79">
        <f>((($W$39)^Q42)*((1-($W$39))^($U$32-Q42))*HLOOKUP($U$32,$AV$24:$BF$34,Q42+1))*V46</f>
        <v>3.4528145021162519E-2</v>
      </c>
      <c r="AN42" s="28">
        <v>3</v>
      </c>
      <c r="AO42" s="79">
        <f>((($W$39)^Q42)*((1-($W$39))^($U$33-Q42))*HLOOKUP($U$33,$AV$24:$BF$34,Q42+1))*V47</f>
        <v>1.1103044978612838E-2</v>
      </c>
      <c r="AP42" s="28">
        <v>3</v>
      </c>
      <c r="AQ42" s="79">
        <f>((($W$39)^Q42)*((1-($W$39))^($U$34-Q42))*HLOOKUP($U$34,$AV$24:$BF$34,Q42+1))*V48</f>
        <v>2.0094944900506881E-3</v>
      </c>
      <c r="AR42" s="28">
        <v>3</v>
      </c>
      <c r="AS42" s="79">
        <f>((($W$39)^Q42)*((1-($W$39))^($U$35-Q42))*HLOOKUP($U$35,$AV$24:$BF$34,Q42+1))*V49</f>
        <v>1.6604489919636058E-4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5.843388943118717E-5</v>
      </c>
      <c r="BP42">
        <f t="shared" si="34"/>
        <v>9</v>
      </c>
      <c r="BQ42">
        <v>3</v>
      </c>
      <c r="BR42" s="107">
        <f t="shared" si="35"/>
        <v>2.0582593865300987E-5</v>
      </c>
    </row>
    <row r="43" spans="1:70" ht="15" customHeight="1" x14ac:dyDescent="0.25">
      <c r="G43" s="91">
        <v>4</v>
      </c>
      <c r="H43" s="132">
        <f>J43*L39+J42*L40+J41*L41+J40*L42</f>
        <v>0.18866328746430425</v>
      </c>
      <c r="I43" s="93">
        <v>4</v>
      </c>
      <c r="J43" s="86">
        <f t="shared" si="33"/>
        <v>0.13600640461631769</v>
      </c>
      <c r="K43" s="95">
        <v>4</v>
      </c>
      <c r="L43" s="86"/>
      <c r="M43" s="85">
        <v>4</v>
      </c>
      <c r="N43" s="71">
        <f>(($C$24)^M29)*((1-($C$24))^($B$21-M29))*HLOOKUP($B$21,$AV$24:$BF$34,M29+1)</f>
        <v>0.15947354703851341</v>
      </c>
      <c r="O43" s="72">
        <v>4</v>
      </c>
      <c r="P43" s="71">
        <f t="shared" si="36"/>
        <v>0.15947354703851341</v>
      </c>
      <c r="Q43" s="28">
        <v>4</v>
      </c>
      <c r="R43" s="37">
        <f>P43*N39+P42*N40+P41*N41+P40*N42+P39*N43</f>
        <v>0.20224194130659245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0.20091947543261898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1.0521656283254015E-2</v>
      </c>
      <c r="AH43" s="28">
        <v>4</v>
      </c>
      <c r="AI43" s="79">
        <f>((($W$39)^M43)*((1-($W$39))^($U$30-M43))*HLOOKUP($U$30,$AV$24:$BF$34,M43+1))*V44</f>
        <v>3.3513902726634348E-2</v>
      </c>
      <c r="AJ43" s="28">
        <v>4</v>
      </c>
      <c r="AK43" s="79">
        <f>((($W$39)^M43)*((1-($W$39))^($U$31-M43))*HLOOKUP($U$31,$AV$24:$BF$34,M43+1))*V45</f>
        <v>4.4547321292398578E-2</v>
      </c>
      <c r="AL43" s="28">
        <v>4</v>
      </c>
      <c r="AM43" s="79">
        <f>((($W$39)^Q43)*((1-($W$39))^($U$32-Q43))*HLOOKUP($U$32,$AV$24:$BF$34,Q43+1))*V46</f>
        <v>3.1664866156212258E-2</v>
      </c>
      <c r="AN43" s="28">
        <v>4</v>
      </c>
      <c r="AO43" s="79">
        <f>((($W$39)^Q43)*((1-($W$39))^($U$33-Q43))*HLOOKUP($U$33,$AV$24:$BF$34,Q43+1))*V47</f>
        <v>1.2727893178112258E-2</v>
      </c>
      <c r="AP43" s="28">
        <v>4</v>
      </c>
      <c r="AQ43" s="79">
        <f>((($W$39)^Q43)*((1-($W$39))^($U$34-Q43))*HLOOKUP($U$34,$AV$24:$BF$34,Q43+1))*V48</f>
        <v>2.7642829073253826E-3</v>
      </c>
      <c r="AR43" s="28">
        <v>4</v>
      </c>
      <c r="AS43" s="79">
        <f>((($W$39)^Q43)*((1-($W$39))^($U$35-Q43))*HLOOKUP($U$35,$AV$24:$BF$34,Q43+1))*V49</f>
        <v>2.6648207238083506E-4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7.1464533743834465E-6</v>
      </c>
      <c r="BP43">
        <f t="shared" si="34"/>
        <v>9</v>
      </c>
      <c r="BQ43">
        <v>4</v>
      </c>
      <c r="BR43" s="107">
        <f t="shared" si="35"/>
        <v>1.5214631936050975E-5</v>
      </c>
    </row>
    <row r="44" spans="1:70" ht="15" customHeight="1" thickBot="1" x14ac:dyDescent="0.3">
      <c r="G44" s="91">
        <v>5</v>
      </c>
      <c r="H44" s="132">
        <f>J44*L39+J43*L40+J42*L41+J41*L42</f>
        <v>0.10038247575520499</v>
      </c>
      <c r="I44" s="93">
        <v>5</v>
      </c>
      <c r="J44" s="86">
        <f t="shared" si="33"/>
        <v>5.2077888977354422E-2</v>
      </c>
      <c r="K44" s="95">
        <v>5</v>
      </c>
      <c r="L44" s="86"/>
      <c r="M44" s="85">
        <v>5</v>
      </c>
      <c r="N44" s="71">
        <f>(($C$24)^M30)*((1-($C$24))^($B$21-M30))*HLOOKUP($B$21,$AV$24:$BF$34,M30+1)</f>
        <v>3.2334413793530054E-2</v>
      </c>
      <c r="O44" s="72">
        <v>5</v>
      </c>
      <c r="P44" s="71">
        <f t="shared" si="36"/>
        <v>3.2334413793530054E-2</v>
      </c>
      <c r="Q44" s="28">
        <v>5</v>
      </c>
      <c r="R44" s="37">
        <f>P44*N39+P43*N40+P42*N41+P41*N42+P40*N43+P39*N44</f>
        <v>0.24603608829374934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0.24537584975853072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6.1469461713669783E-3</v>
      </c>
      <c r="AJ44" s="28">
        <v>5</v>
      </c>
      <c r="AK44" s="79">
        <f>((($W$39)^M44)*((1-($W$39))^($U$31-M44))*HLOOKUP($U$31,$AV$24:$BF$34,M44+1))*V45</f>
        <v>1.6341277128870131E-2</v>
      </c>
      <c r="AL44" s="28">
        <v>5</v>
      </c>
      <c r="AM44" s="79">
        <f>((($W$39)^Q44)*((1-($W$39))^($U$32-Q44))*HLOOKUP($U$32,$AV$24:$BF$34,Q44+1))*V46</f>
        <v>1.7423416428707029E-2</v>
      </c>
      <c r="AN44" s="28">
        <v>5</v>
      </c>
      <c r="AO44" s="79">
        <f>((($W$39)^Q44)*((1-($W$39))^($U$33-Q44))*HLOOKUP($U$33,$AV$24:$BF$34,Q44+1))*V47</f>
        <v>9.3379365428052728E-3</v>
      </c>
      <c r="AP44" s="28">
        <v>5</v>
      </c>
      <c r="AQ44" s="79">
        <f>((($W$39)^Q44)*((1-($W$39))^($U$34-Q44))*HLOOKUP($U$34,$AV$24:$BF$34,Q44+1))*V48</f>
        <v>2.535052150201392E-3</v>
      </c>
      <c r="AR44" s="28">
        <v>5</v>
      </c>
      <c r="AS44" s="79">
        <f>((($W$39)^Q44)*((1-($W$39))^($U$35-Q44))*HLOOKUP($U$35,$AV$24:$BF$34,Q44+1))*V49</f>
        <v>2.9326055540362565E-4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2.1271386168357125E-3</v>
      </c>
      <c r="BP44">
        <f t="shared" si="34"/>
        <v>9</v>
      </c>
      <c r="BQ44">
        <v>5</v>
      </c>
      <c r="BR44" s="107">
        <f t="shared" si="35"/>
        <v>8.0952815037423318E-6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3.9613959554534492E-2</v>
      </c>
      <c r="I45" s="93">
        <v>6</v>
      </c>
      <c r="J45" s="86">
        <f t="shared" si="33"/>
        <v>1.3879676089711386E-2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0.20785664338399445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0.20842319172838206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2.4976935617310671E-3</v>
      </c>
      <c r="AL45" s="28">
        <v>6</v>
      </c>
      <c r="AM45" s="79">
        <f>((($W$39)^Q45)*((1-($W$39))^($U$32-Q45))*HLOOKUP($U$32,$AV$24:$BF$34,Q45+1))*V46</f>
        <v>5.3261877507060906E-3</v>
      </c>
      <c r="AN45" s="28">
        <v>6</v>
      </c>
      <c r="AO45" s="79">
        <f>((($W$39)^Q45)*((1-($W$39))^($U$33-Q45))*HLOOKUP($U$33,$AV$24:$BF$34,Q45+1))*V47</f>
        <v>4.2817896910173634E-3</v>
      </c>
      <c r="AP45" s="28">
        <v>6</v>
      </c>
      <c r="AQ45" s="79">
        <f>((($W$39)^Q45)*((1-($W$39))^($U$34-Q45))*HLOOKUP($U$34,$AV$24:$BF$34,Q45+1))*V48</f>
        <v>1.5498870459822638E-3</v>
      </c>
      <c r="AR45" s="28">
        <v>6</v>
      </c>
      <c r="AS45" s="79">
        <f>((($W$39)^Q45)*((1-($W$39))^($U$35-Q45))*HLOOKUP($U$35,$AV$24:$BF$34,Q45+1))*V49</f>
        <v>2.2411804027460284E-4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6.3168599204302422E-4</v>
      </c>
      <c r="BP45">
        <f t="shared" si="34"/>
        <v>9</v>
      </c>
      <c r="BQ45">
        <v>6</v>
      </c>
      <c r="BR45" s="107">
        <f t="shared" si="35"/>
        <v>3.1946428065178674E-6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1.1763964577533233E-2</v>
      </c>
      <c r="I46" s="93">
        <v>7</v>
      </c>
      <c r="J46" s="86">
        <f t="shared" si="33"/>
        <v>2.546308589788617E-3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0.12041267464501562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0.12172063524817961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6.9778694679202829E-4</v>
      </c>
      <c r="AN46" s="28">
        <v>7</v>
      </c>
      <c r="AO46" s="79">
        <f>((($W$39)^Q46)*((1-($W$39))^($U$33-Q46))*HLOOKUP($U$33,$AV$24:$BF$34,Q46+1))*V47</f>
        <v>1.121919502332414E-3</v>
      </c>
      <c r="AP46" s="28">
        <v>7</v>
      </c>
      <c r="AQ46" s="79">
        <f>((($W$39)^Q46)*((1-($W$39))^($U$34-Q46))*HLOOKUP($U$34,$AV$24:$BF$34,Q46+1))*V48</f>
        <v>6.0915480282033266E-4</v>
      </c>
      <c r="AR46" s="28">
        <v>7</v>
      </c>
      <c r="AS46" s="79">
        <f>((($W$39)^Q46)*((1-($W$39))^($U$35-Q46))*HLOOKUP($U$35,$AV$24:$BF$34,Q46+1))*V49</f>
        <v>1.1744733784384216E-4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1.4154436670873105E-4</v>
      </c>
      <c r="BP46">
        <f t="shared" si="34"/>
        <v>9</v>
      </c>
      <c r="BQ46">
        <v>7</v>
      </c>
      <c r="BR46" s="107">
        <f t="shared" si="35"/>
        <v>9.4869751058363173E-7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2.6359978487499442E-3</v>
      </c>
      <c r="I47" s="93">
        <v>8</v>
      </c>
      <c r="J47" s="86">
        <f t="shared" si="33"/>
        <v>3.086608914490966E-4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4.5777261969080899E-2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4.6897746041789659E-2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1.2861040919526082E-4</v>
      </c>
      <c r="AP47" s="28">
        <v>8</v>
      </c>
      <c r="AQ47" s="79">
        <f>((($W$39)^Q47)*((1-($W$39))^($U$34-Q47))*HLOOKUP($U$34,$AV$24:$BF$34,Q47+1))*V48</f>
        <v>1.3966001712441742E-4</v>
      </c>
      <c r="AR47" s="28">
        <v>8</v>
      </c>
      <c r="AS47" s="79">
        <f>((($W$39)^Q47)*((1-($W$39))^($U$35-Q47))*HLOOKUP($U$35,$AV$24:$BF$34,Q47+1))*V49</f>
        <v>4.0390465129418337E-5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2.3716846967428942E-5</v>
      </c>
      <c r="BP47">
        <f>BL12+1</f>
        <v>9</v>
      </c>
      <c r="BQ47">
        <v>8</v>
      </c>
      <c r="BR47" s="107">
        <f t="shared" si="35"/>
        <v>2.1257838550354272E-7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4.4168170757316323E-4</v>
      </c>
      <c r="I48" s="93">
        <v>9</v>
      </c>
      <c r="J48" s="86">
        <f t="shared" si="33"/>
        <v>2.2462297190889542E-5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1.0312967318130544E-2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1.0847866276426428E-2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1.4230953221586895E-5</v>
      </c>
      <c r="AR48" s="28">
        <v>9</v>
      </c>
      <c r="AS48" s="79">
        <f>((($W$39)^Q48)*((1-($W$39))^($U$35-Q48))*HLOOKUP($U$35,$AV$24:$BF$34,Q48+1))*V49</f>
        <v>8.2313439693026491E-6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2.9005657964923678E-6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5.4017587400318064E-5</v>
      </c>
      <c r="I49" s="94">
        <v>10</v>
      </c>
      <c r="J49" s="89">
        <f t="shared" si="33"/>
        <v>7.548752037329625E-7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1.0455143153712265E-3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1.2028735436320215E-3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7.548752037329625E-7</v>
      </c>
      <c r="BH49">
        <f>BP14+1</f>
        <v>6</v>
      </c>
      <c r="BI49">
        <v>0</v>
      </c>
      <c r="BJ49" s="107">
        <f>$H$31*H39</f>
        <v>5.5250142050759289E-4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1.9049395404970116E-4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4.2684730115038841E-5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7.1521547308737643E-6</v>
      </c>
    </row>
    <row r="53" spans="1:62" x14ac:dyDescent="0.25">
      <c r="BH53">
        <f>BH48+1</f>
        <v>6</v>
      </c>
      <c r="BI53">
        <v>10</v>
      </c>
      <c r="BJ53" s="107">
        <f>$H$31*H49</f>
        <v>8.7470714012211042E-7</v>
      </c>
    </row>
    <row r="54" spans="1:62" x14ac:dyDescent="0.25">
      <c r="BH54">
        <f>BH51+1</f>
        <v>7</v>
      </c>
      <c r="BI54">
        <v>8</v>
      </c>
      <c r="BJ54" s="107">
        <f>$H$32*H47</f>
        <v>9.7003744850926468E-6</v>
      </c>
    </row>
    <row r="55" spans="1:62" x14ac:dyDescent="0.25">
      <c r="BH55">
        <f>BH52+1</f>
        <v>7</v>
      </c>
      <c r="BI55">
        <v>9</v>
      </c>
      <c r="BJ55" s="107">
        <f>$H$32*H48</f>
        <v>1.6253723305224511E-6</v>
      </c>
    </row>
    <row r="56" spans="1:62" x14ac:dyDescent="0.25">
      <c r="BH56">
        <f>BH53+1</f>
        <v>7</v>
      </c>
      <c r="BI56">
        <v>10</v>
      </c>
      <c r="BJ56" s="107">
        <f>$H$32*H49</f>
        <v>1.9878272162202141E-7</v>
      </c>
    </row>
    <row r="57" spans="1:62" x14ac:dyDescent="0.25">
      <c r="BH57">
        <f>BH55+1</f>
        <v>8</v>
      </c>
      <c r="BI57">
        <v>9</v>
      </c>
      <c r="BJ57" s="107">
        <f>$H$33*H48</f>
        <v>2.7865772994379794E-7</v>
      </c>
    </row>
    <row r="58" spans="1:62" x14ac:dyDescent="0.25">
      <c r="BH58">
        <f>BH56+1</f>
        <v>8</v>
      </c>
      <c r="BI58">
        <v>10</v>
      </c>
      <c r="BJ58" s="107">
        <f>$H$33*H49</f>
        <v>3.4079786470486663E-8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4.3562142980509779E-9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152</v>
      </c>
    </row>
    <row r="2" spans="1:2" x14ac:dyDescent="0.25">
      <c r="A2" t="s">
        <v>153</v>
      </c>
    </row>
    <row r="4" spans="1:2" x14ac:dyDescent="0.25">
      <c r="A4" t="s">
        <v>154</v>
      </c>
    </row>
    <row r="5" spans="1:2" x14ac:dyDescent="0.25">
      <c r="A5" t="s">
        <v>155</v>
      </c>
    </row>
    <row r="6" spans="1:2" x14ac:dyDescent="0.25">
      <c r="A6" t="s">
        <v>156</v>
      </c>
    </row>
    <row r="7" spans="1:2" x14ac:dyDescent="0.25">
      <c r="A7" t="s">
        <v>157</v>
      </c>
    </row>
    <row r="8" spans="1:2" x14ac:dyDescent="0.25">
      <c r="A8" t="s">
        <v>158</v>
      </c>
    </row>
    <row r="9" spans="1:2" x14ac:dyDescent="0.25">
      <c r="A9" s="197">
        <v>43057</v>
      </c>
      <c r="B9" t="s">
        <v>159</v>
      </c>
    </row>
    <row r="10" spans="1:2" x14ac:dyDescent="0.25">
      <c r="A10" t="s">
        <v>160</v>
      </c>
    </row>
    <row r="12" spans="1:2" x14ac:dyDescent="0.25">
      <c r="A12" t="s">
        <v>161</v>
      </c>
    </row>
    <row r="13" spans="1:2" x14ac:dyDescent="0.25">
      <c r="A13" t="s">
        <v>162</v>
      </c>
    </row>
    <row r="14" spans="1:2" x14ac:dyDescent="0.25">
      <c r="A14" t="s">
        <v>163</v>
      </c>
    </row>
    <row r="15" spans="1:2" x14ac:dyDescent="0.25">
      <c r="A15" t="s">
        <v>164</v>
      </c>
    </row>
    <row r="16" spans="1:2" x14ac:dyDescent="0.25">
      <c r="A16" t="s">
        <v>158</v>
      </c>
    </row>
    <row r="17" spans="1:2" x14ac:dyDescent="0.25">
      <c r="A17" s="197">
        <v>43057</v>
      </c>
      <c r="B17" t="s">
        <v>165</v>
      </c>
    </row>
    <row r="18" spans="1:2" x14ac:dyDescent="0.25">
      <c r="A18" t="s">
        <v>166</v>
      </c>
    </row>
    <row r="20" spans="1:2" x14ac:dyDescent="0.25">
      <c r="A20" t="s">
        <v>167</v>
      </c>
    </row>
    <row r="21" spans="1:2" x14ac:dyDescent="0.25">
      <c r="A21" t="s">
        <v>168</v>
      </c>
    </row>
    <row r="22" spans="1:2" x14ac:dyDescent="0.25">
      <c r="A22" t="s">
        <v>169</v>
      </c>
    </row>
    <row r="23" spans="1:2" x14ac:dyDescent="0.25">
      <c r="A23" t="s">
        <v>170</v>
      </c>
    </row>
    <row r="24" spans="1:2" x14ac:dyDescent="0.25">
      <c r="A24" t="s">
        <v>158</v>
      </c>
    </row>
    <row r="25" spans="1:2" x14ac:dyDescent="0.25">
      <c r="A25" s="197">
        <v>43057</v>
      </c>
      <c r="B25" t="s">
        <v>171</v>
      </c>
    </row>
    <row r="26" spans="1:2" x14ac:dyDescent="0.25">
      <c r="A26" t="s">
        <v>172</v>
      </c>
    </row>
    <row r="28" spans="1:2" x14ac:dyDescent="0.25">
      <c r="A28" t="s">
        <v>173</v>
      </c>
    </row>
    <row r="29" spans="1:2" x14ac:dyDescent="0.25">
      <c r="A29" t="s">
        <v>174</v>
      </c>
    </row>
    <row r="30" spans="1:2" x14ac:dyDescent="0.25">
      <c r="A30" t="s">
        <v>175</v>
      </c>
    </row>
    <row r="31" spans="1:2" x14ac:dyDescent="0.25">
      <c r="A31" t="s">
        <v>176</v>
      </c>
    </row>
    <row r="32" spans="1:2" x14ac:dyDescent="0.25">
      <c r="A32" t="s">
        <v>158</v>
      </c>
    </row>
    <row r="33" spans="1:2" x14ac:dyDescent="0.25">
      <c r="A33" s="197">
        <v>43057</v>
      </c>
      <c r="B33" t="s">
        <v>177</v>
      </c>
    </row>
    <row r="34" spans="1:2" x14ac:dyDescent="0.25">
      <c r="A34" t="s">
        <v>178</v>
      </c>
    </row>
    <row r="36" spans="1:2" x14ac:dyDescent="0.25">
      <c r="A36" t="s">
        <v>179</v>
      </c>
    </row>
    <row r="37" spans="1:2" x14ac:dyDescent="0.25">
      <c r="A37" t="s">
        <v>180</v>
      </c>
    </row>
    <row r="38" spans="1:2" x14ac:dyDescent="0.25">
      <c r="A38" t="s">
        <v>181</v>
      </c>
    </row>
    <row r="39" spans="1:2" x14ac:dyDescent="0.25">
      <c r="A39" t="s">
        <v>182</v>
      </c>
    </row>
    <row r="40" spans="1:2" x14ac:dyDescent="0.25">
      <c r="A40" t="s">
        <v>158</v>
      </c>
    </row>
    <row r="41" spans="1:2" x14ac:dyDescent="0.25">
      <c r="A41" s="197">
        <v>43057</v>
      </c>
      <c r="B41" t="s">
        <v>183</v>
      </c>
    </row>
    <row r="42" spans="1:2" x14ac:dyDescent="0.25">
      <c r="A42" t="s">
        <v>184</v>
      </c>
    </row>
    <row r="44" spans="1:2" x14ac:dyDescent="0.25">
      <c r="A44" t="s">
        <v>185</v>
      </c>
    </row>
    <row r="45" spans="1:2" x14ac:dyDescent="0.25">
      <c r="A45" t="s">
        <v>186</v>
      </c>
    </row>
    <row r="46" spans="1:2" x14ac:dyDescent="0.25">
      <c r="A46" t="s">
        <v>169</v>
      </c>
    </row>
    <row r="47" spans="1:2" x14ac:dyDescent="0.25">
      <c r="A47" t="s">
        <v>187</v>
      </c>
    </row>
    <row r="48" spans="1:2" x14ac:dyDescent="0.25">
      <c r="A48" t="s">
        <v>158</v>
      </c>
    </row>
    <row r="49" spans="1:2" x14ac:dyDescent="0.25">
      <c r="A49" s="197">
        <v>43057</v>
      </c>
      <c r="B49" t="s">
        <v>188</v>
      </c>
    </row>
    <row r="50" spans="1:2" x14ac:dyDescent="0.25">
      <c r="A50" t="s">
        <v>189</v>
      </c>
    </row>
    <row r="52" spans="1:2" x14ac:dyDescent="0.25">
      <c r="A52" t="s">
        <v>190</v>
      </c>
    </row>
    <row r="53" spans="1:2" x14ac:dyDescent="0.25">
      <c r="A53" t="s">
        <v>191</v>
      </c>
    </row>
    <row r="54" spans="1:2" x14ac:dyDescent="0.25">
      <c r="A54" t="s">
        <v>192</v>
      </c>
    </row>
    <row r="55" spans="1:2" x14ac:dyDescent="0.25">
      <c r="A55" t="s">
        <v>193</v>
      </c>
    </row>
    <row r="56" spans="1:2" x14ac:dyDescent="0.25">
      <c r="A56" t="s">
        <v>158</v>
      </c>
    </row>
    <row r="57" spans="1:2" x14ac:dyDescent="0.25">
      <c r="A57" s="197">
        <v>43057</v>
      </c>
      <c r="B57" t="s">
        <v>194</v>
      </c>
    </row>
    <row r="58" spans="1:2" x14ac:dyDescent="0.25">
      <c r="A58" t="s">
        <v>195</v>
      </c>
    </row>
    <row r="60" spans="1:2" x14ac:dyDescent="0.25">
      <c r="A60" t="s">
        <v>196</v>
      </c>
    </row>
    <row r="61" spans="1:2" x14ac:dyDescent="0.25">
      <c r="A61" t="s">
        <v>197</v>
      </c>
    </row>
    <row r="62" spans="1:2" x14ac:dyDescent="0.25">
      <c r="A62" t="s">
        <v>198</v>
      </c>
    </row>
    <row r="63" spans="1:2" x14ac:dyDescent="0.25">
      <c r="A63" t="s">
        <v>199</v>
      </c>
    </row>
    <row r="64" spans="1:2" x14ac:dyDescent="0.25">
      <c r="A64" t="s">
        <v>158</v>
      </c>
    </row>
    <row r="65" spans="1:2" x14ac:dyDescent="0.25">
      <c r="A65" s="197">
        <v>43057</v>
      </c>
      <c r="B65" t="s">
        <v>200</v>
      </c>
    </row>
    <row r="66" spans="1:2" x14ac:dyDescent="0.25">
      <c r="A66" t="s">
        <v>201</v>
      </c>
    </row>
    <row r="68" spans="1:2" x14ac:dyDescent="0.25">
      <c r="A68" t="s">
        <v>202</v>
      </c>
    </row>
    <row r="69" spans="1:2" x14ac:dyDescent="0.25">
      <c r="A69" t="s">
        <v>203</v>
      </c>
    </row>
    <row r="70" spans="1:2" x14ac:dyDescent="0.25">
      <c r="A70" t="s">
        <v>204</v>
      </c>
    </row>
    <row r="71" spans="1:2" x14ac:dyDescent="0.25">
      <c r="A71" t="s">
        <v>205</v>
      </c>
    </row>
    <row r="72" spans="1:2" x14ac:dyDescent="0.25">
      <c r="A72" t="s">
        <v>158</v>
      </c>
    </row>
    <row r="73" spans="1:2" x14ac:dyDescent="0.25">
      <c r="A73" s="197">
        <v>43057</v>
      </c>
      <c r="B73" t="s">
        <v>206</v>
      </c>
    </row>
    <row r="74" spans="1:2" x14ac:dyDescent="0.25">
      <c r="A74" t="s">
        <v>207</v>
      </c>
    </row>
    <row r="76" spans="1:2" x14ac:dyDescent="0.25">
      <c r="A76" t="s">
        <v>208</v>
      </c>
    </row>
    <row r="77" spans="1:2" x14ac:dyDescent="0.25">
      <c r="A77" t="s">
        <v>209</v>
      </c>
    </row>
    <row r="78" spans="1:2" x14ac:dyDescent="0.25">
      <c r="A78" t="s">
        <v>210</v>
      </c>
    </row>
    <row r="79" spans="1:2" x14ac:dyDescent="0.25">
      <c r="A79" t="s">
        <v>170</v>
      </c>
    </row>
    <row r="80" spans="1:2" x14ac:dyDescent="0.25">
      <c r="A80" t="s">
        <v>158</v>
      </c>
    </row>
    <row r="81" spans="1:2" x14ac:dyDescent="0.25">
      <c r="A81" s="197">
        <v>43057</v>
      </c>
      <c r="B81" t="s">
        <v>211</v>
      </c>
    </row>
    <row r="82" spans="1:2" x14ac:dyDescent="0.25">
      <c r="A82" t="s">
        <v>212</v>
      </c>
    </row>
    <row r="84" spans="1:2" x14ac:dyDescent="0.25">
      <c r="A84" t="s">
        <v>213</v>
      </c>
    </row>
    <row r="85" spans="1:2" x14ac:dyDescent="0.25">
      <c r="A85" t="s">
        <v>214</v>
      </c>
    </row>
    <row r="86" spans="1:2" x14ac:dyDescent="0.25">
      <c r="A86" t="s">
        <v>169</v>
      </c>
    </row>
    <row r="87" spans="1:2" x14ac:dyDescent="0.25">
      <c r="A87" t="s">
        <v>187</v>
      </c>
    </row>
    <row r="88" spans="1:2" x14ac:dyDescent="0.25">
      <c r="A88" t="s">
        <v>158</v>
      </c>
    </row>
    <row r="89" spans="1:2" x14ac:dyDescent="0.25">
      <c r="A89" s="197">
        <v>43057</v>
      </c>
      <c r="B89" t="s">
        <v>215</v>
      </c>
    </row>
    <row r="90" spans="1:2" x14ac:dyDescent="0.25">
      <c r="A90" t="s">
        <v>216</v>
      </c>
    </row>
    <row r="92" spans="1:2" x14ac:dyDescent="0.25">
      <c r="A92" t="s">
        <v>217</v>
      </c>
    </row>
    <row r="93" spans="1:2" x14ac:dyDescent="0.25">
      <c r="A93" t="s">
        <v>218</v>
      </c>
    </row>
    <row r="94" spans="1:2" x14ac:dyDescent="0.25">
      <c r="A94" t="s">
        <v>219</v>
      </c>
    </row>
    <row r="95" spans="1:2" x14ac:dyDescent="0.25">
      <c r="A95" t="s">
        <v>220</v>
      </c>
    </row>
    <row r="96" spans="1:2" x14ac:dyDescent="0.25">
      <c r="A96" t="s">
        <v>158</v>
      </c>
    </row>
    <row r="97" spans="1:2" x14ac:dyDescent="0.25">
      <c r="A97" s="197">
        <v>43057</v>
      </c>
      <c r="B97" t="s">
        <v>221</v>
      </c>
    </row>
    <row r="98" spans="1:2" x14ac:dyDescent="0.25">
      <c r="A98" t="s">
        <v>222</v>
      </c>
    </row>
    <row r="100" spans="1:2" x14ac:dyDescent="0.25">
      <c r="A100" t="s">
        <v>223</v>
      </c>
    </row>
    <row r="101" spans="1:2" x14ac:dyDescent="0.25">
      <c r="A101" t="s">
        <v>224</v>
      </c>
    </row>
    <row r="102" spans="1:2" x14ac:dyDescent="0.25">
      <c r="A102" t="s">
        <v>225</v>
      </c>
    </row>
    <row r="103" spans="1:2" x14ac:dyDescent="0.25">
      <c r="A103" t="s">
        <v>187</v>
      </c>
    </row>
    <row r="104" spans="1:2" x14ac:dyDescent="0.25">
      <c r="A104" t="s">
        <v>158</v>
      </c>
    </row>
    <row r="105" spans="1:2" x14ac:dyDescent="0.25">
      <c r="A105" s="197">
        <v>43022</v>
      </c>
      <c r="B105" t="s">
        <v>226</v>
      </c>
    </row>
    <row r="106" spans="1:2" x14ac:dyDescent="0.25">
      <c r="A106" t="s">
        <v>227</v>
      </c>
    </row>
    <row r="108" spans="1:2" x14ac:dyDescent="0.25">
      <c r="A108" t="s">
        <v>228</v>
      </c>
    </row>
    <row r="109" spans="1:2" x14ac:dyDescent="0.25">
      <c r="A109" t="s">
        <v>229</v>
      </c>
    </row>
    <row r="110" spans="1:2" x14ac:dyDescent="0.25">
      <c r="A110" t="s">
        <v>230</v>
      </c>
    </row>
    <row r="111" spans="1:2" x14ac:dyDescent="0.25">
      <c r="A111" t="s">
        <v>231</v>
      </c>
    </row>
    <row r="112" spans="1:2" x14ac:dyDescent="0.25">
      <c r="A112" t="s">
        <v>232</v>
      </c>
    </row>
    <row r="113" spans="1:2" x14ac:dyDescent="0.25">
      <c r="A113" s="197">
        <v>42966</v>
      </c>
      <c r="B113" t="s">
        <v>233</v>
      </c>
    </row>
    <row r="114" spans="1:2" x14ac:dyDescent="0.25">
      <c r="A114" t="s">
        <v>234</v>
      </c>
    </row>
    <row r="116" spans="1:2" x14ac:dyDescent="0.25">
      <c r="A116" t="s">
        <v>235</v>
      </c>
    </row>
    <row r="117" spans="1:2" x14ac:dyDescent="0.25">
      <c r="A117" t="s">
        <v>236</v>
      </c>
    </row>
    <row r="118" spans="1:2" x14ac:dyDescent="0.25">
      <c r="A118" t="s">
        <v>237</v>
      </c>
    </row>
    <row r="119" spans="1:2" x14ac:dyDescent="0.25">
      <c r="A119" t="s">
        <v>199</v>
      </c>
    </row>
    <row r="120" spans="1:2" x14ac:dyDescent="0.25">
      <c r="A120" t="s">
        <v>158</v>
      </c>
    </row>
    <row r="121" spans="1:2" x14ac:dyDescent="0.25">
      <c r="A121" s="197">
        <v>42963</v>
      </c>
      <c r="B121" t="s">
        <v>238</v>
      </c>
    </row>
    <row r="122" spans="1:2" x14ac:dyDescent="0.25">
      <c r="A122" t="s">
        <v>239</v>
      </c>
    </row>
    <row r="124" spans="1:2" x14ac:dyDescent="0.25">
      <c r="A124" t="s">
        <v>240</v>
      </c>
    </row>
    <row r="125" spans="1:2" x14ac:dyDescent="0.25">
      <c r="A125" t="s">
        <v>241</v>
      </c>
    </row>
    <row r="126" spans="1:2" x14ac:dyDescent="0.25">
      <c r="A126" t="s">
        <v>242</v>
      </c>
    </row>
    <row r="127" spans="1:2" x14ac:dyDescent="0.25">
      <c r="A127" t="s">
        <v>243</v>
      </c>
    </row>
    <row r="128" spans="1:2" x14ac:dyDescent="0.25">
      <c r="A128" t="s">
        <v>158</v>
      </c>
    </row>
    <row r="129" spans="1:2" x14ac:dyDescent="0.25">
      <c r="A129" s="197">
        <v>42963</v>
      </c>
      <c r="B129" t="s">
        <v>244</v>
      </c>
    </row>
    <row r="130" spans="1:2" x14ac:dyDescent="0.25">
      <c r="A130" t="s">
        <v>245</v>
      </c>
    </row>
    <row r="132" spans="1:2" x14ac:dyDescent="0.25">
      <c r="A132" t="s">
        <v>246</v>
      </c>
    </row>
    <row r="133" spans="1:2" x14ac:dyDescent="0.25">
      <c r="A133" t="s">
        <v>247</v>
      </c>
    </row>
    <row r="134" spans="1:2" x14ac:dyDescent="0.25">
      <c r="A134" t="s">
        <v>248</v>
      </c>
    </row>
    <row r="135" spans="1:2" x14ac:dyDescent="0.25">
      <c r="A135" t="s">
        <v>199</v>
      </c>
    </row>
    <row r="136" spans="1:2" x14ac:dyDescent="0.25">
      <c r="A136" t="s">
        <v>158</v>
      </c>
    </row>
    <row r="137" spans="1:2" x14ac:dyDescent="0.25">
      <c r="A137" s="197">
        <v>42963</v>
      </c>
      <c r="B137" t="s">
        <v>249</v>
      </c>
    </row>
    <row r="138" spans="1:2" x14ac:dyDescent="0.25">
      <c r="A138" t="s">
        <v>250</v>
      </c>
    </row>
    <row r="140" spans="1:2" x14ac:dyDescent="0.25">
      <c r="A140" t="s">
        <v>251</v>
      </c>
    </row>
    <row r="141" spans="1:2" x14ac:dyDescent="0.25">
      <c r="A141" t="s">
        <v>252</v>
      </c>
    </row>
    <row r="142" spans="1:2" x14ac:dyDescent="0.25">
      <c r="A142" t="s">
        <v>253</v>
      </c>
    </row>
    <row r="143" spans="1:2" x14ac:dyDescent="0.25">
      <c r="A143" t="s">
        <v>254</v>
      </c>
    </row>
    <row r="144" spans="1:2" x14ac:dyDescent="0.25">
      <c r="A144" t="s">
        <v>255</v>
      </c>
    </row>
    <row r="145" spans="1:2" x14ac:dyDescent="0.25">
      <c r="A145" s="197">
        <v>42963</v>
      </c>
      <c r="B145" t="s">
        <v>256</v>
      </c>
    </row>
    <row r="146" spans="1:2" x14ac:dyDescent="0.25">
      <c r="A146" t="s">
        <v>257</v>
      </c>
    </row>
    <row r="148" spans="1:2" x14ac:dyDescent="0.25">
      <c r="A148" t="s">
        <v>258</v>
      </c>
    </row>
    <row r="149" spans="1:2" x14ac:dyDescent="0.25">
      <c r="A149" t="s">
        <v>259</v>
      </c>
    </row>
    <row r="150" spans="1:2" x14ac:dyDescent="0.25">
      <c r="A150" t="s">
        <v>260</v>
      </c>
    </row>
    <row r="151" spans="1:2" x14ac:dyDescent="0.25">
      <c r="A151" t="s">
        <v>182</v>
      </c>
    </row>
    <row r="152" spans="1:2" x14ac:dyDescent="0.25">
      <c r="A152" t="s">
        <v>158</v>
      </c>
    </row>
    <row r="153" spans="1:2" x14ac:dyDescent="0.25">
      <c r="A153" s="197">
        <v>42963</v>
      </c>
      <c r="B153" t="s">
        <v>261</v>
      </c>
    </row>
    <row r="154" spans="1:2" x14ac:dyDescent="0.25">
      <c r="A154" t="s">
        <v>262</v>
      </c>
    </row>
    <row r="156" spans="1:2" x14ac:dyDescent="0.25">
      <c r="A156" t="s">
        <v>263</v>
      </c>
    </row>
    <row r="157" spans="1:2" x14ac:dyDescent="0.25">
      <c r="A157" t="s">
        <v>264</v>
      </c>
    </row>
    <row r="158" spans="1:2" x14ac:dyDescent="0.25">
      <c r="A158" t="s">
        <v>265</v>
      </c>
    </row>
    <row r="159" spans="1:2" x14ac:dyDescent="0.25">
      <c r="A159" t="s">
        <v>266</v>
      </c>
    </row>
    <row r="160" spans="1:2" x14ac:dyDescent="0.25">
      <c r="A160" t="s">
        <v>158</v>
      </c>
    </row>
    <row r="161" spans="1:2" x14ac:dyDescent="0.25">
      <c r="A161" s="197">
        <v>42963</v>
      </c>
      <c r="B161" t="s">
        <v>267</v>
      </c>
    </row>
    <row r="162" spans="1:2" x14ac:dyDescent="0.25">
      <c r="A162" t="s">
        <v>268</v>
      </c>
    </row>
    <row r="164" spans="1:2" x14ac:dyDescent="0.25">
      <c r="A164" t="s">
        <v>269</v>
      </c>
    </row>
    <row r="165" spans="1:2" x14ac:dyDescent="0.25">
      <c r="A165" t="s">
        <v>270</v>
      </c>
    </row>
    <row r="166" spans="1:2" x14ac:dyDescent="0.25">
      <c r="A166" t="s">
        <v>271</v>
      </c>
    </row>
    <row r="167" spans="1:2" x14ac:dyDescent="0.25">
      <c r="A167" t="s">
        <v>272</v>
      </c>
    </row>
    <row r="168" spans="1:2" x14ac:dyDescent="0.25">
      <c r="A168" t="s">
        <v>158</v>
      </c>
    </row>
    <row r="169" spans="1:2" x14ac:dyDescent="0.25">
      <c r="A169" s="197">
        <v>42963</v>
      </c>
      <c r="B169" t="s">
        <v>273</v>
      </c>
    </row>
    <row r="170" spans="1:2" x14ac:dyDescent="0.25">
      <c r="A170" t="s">
        <v>274</v>
      </c>
    </row>
    <row r="172" spans="1:2" x14ac:dyDescent="0.25">
      <c r="A172" t="s">
        <v>275</v>
      </c>
    </row>
    <row r="173" spans="1:2" x14ac:dyDescent="0.25">
      <c r="A173" t="s">
        <v>276</v>
      </c>
    </row>
    <row r="174" spans="1:2" x14ac:dyDescent="0.25">
      <c r="A174" t="s">
        <v>277</v>
      </c>
    </row>
    <row r="175" spans="1:2" x14ac:dyDescent="0.25">
      <c r="A175" t="s">
        <v>278</v>
      </c>
    </row>
    <row r="176" spans="1:2" x14ac:dyDescent="0.25">
      <c r="A176" t="s">
        <v>158</v>
      </c>
    </row>
    <row r="177" spans="1:2" x14ac:dyDescent="0.25">
      <c r="A177" s="197">
        <v>42959</v>
      </c>
      <c r="B177" t="s">
        <v>279</v>
      </c>
    </row>
    <row r="178" spans="1:2" x14ac:dyDescent="0.25">
      <c r="A178" t="s">
        <v>280</v>
      </c>
    </row>
    <row r="180" spans="1:2" x14ac:dyDescent="0.25">
      <c r="A180" t="s">
        <v>281</v>
      </c>
    </row>
    <row r="181" spans="1:2" x14ac:dyDescent="0.25">
      <c r="A181" t="s">
        <v>282</v>
      </c>
    </row>
    <row r="182" spans="1:2" x14ac:dyDescent="0.25">
      <c r="A182" t="s">
        <v>283</v>
      </c>
    </row>
    <row r="183" spans="1:2" x14ac:dyDescent="0.25">
      <c r="A183" t="s">
        <v>284</v>
      </c>
    </row>
    <row r="184" spans="1:2" x14ac:dyDescent="0.25">
      <c r="A184" t="s">
        <v>158</v>
      </c>
    </row>
    <row r="185" spans="1:2" x14ac:dyDescent="0.25">
      <c r="A185" s="197">
        <v>42959</v>
      </c>
      <c r="B185" t="s">
        <v>285</v>
      </c>
    </row>
    <row r="186" spans="1:2" x14ac:dyDescent="0.25">
      <c r="A186" t="s">
        <v>286</v>
      </c>
    </row>
    <row r="188" spans="1:2" x14ac:dyDescent="0.25">
      <c r="A188" t="s">
        <v>287</v>
      </c>
    </row>
    <row r="189" spans="1:2" x14ac:dyDescent="0.25">
      <c r="A189" t="s">
        <v>288</v>
      </c>
    </row>
    <row r="190" spans="1:2" x14ac:dyDescent="0.25">
      <c r="A190" t="s">
        <v>289</v>
      </c>
    </row>
    <row r="191" spans="1:2" x14ac:dyDescent="0.25">
      <c r="A191" t="s">
        <v>290</v>
      </c>
    </row>
    <row r="192" spans="1:2" x14ac:dyDescent="0.25">
      <c r="A192" t="s">
        <v>158</v>
      </c>
    </row>
    <row r="193" spans="1:2" x14ac:dyDescent="0.25">
      <c r="A193" s="197">
        <v>42956</v>
      </c>
      <c r="B193" t="s">
        <v>291</v>
      </c>
    </row>
    <row r="194" spans="1:2" x14ac:dyDescent="0.25">
      <c r="A194" t="s">
        <v>292</v>
      </c>
    </row>
    <row r="196" spans="1:2" x14ac:dyDescent="0.25">
      <c r="A196" t="s">
        <v>293</v>
      </c>
    </row>
    <row r="197" spans="1:2" x14ac:dyDescent="0.25">
      <c r="A197" t="s">
        <v>294</v>
      </c>
    </row>
    <row r="198" spans="1:2" x14ac:dyDescent="0.25">
      <c r="A198" t="s">
        <v>289</v>
      </c>
    </row>
    <row r="199" spans="1:2" x14ac:dyDescent="0.25">
      <c r="A199" t="s">
        <v>295</v>
      </c>
    </row>
    <row r="200" spans="1:2" x14ac:dyDescent="0.25">
      <c r="A200" t="s">
        <v>158</v>
      </c>
    </row>
    <row r="201" spans="1:2" x14ac:dyDescent="0.25">
      <c r="A201" s="197">
        <v>42949</v>
      </c>
      <c r="B201" t="s">
        <v>296</v>
      </c>
    </row>
    <row r="202" spans="1:2" x14ac:dyDescent="0.25">
      <c r="A202" t="s">
        <v>297</v>
      </c>
    </row>
    <row r="204" spans="1:2" x14ac:dyDescent="0.25">
      <c r="A204" t="s">
        <v>298</v>
      </c>
    </row>
    <row r="205" spans="1:2" x14ac:dyDescent="0.25">
      <c r="A205" t="s">
        <v>299</v>
      </c>
    </row>
    <row r="206" spans="1:2" x14ac:dyDescent="0.25">
      <c r="A206" t="s">
        <v>289</v>
      </c>
    </row>
    <row r="207" spans="1:2" x14ac:dyDescent="0.25">
      <c r="A207" t="s">
        <v>300</v>
      </c>
    </row>
    <row r="208" spans="1:2" x14ac:dyDescent="0.25">
      <c r="A208" t="s">
        <v>158</v>
      </c>
    </row>
    <row r="209" spans="1:2" x14ac:dyDescent="0.25">
      <c r="A209" s="197">
        <v>42942</v>
      </c>
      <c r="B209" t="s">
        <v>301</v>
      </c>
    </row>
    <row r="210" spans="1:2" x14ac:dyDescent="0.25">
      <c r="A210" t="s">
        <v>302</v>
      </c>
    </row>
    <row r="212" spans="1:2" x14ac:dyDescent="0.25">
      <c r="A212" t="s">
        <v>303</v>
      </c>
    </row>
    <row r="213" spans="1:2" x14ac:dyDescent="0.25">
      <c r="A213" t="s">
        <v>304</v>
      </c>
    </row>
    <row r="214" spans="1:2" x14ac:dyDescent="0.25">
      <c r="A214" t="s">
        <v>305</v>
      </c>
    </row>
    <row r="215" spans="1:2" x14ac:dyDescent="0.25">
      <c r="A215" t="s">
        <v>306</v>
      </c>
    </row>
    <row r="216" spans="1:2" x14ac:dyDescent="0.25">
      <c r="A216" t="s">
        <v>158</v>
      </c>
    </row>
    <row r="217" spans="1:2" x14ac:dyDescent="0.25">
      <c r="A217" s="197">
        <v>42767</v>
      </c>
      <c r="B217" t="s">
        <v>307</v>
      </c>
    </row>
    <row r="218" spans="1:2" x14ac:dyDescent="0.25">
      <c r="A218" t="s">
        <v>308</v>
      </c>
    </row>
    <row r="220" spans="1:2" x14ac:dyDescent="0.25">
      <c r="A220" t="s">
        <v>309</v>
      </c>
    </row>
    <row r="221" spans="1:2" x14ac:dyDescent="0.25">
      <c r="A221" t="s">
        <v>310</v>
      </c>
    </row>
    <row r="222" spans="1:2" x14ac:dyDescent="0.25">
      <c r="A222" t="s">
        <v>311</v>
      </c>
    </row>
    <row r="223" spans="1:2" x14ac:dyDescent="0.25">
      <c r="A223" t="s">
        <v>312</v>
      </c>
    </row>
    <row r="224" spans="1:2" x14ac:dyDescent="0.25">
      <c r="A224" t="s">
        <v>158</v>
      </c>
    </row>
    <row r="225" spans="1:2" x14ac:dyDescent="0.25">
      <c r="A225" s="197">
        <v>42732</v>
      </c>
      <c r="B225" t="s">
        <v>313</v>
      </c>
    </row>
    <row r="226" spans="1:2" x14ac:dyDescent="0.25">
      <c r="A226" t="s">
        <v>314</v>
      </c>
    </row>
    <row r="228" spans="1:2" x14ac:dyDescent="0.25">
      <c r="A228" t="s">
        <v>315</v>
      </c>
    </row>
    <row r="229" spans="1:2" x14ac:dyDescent="0.25">
      <c r="A229" t="s">
        <v>316</v>
      </c>
    </row>
    <row r="230" spans="1:2" x14ac:dyDescent="0.25">
      <c r="A230" t="s">
        <v>317</v>
      </c>
    </row>
    <row r="231" spans="1:2" x14ac:dyDescent="0.25">
      <c r="A231" t="s">
        <v>318</v>
      </c>
    </row>
    <row r="232" spans="1:2" x14ac:dyDescent="0.25">
      <c r="A232" t="s">
        <v>158</v>
      </c>
    </row>
    <row r="233" spans="1:2" x14ac:dyDescent="0.25">
      <c r="A233" s="197">
        <v>42536</v>
      </c>
      <c r="B233" t="s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9" sqref="C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6" t="s">
        <v>320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3</v>
      </c>
    </row>
    <row r="2" spans="1:70" x14ac:dyDescent="0.25">
      <c r="A2" s="196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6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3.6435905059392225E-2</v>
      </c>
      <c r="BL4">
        <v>0</v>
      </c>
      <c r="BM4">
        <v>0</v>
      </c>
      <c r="BN4" s="107">
        <f>H25*H39</f>
        <v>1.6484398558411099E-2</v>
      </c>
      <c r="BP4">
        <v>1</v>
      </c>
      <c r="BQ4">
        <v>0</v>
      </c>
      <c r="BR4" s="107">
        <f>$H$26*H39</f>
        <v>4.7417162741676941E-2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3.6683779847997533E-2</v>
      </c>
      <c r="BL5">
        <v>1</v>
      </c>
      <c r="BM5">
        <v>1</v>
      </c>
      <c r="BN5" s="107">
        <f>$H$26*H40</f>
        <v>0.1048074173722247</v>
      </c>
      <c r="BP5">
        <f>BP4+1</f>
        <v>2</v>
      </c>
      <c r="BQ5">
        <v>0</v>
      </c>
      <c r="BR5" s="107">
        <f>$H$27*H39</f>
        <v>4.1644141889845811E-2</v>
      </c>
    </row>
    <row r="6" spans="1:70" x14ac:dyDescent="0.25">
      <c r="A6" s="2" t="s">
        <v>1</v>
      </c>
      <c r="B6" s="168">
        <v>10</v>
      </c>
      <c r="C6" s="169">
        <v>11.25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2.2428281951225437E-2</v>
      </c>
      <c r="BL6">
        <f>BH14+1</f>
        <v>2</v>
      </c>
      <c r="BM6">
        <v>2</v>
      </c>
      <c r="BN6" s="107">
        <f>$H$27*H41</f>
        <v>9.2673355817788738E-2</v>
      </c>
      <c r="BP6">
        <f>BL5+1</f>
        <v>2</v>
      </c>
      <c r="BQ6">
        <v>1</v>
      </c>
      <c r="BR6" s="107">
        <f>$H$27*H40</f>
        <v>9.2047155666717534E-2</v>
      </c>
    </row>
    <row r="7" spans="1:70" x14ac:dyDescent="0.25">
      <c r="A7" s="5" t="s">
        <v>2</v>
      </c>
      <c r="B7" s="168">
        <v>19</v>
      </c>
      <c r="C7" s="169">
        <v>9.5</v>
      </c>
      <c r="E7" s="192" t="s">
        <v>18</v>
      </c>
      <c r="F7" s="167" t="s">
        <v>144</v>
      </c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9.3321280228453717E-3</v>
      </c>
      <c r="BL7">
        <f>BH23+1</f>
        <v>3</v>
      </c>
      <c r="BM7">
        <v>3</v>
      </c>
      <c r="BN7" s="107">
        <f>$H$28*H42</f>
        <v>2.6347913855784159E-2</v>
      </c>
      <c r="BP7">
        <f>BP5+1</f>
        <v>3</v>
      </c>
      <c r="BQ7">
        <v>0</v>
      </c>
      <c r="BR7" s="107">
        <f>$H$28*H39</f>
        <v>1.9365260082156999E-2</v>
      </c>
    </row>
    <row r="8" spans="1:70" x14ac:dyDescent="0.25">
      <c r="A8" s="5" t="s">
        <v>3</v>
      </c>
      <c r="B8" s="168">
        <v>20.5</v>
      </c>
      <c r="C8" s="169">
        <v>9.75</v>
      </c>
      <c r="E8" s="192" t="s">
        <v>18</v>
      </c>
      <c r="F8" s="167" t="s">
        <v>144</v>
      </c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2.7985664425543974E-3</v>
      </c>
      <c r="BL8">
        <f>BH31+1</f>
        <v>4</v>
      </c>
      <c r="BM8">
        <v>4</v>
      </c>
      <c r="BN8" s="107">
        <f>$H$29*H43</f>
        <v>3.2332678183496851E-3</v>
      </c>
      <c r="BP8">
        <f>BP6+1</f>
        <v>3</v>
      </c>
      <c r="BQ8">
        <v>1</v>
      </c>
      <c r="BR8" s="107">
        <f>$H$28*H40</f>
        <v>4.2803549993268367E-2</v>
      </c>
    </row>
    <row r="9" spans="1:70" x14ac:dyDescent="0.25">
      <c r="A9" s="5" t="s">
        <v>4</v>
      </c>
      <c r="B9" s="168">
        <v>23</v>
      </c>
      <c r="C9" s="169">
        <v>8.25</v>
      </c>
      <c r="E9" s="192" t="s">
        <v>18</v>
      </c>
      <c r="F9" s="167" t="s">
        <v>123</v>
      </c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6.2337545862005156E-4</v>
      </c>
      <c r="BL9">
        <f>BH38+1</f>
        <v>5</v>
      </c>
      <c r="BM9">
        <v>5</v>
      </c>
      <c r="BN9" s="107">
        <f>$H$30*H44</f>
        <v>1.9730496043862547E-4</v>
      </c>
      <c r="BP9">
        <f>BL6+1</f>
        <v>3</v>
      </c>
      <c r="BQ9">
        <v>2</v>
      </c>
      <c r="BR9" s="107">
        <f>$H$28*H41</f>
        <v>4.3094744102179443E-2</v>
      </c>
    </row>
    <row r="10" spans="1:70" x14ac:dyDescent="0.25">
      <c r="A10" s="6" t="s">
        <v>5</v>
      </c>
      <c r="B10" s="168">
        <v>2</v>
      </c>
      <c r="C10" s="169">
        <v>14.25</v>
      </c>
      <c r="E10" s="192" t="s">
        <v>17</v>
      </c>
      <c r="F10" s="167" t="s">
        <v>144</v>
      </c>
      <c r="G10" s="167"/>
      <c r="H10" s="10"/>
      <c r="I10" s="10"/>
      <c r="J10" s="166"/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6.1860081491542172E-2</v>
      </c>
      <c r="S10" s="176">
        <f t="shared" si="2"/>
        <v>0.93813991850845779</v>
      </c>
      <c r="T10" s="177">
        <f>R10*PRODUCT(S5:S9)*PRODUCT(S11:S19)</f>
        <v>2.0713510908413113E-2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3.8212941588906611E-2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6.9592591677984955E-2</v>
      </c>
      <c r="AC10" s="176">
        <f t="shared" si="5"/>
        <v>0.93040740832201507</v>
      </c>
      <c r="AD10" s="177">
        <f>AB10*PRODUCT(AC5:AC9)*PRODUCT(AC11:AC19)</f>
        <v>3.9429924741605074E-2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2.5655371242048666E-2</v>
      </c>
      <c r="BH10">
        <v>0</v>
      </c>
      <c r="BI10">
        <v>7</v>
      </c>
      <c r="BJ10" s="107">
        <f t="shared" si="0"/>
        <v>1.0452762340888095E-4</v>
      </c>
      <c r="BL10">
        <f>BH44+1</f>
        <v>6</v>
      </c>
      <c r="BM10">
        <v>6</v>
      </c>
      <c r="BN10" s="107">
        <f>$H$31*H45</f>
        <v>6.4484099487079697E-6</v>
      </c>
      <c r="BP10">
        <f>BP7+1</f>
        <v>4</v>
      </c>
      <c r="BQ10">
        <v>0</v>
      </c>
      <c r="BR10" s="107">
        <f>$H$29*H39</f>
        <v>5.7112884899654234E-3</v>
      </c>
    </row>
    <row r="11" spans="1:70" x14ac:dyDescent="0.25">
      <c r="A11" s="6" t="s">
        <v>6</v>
      </c>
      <c r="B11" s="168">
        <v>2.5</v>
      </c>
      <c r="C11" s="169">
        <v>14.5</v>
      </c>
      <c r="E11" s="192" t="s">
        <v>19</v>
      </c>
      <c r="F11" s="167" t="s">
        <v>144</v>
      </c>
      <c r="G11" s="167"/>
      <c r="H11" s="10"/>
      <c r="I11" s="10"/>
      <c r="J11" s="166" t="s">
        <v>123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6.9592591677984955E-2</v>
      </c>
      <c r="AC11" s="176">
        <f t="shared" si="5"/>
        <v>0.93040740832201507</v>
      </c>
      <c r="AD11" s="177">
        <f>AB11*PRODUCT(AC5:AC10)*PRODUCT(AC12:AC19)</f>
        <v>3.9429924741605081E-2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2.2706092648722493E-2</v>
      </c>
      <c r="BH11">
        <v>0</v>
      </c>
      <c r="BI11">
        <v>8</v>
      </c>
      <c r="BJ11" s="107">
        <f t="shared" si="0"/>
        <v>1.3199995738470556E-5</v>
      </c>
      <c r="BL11">
        <f>BH50+1</f>
        <v>7</v>
      </c>
      <c r="BM11">
        <v>7</v>
      </c>
      <c r="BN11" s="107">
        <f>$H$32*H46</f>
        <v>1.169381207550339E-7</v>
      </c>
      <c r="BP11">
        <f>BP8+1</f>
        <v>4</v>
      </c>
      <c r="BQ11">
        <v>1</v>
      </c>
      <c r="BR11" s="107">
        <f>$H$29*H40</f>
        <v>1.2623813022344063E-2</v>
      </c>
    </row>
    <row r="12" spans="1:70" x14ac:dyDescent="0.25">
      <c r="A12" s="6" t="s">
        <v>7</v>
      </c>
      <c r="B12" s="168">
        <v>1.75</v>
      </c>
      <c r="C12" s="169">
        <v>10.5</v>
      </c>
      <c r="E12" s="192" t="s">
        <v>19</v>
      </c>
      <c r="F12" s="167" t="s">
        <v>16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1.2401453900902955E-6</v>
      </c>
      <c r="BL12">
        <f>BH54+1</f>
        <v>8</v>
      </c>
      <c r="BM12">
        <v>8</v>
      </c>
      <c r="BN12" s="107">
        <f>$H$33*H47</f>
        <v>1.1851335928861383E-9</v>
      </c>
      <c r="BP12">
        <f>BP9+1</f>
        <v>4</v>
      </c>
      <c r="BQ12">
        <v>2</v>
      </c>
      <c r="BR12" s="107">
        <f>$H$29*H41</f>
        <v>1.2709693281917851E-2</v>
      </c>
    </row>
    <row r="13" spans="1:70" x14ac:dyDescent="0.25">
      <c r="A13" s="7" t="s">
        <v>8</v>
      </c>
      <c r="B13" s="168">
        <v>13.25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5.0539282264331839E-2</v>
      </c>
      <c r="S13" s="176">
        <f t="shared" si="2"/>
        <v>0.9494607177356682</v>
      </c>
      <c r="T13" s="177">
        <f>R13*PRODUCT(S5:S12)*PRODUCT(S14:S19)</f>
        <v>1.672102569248533E-2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2.9957427106461286E-2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5.6856692547373321E-2</v>
      </c>
      <c r="AC13" s="176">
        <f t="shared" si="5"/>
        <v>0.94314330745262664</v>
      </c>
      <c r="AD13" s="177">
        <f>AB13*PRODUCT(AC5:AC12)*PRODUCT(AC14:AC19)</f>
        <v>3.1778983593403601E-2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1.6384453918875313E-2</v>
      </c>
      <c r="BH13">
        <v>0</v>
      </c>
      <c r="BI13">
        <v>10</v>
      </c>
      <c r="BJ13" s="107">
        <f t="shared" si="0"/>
        <v>8.4274305169627015E-8</v>
      </c>
      <c r="BL13">
        <f>BH57+1</f>
        <v>9</v>
      </c>
      <c r="BM13">
        <v>9</v>
      </c>
      <c r="BN13" s="107">
        <f>$H$34*H48</f>
        <v>6.5850100569369459E-12</v>
      </c>
      <c r="BP13">
        <f>BL7+1</f>
        <v>4</v>
      </c>
      <c r="BQ13">
        <v>3</v>
      </c>
      <c r="BR13" s="107">
        <f>$H$29*H42</f>
        <v>7.7706437455901849E-3</v>
      </c>
    </row>
    <row r="14" spans="1:70" x14ac:dyDescent="0.25">
      <c r="A14" s="7" t="s">
        <v>9</v>
      </c>
      <c r="B14" s="168">
        <v>12</v>
      </c>
      <c r="C14" s="169">
        <v>9</v>
      </c>
      <c r="E14" s="192" t="s">
        <v>20</v>
      </c>
      <c r="F14" s="167" t="s">
        <v>144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0.66500000000000004</v>
      </c>
      <c r="P14" s="144">
        <v>0.95</v>
      </c>
      <c r="Q14" s="16">
        <f t="shared" si="1"/>
        <v>0.63175000000000003</v>
      </c>
      <c r="R14" s="157">
        <f t="shared" si="6"/>
        <v>0.63856383140983275</v>
      </c>
      <c r="S14" s="176">
        <f t="shared" si="2"/>
        <v>0.36143616859016725</v>
      </c>
      <c r="T14" s="177">
        <f>R14*PRODUCT(S5:S13)*PRODUCT(S15:S19)</f>
        <v>0.55498794759721093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1.3798098495106997E-2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0.30787899014402653</v>
      </c>
      <c r="AC14" s="176">
        <f t="shared" si="5"/>
        <v>0.69212100985597347</v>
      </c>
      <c r="AD14" s="177">
        <f>AB14*PRODUCT(AC5:AC13)*PRODUCT(AC15:AC19)</f>
        <v>0.23449528690873478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1.6588452819109326E-2</v>
      </c>
      <c r="BH14">
        <v>1</v>
      </c>
      <c r="BI14">
        <v>2</v>
      </c>
      <c r="BJ14" s="107">
        <f t="shared" ref="BJ14:BJ22" si="7">$H$26*H41</f>
        <v>0.10552042604822881</v>
      </c>
      <c r="BL14">
        <f>BP39+1</f>
        <v>10</v>
      </c>
      <c r="BM14">
        <v>10</v>
      </c>
      <c r="BN14" s="107">
        <f>$H$35*H49</f>
        <v>1.9055317719817284E-14</v>
      </c>
      <c r="BP14">
        <f>BP10+1</f>
        <v>5</v>
      </c>
      <c r="BQ14">
        <v>0</v>
      </c>
      <c r="BR14" s="107">
        <f>$H$30*H39</f>
        <v>1.1621855947265463E-3</v>
      </c>
    </row>
    <row r="15" spans="1:70" x14ac:dyDescent="0.25">
      <c r="A15" s="189" t="s">
        <v>71</v>
      </c>
      <c r="B15" s="170">
        <v>14.25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6.4514667704077849E-2</v>
      </c>
      <c r="BP15">
        <f>BP11+1</f>
        <v>5</v>
      </c>
      <c r="BQ15">
        <v>1</v>
      </c>
      <c r="BR15" s="107">
        <f>$H$30*H40</f>
        <v>2.5688097652336373E-3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2.6843747536038395E-2</v>
      </c>
      <c r="BP16">
        <f>BP12+1</f>
        <v>5</v>
      </c>
      <c r="BQ16">
        <v>2</v>
      </c>
      <c r="BR16" s="107">
        <f>$H$30*H41</f>
        <v>2.5862854715866597E-3</v>
      </c>
    </row>
    <row r="17" spans="1:70" x14ac:dyDescent="0.25">
      <c r="A17" s="188" t="s">
        <v>10</v>
      </c>
      <c r="B17" s="172" t="s">
        <v>321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144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2.4258855486879283E-2</v>
      </c>
      <c r="S17" s="176">
        <f t="shared" si="2"/>
        <v>0.97574114451312077</v>
      </c>
      <c r="T17" s="177">
        <f>R17*PRODUCT(S5:S16)*PRODUCT(S18:S19)</f>
        <v>7.8099190849731442E-3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2.729121242273919E-2</v>
      </c>
      <c r="AC17" s="176">
        <f t="shared" si="5"/>
        <v>0.97270878757726076</v>
      </c>
      <c r="AD17" s="177">
        <f>AB17*PRODUCT(AC5:AC16)*PRODUCT(AC18:AC19)</f>
        <v>1.4790269520274787E-2</v>
      </c>
      <c r="AE17" s="177">
        <f>AB17*AB18*PRODUCT(AC5:AC16)*AC19+AB17*AB19*PRODUCT(AC5:AC16)*AC18</f>
        <v>6.3131042111195916E-4</v>
      </c>
      <c r="BH17">
        <v>1</v>
      </c>
      <c r="BI17">
        <v>5</v>
      </c>
      <c r="BJ17" s="107">
        <f t="shared" si="7"/>
        <v>8.050040769142168E-3</v>
      </c>
      <c r="BP17">
        <f>BP13+1</f>
        <v>5</v>
      </c>
      <c r="BQ17">
        <v>3</v>
      </c>
      <c r="BR17" s="107">
        <f>$H$30*H42</f>
        <v>1.5812421730654897E-3</v>
      </c>
    </row>
    <row r="18" spans="1:70" x14ac:dyDescent="0.25">
      <c r="A18" s="188" t="s">
        <v>12</v>
      </c>
      <c r="B18" s="172">
        <v>19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1.7931315762486385E-3</v>
      </c>
      <c r="BP18">
        <f>BL8+1</f>
        <v>5</v>
      </c>
      <c r="BQ18">
        <v>4</v>
      </c>
      <c r="BR18" s="107">
        <f>$H$30*H43</f>
        <v>6.5793512076671174E-4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4.0936818634108786E-2</v>
      </c>
      <c r="AC19" s="178">
        <f t="shared" si="5"/>
        <v>0.95906318136589119</v>
      </c>
      <c r="AD19" s="179">
        <f>AB19*PRODUCT(AC5:AC18)</f>
        <v>2.2501059490968155E-2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3.00672378953774E-4</v>
      </c>
      <c r="BP19">
        <f>BP15+1</f>
        <v>6</v>
      </c>
      <c r="BQ19">
        <v>1</v>
      </c>
      <c r="BR19" s="107">
        <f>$H$31*H40</f>
        <v>3.7690552206734939E-4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0.31413103518623064</v>
      </c>
      <c r="T20" s="181">
        <f>SUM(T5:T19)</f>
        <v>0.60023240328308258</v>
      </c>
      <c r="U20" s="181">
        <f>SUM(U5:U19)</f>
        <v>8.1968467190474889E-2</v>
      </c>
      <c r="V20" s="181">
        <f>1-S20-T20-U20</f>
        <v>3.6680943402118832E-3</v>
      </c>
      <c r="W20" s="21"/>
      <c r="X20" s="22"/>
      <c r="Y20" s="22"/>
      <c r="Z20" s="22"/>
      <c r="AA20" s="22"/>
      <c r="AB20" s="23"/>
      <c r="AC20" s="184">
        <f>PRODUCT(AC5:AC19)</f>
        <v>0.52715229027422705</v>
      </c>
      <c r="AD20" s="181">
        <f>SUM(AD5:AD19)</f>
        <v>0.38242544899659148</v>
      </c>
      <c r="AE20" s="181">
        <f>SUM(AE5:AE19)</f>
        <v>8.1965681049867761E-2</v>
      </c>
      <c r="AF20" s="181">
        <f>1-AC20-AD20-AE20</f>
        <v>8.4565796793137082E-3</v>
      </c>
      <c r="BH20">
        <v>1</v>
      </c>
      <c r="BI20">
        <v>8</v>
      </c>
      <c r="BJ20" s="107">
        <f t="shared" si="7"/>
        <v>3.7969619813707678E-5</v>
      </c>
      <c r="BP20">
        <f>BP16+1</f>
        <v>6</v>
      </c>
      <c r="BQ20">
        <v>2</v>
      </c>
      <c r="BR20" s="107">
        <f>$H$31*H41</f>
        <v>3.7946962405560326E-4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0.31413103518623064</v>
      </c>
      <c r="T21" s="183">
        <f>T20*V1</f>
        <v>0.60023240328308258</v>
      </c>
      <c r="U21" s="183">
        <f>U20*V1</f>
        <v>8.1968467190474889E-2</v>
      </c>
      <c r="V21" s="183">
        <f>V20*V1</f>
        <v>3.6680943402118832E-3</v>
      </c>
      <c r="W21" s="21"/>
      <c r="X21" s="22"/>
      <c r="Y21" s="22"/>
      <c r="Z21" s="22"/>
      <c r="AA21" s="22"/>
      <c r="AB21" s="23"/>
      <c r="AC21" s="185">
        <f>1-AD21-AE21-AF21</f>
        <v>0.52715229027422705</v>
      </c>
      <c r="AD21" s="183">
        <f>AD20*V1</f>
        <v>0.38242544899659148</v>
      </c>
      <c r="AE21" s="183">
        <f>AE20*V1</f>
        <v>8.1965681049867761E-2</v>
      </c>
      <c r="AF21" s="183">
        <f>AF20*V1</f>
        <v>8.4565796793137082E-3</v>
      </c>
      <c r="BH21" s="18">
        <v>1</v>
      </c>
      <c r="BI21">
        <v>9</v>
      </c>
      <c r="BJ21" s="107">
        <f t="shared" si="7"/>
        <v>3.5672624376851998E-6</v>
      </c>
      <c r="BP21">
        <f>BP17+1</f>
        <v>6</v>
      </c>
      <c r="BQ21">
        <v>3</v>
      </c>
      <c r="BR21" s="107">
        <f>$H$31*H42</f>
        <v>2.3200585532652442E-4</v>
      </c>
    </row>
    <row r="22" spans="1:70" x14ac:dyDescent="0.25">
      <c r="A22" s="26" t="s">
        <v>77</v>
      </c>
      <c r="B22" s="62">
        <f>(B6)/((B6)+(C6))</f>
        <v>0.47058823529411764</v>
      </c>
      <c r="C22" s="63">
        <f>1-B22</f>
        <v>0.52941176470588236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2.4241396669767986E-7</v>
      </c>
      <c r="BP22">
        <f>BP18+1</f>
        <v>6</v>
      </c>
      <c r="BQ22">
        <v>4</v>
      </c>
      <c r="BR22" s="107">
        <f>$H$31*H43</f>
        <v>9.6534738981135854E-5</v>
      </c>
    </row>
    <row r="23" spans="1:70" ht="15.75" thickBot="1" x14ac:dyDescent="0.3">
      <c r="A23" s="40" t="s">
        <v>67</v>
      </c>
      <c r="B23" s="56">
        <f>((B22^2.8)/((B22^2.8)+(C22^2.8)))*B21</f>
        <v>2.0914555600018487</v>
      </c>
      <c r="C23" s="57">
        <f>B21-B23</f>
        <v>2.9085444399981513</v>
      </c>
      <c r="D23" s="151">
        <f>SUM(D25:D30)</f>
        <v>1.0003500000000001</v>
      </c>
      <c r="E23" s="151">
        <f>SUM(E25:E30)</f>
        <v>1</v>
      </c>
      <c r="H23" s="59">
        <f>SUM(H25:H35)</f>
        <v>0.99999999916014604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0.99999999999999989</v>
      </c>
      <c r="T23" s="59">
        <f>SUM(T25:T35)</f>
        <v>1</v>
      </c>
      <c r="V23" s="59">
        <f>SUM(V25:V34)</f>
        <v>0.99978860153449678</v>
      </c>
      <c r="Y23" s="80">
        <f>SUM(Y25:Y35)</f>
        <v>4.3485985613854099E-3</v>
      </c>
      <c r="Z23" s="81"/>
      <c r="AA23" s="80">
        <f>SUM(AA25:AA35)</f>
        <v>3.1357003918669898E-2</v>
      </c>
      <c r="AB23" s="81"/>
      <c r="AC23" s="80">
        <f>SUM(AC25:AC35)</f>
        <v>0.10181222934654706</v>
      </c>
      <c r="AD23" s="81"/>
      <c r="AE23" s="80">
        <f>SUM(AE25:AE35)</f>
        <v>0.19605985421480709</v>
      </c>
      <c r="AF23" s="81"/>
      <c r="AG23" s="80">
        <f>SUM(AG25:AG35)</f>
        <v>0.24806731370706578</v>
      </c>
      <c r="AH23" s="81"/>
      <c r="AI23" s="80">
        <f>SUM(AI25:AI35)</f>
        <v>0.21561277444667062</v>
      </c>
      <c r="AJ23" s="81"/>
      <c r="AK23" s="80">
        <f>SUM(AK25:AK35)</f>
        <v>0.13051446743148012</v>
      </c>
      <c r="AL23" s="81"/>
      <c r="AM23" s="80">
        <f>SUM(AM25:AM35)</f>
        <v>5.4442556436520552E-2</v>
      </c>
      <c r="AN23" s="81"/>
      <c r="AO23" s="80">
        <f>SUM(AO25:AO35)</f>
        <v>1.5049575495535253E-2</v>
      </c>
      <c r="AP23" s="81"/>
      <c r="AQ23" s="80">
        <f>SUM(AQ25:AQ35)</f>
        <v>2.5242279758151795E-3</v>
      </c>
      <c r="AR23" s="81"/>
      <c r="AS23" s="80">
        <f>SUM(AS25:AS35)</f>
        <v>2.1139846550322089E-4</v>
      </c>
      <c r="BH23">
        <f t="shared" ref="BH23:BH30" si="8">BH15+1</f>
        <v>2</v>
      </c>
      <c r="BI23">
        <v>3</v>
      </c>
      <c r="BJ23" s="107">
        <f t="shared" ref="BJ23:BJ30" si="9">$H$27*H42</f>
        <v>5.6660032370166556E-2</v>
      </c>
      <c r="BP23">
        <f>BL9+1</f>
        <v>6</v>
      </c>
      <c r="BQ23">
        <v>5</v>
      </c>
      <c r="BR23" s="107">
        <f>$H$31*H44</f>
        <v>2.8949332927280508E-5</v>
      </c>
    </row>
    <row r="24" spans="1:70" ht="15.75" thickBot="1" x14ac:dyDescent="0.3">
      <c r="A24" s="26" t="s">
        <v>76</v>
      </c>
      <c r="B24" s="64">
        <f>B23/B21</f>
        <v>0.41829111200036972</v>
      </c>
      <c r="C24" s="65">
        <f>C23/B21</f>
        <v>0.58170888799963028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2.3575531866722715E-2</v>
      </c>
      <c r="BP24">
        <f>BH49+1</f>
        <v>7</v>
      </c>
      <c r="BQ24">
        <v>0</v>
      </c>
      <c r="BR24" s="107">
        <f t="shared" ref="BR24:BR30" si="10">$H$32*H39</f>
        <v>1.8441580572985698E-5</v>
      </c>
    </row>
    <row r="25" spans="1:70" x14ac:dyDescent="0.25">
      <c r="A25" s="26" t="s">
        <v>69</v>
      </c>
      <c r="B25" s="117">
        <f>1/(1+EXP(-3.1416*4*((B11/(B11+C8))-(3.1416/6))))</f>
        <v>1.7719770999207449E-2</v>
      </c>
      <c r="C25" s="118">
        <f>1/(1+EXP(-3.1416*4*((C11/(C11+B8))-(3.1416/6))))</f>
        <v>0.20202480276155996</v>
      </c>
      <c r="D25" s="153">
        <f>IF(B17="AOW", 0.36-0.08, IF(B17="AIM", 0.36+0.08, IF(B17="TL",(0.361)-(0.36*B32),0.36)))</f>
        <v>0.23499999999999999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0.12490549141861215</v>
      </c>
      <c r="I25" s="97">
        <v>0</v>
      </c>
      <c r="J25" s="98">
        <f t="shared" ref="J25:J35" si="11">Y25+AA25+AC25+AE25+AG25+AI25+AK25+AM25+AO25+AQ25+AS25</f>
        <v>0.39762225768161591</v>
      </c>
      <c r="K25" s="97">
        <v>0</v>
      </c>
      <c r="L25" s="98">
        <f>S21</f>
        <v>0.31413103518623064</v>
      </c>
      <c r="M25" s="84">
        <v>0</v>
      </c>
      <c r="N25" s="71">
        <f>(1-$B$24)^$B$21</f>
        <v>6.6608322675490148E-2</v>
      </c>
      <c r="O25" s="70">
        <v>0</v>
      </c>
      <c r="P25" s="71">
        <f>N25</f>
        <v>6.6608322675490148E-2</v>
      </c>
      <c r="Q25" s="12">
        <v>0</v>
      </c>
      <c r="R25" s="73">
        <f>P25*N25</f>
        <v>4.4366686496422145E-3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4.3485985613854099E-3</v>
      </c>
      <c r="W25" s="136">
        <f>B31</f>
        <v>0.20970463539772016</v>
      </c>
      <c r="X25" s="12">
        <v>0</v>
      </c>
      <c r="Y25" s="79">
        <f>V25</f>
        <v>4.3485985613854099E-3</v>
      </c>
      <c r="Z25" s="12">
        <v>0</v>
      </c>
      <c r="AA25" s="78">
        <f>((1-W25)^Z26)*V26</f>
        <v>2.4781294844740346E-2</v>
      </c>
      <c r="AB25" s="12">
        <v>0</v>
      </c>
      <c r="AC25" s="79">
        <f>(((1-$W$25)^AB27))*V27</f>
        <v>6.358853454853669E-2</v>
      </c>
      <c r="AD25" s="12">
        <v>0</v>
      </c>
      <c r="AE25" s="79">
        <f>(((1-$W$25)^AB28))*V28</f>
        <v>9.6773618288920005E-2</v>
      </c>
      <c r="AF25" s="12">
        <v>0</v>
      </c>
      <c r="AG25" s="79">
        <f>(((1-$W$25)^AB29))*V29</f>
        <v>9.6767001150790122E-2</v>
      </c>
      <c r="AH25" s="12">
        <v>0</v>
      </c>
      <c r="AI25" s="79">
        <f>(((1-$W$25)^AB30))*V30</f>
        <v>6.6469385098237188E-2</v>
      </c>
      <c r="AJ25" s="12">
        <v>0</v>
      </c>
      <c r="AK25" s="79">
        <f>(((1-$W$25)^AB31))*V31</f>
        <v>3.179766747468845E-2</v>
      </c>
      <c r="AL25" s="12">
        <v>0</v>
      </c>
      <c r="AM25" s="79">
        <f>(((1-$W$25)^AB32))*V32</f>
        <v>1.0482492309370827E-2</v>
      </c>
      <c r="AN25" s="12">
        <v>0</v>
      </c>
      <c r="AO25" s="79">
        <f>(((1-$W$25)^AB33))*V33</f>
        <v>2.2900223819496061E-3</v>
      </c>
      <c r="AP25" s="12">
        <v>0</v>
      </c>
      <c r="AQ25" s="79">
        <f>(((1-$W$25)^AB34))*V34</f>
        <v>3.0355227173145375E-4</v>
      </c>
      <c r="AR25" s="12">
        <v>0</v>
      </c>
      <c r="AS25" s="79">
        <f>(((1-$W$25)^AB35))*V35</f>
        <v>2.0090751265853762E-5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7.0699514822413871E-3</v>
      </c>
      <c r="BP25">
        <f>BP19+1</f>
        <v>7</v>
      </c>
      <c r="BQ25">
        <v>1</v>
      </c>
      <c r="BR25" s="107">
        <f t="shared" si="10"/>
        <v>4.0761916579576172E-5</v>
      </c>
    </row>
    <row r="26" spans="1:70" x14ac:dyDescent="0.25">
      <c r="A26" s="40" t="s">
        <v>24</v>
      </c>
      <c r="B26" s="119">
        <f>1/(1+EXP(-3.1416*4*((B10/(B10+C9))-(3.1416/6))))</f>
        <v>1.5862831544598589E-2</v>
      </c>
      <c r="C26" s="120">
        <f>1/(1+EXP(-3.1416*4*((C10/(C10+B9))-(3.1416/6))))</f>
        <v>0.14523338046525847</v>
      </c>
      <c r="D26" s="153">
        <f>IF(B17="AOW", 0.257+0.04, IF(B17="AIM", 0.257-0.04, IF(B17="TL",(0.257)-(0.257*B32),0.257)))</f>
        <v>0.16705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0.35928905704014591</v>
      </c>
      <c r="I26" s="93">
        <v>1</v>
      </c>
      <c r="J26" s="86">
        <f t="shared" si="11"/>
        <v>0.38399037408562225</v>
      </c>
      <c r="K26" s="93">
        <v>1</v>
      </c>
      <c r="L26" s="86">
        <f>T21</f>
        <v>0.60023240328308258</v>
      </c>
      <c r="M26" s="85">
        <v>1</v>
      </c>
      <c r="N26" s="71">
        <f>(($B$24)^M26)*((1-($B$24))^($B$21-M26))*HLOOKUP($B$21,$AV$24:$BF$34,M26+1)</f>
        <v>0.23948120731161948</v>
      </c>
      <c r="O26" s="72">
        <v>1</v>
      </c>
      <c r="P26" s="71">
        <f t="shared" ref="P26:P30" si="12">N26</f>
        <v>0.23948120731161948</v>
      </c>
      <c r="Q26" s="28">
        <v>1</v>
      </c>
      <c r="R26" s="37">
        <f>N26*P25+P26*N25</f>
        <v>3.1902883062656602E-2</v>
      </c>
      <c r="S26" s="72">
        <v>1</v>
      </c>
      <c r="T26" s="135">
        <f t="shared" ref="T26:T35" si="13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3.1357003918669898E-2</v>
      </c>
      <c r="W26" s="137"/>
      <c r="X26" s="28">
        <v>1</v>
      </c>
      <c r="Y26" s="73"/>
      <c r="Z26" s="28">
        <v>1</v>
      </c>
      <c r="AA26" s="79">
        <f>(1-((1-W25)^Z26))*V26</f>
        <v>6.5757090739295516E-3</v>
      </c>
      <c r="AB26" s="28">
        <v>1</v>
      </c>
      <c r="AC26" s="79">
        <f>((($W$25)^M26)*((1-($W$25))^($U$27-M26))*HLOOKUP($U$27,$AV$24:$BF$34,M26+1))*V27</f>
        <v>3.3746396727727314E-2</v>
      </c>
      <c r="AD26" s="28">
        <v>1</v>
      </c>
      <c r="AE26" s="79">
        <f>((($W$25)^M26)*((1-($W$25))^($U$28-M26))*HLOOKUP($U$28,$AV$24:$BF$34,M26+1))*V28</f>
        <v>7.703655082024595E-2</v>
      </c>
      <c r="AF26" s="28">
        <v>1</v>
      </c>
      <c r="AG26" s="79">
        <f>((($W$25)^M26)*((1-($W$25))^($U$29-M26))*HLOOKUP($U$29,$AV$24:$BF$34,M26+1))*V29</f>
        <v>0.10270837767127487</v>
      </c>
      <c r="AH26" s="28">
        <v>1</v>
      </c>
      <c r="AI26" s="79">
        <f>((($W$25)^M26)*((1-($W$25))^($U$30-M26))*HLOOKUP($U$30,$AV$24:$BF$34,M26+1))*V30</f>
        <v>8.8188155919093139E-2</v>
      </c>
      <c r="AJ26" s="28">
        <v>1</v>
      </c>
      <c r="AK26" s="79">
        <f>((($W$25)^M26)*((1-($W$25))^($U$31-M26))*HLOOKUP($U$31,$AV$24:$BF$34,M26+1))*V31</f>
        <v>5.0625008544494643E-2</v>
      </c>
      <c r="AL26" s="28">
        <v>1</v>
      </c>
      <c r="AM26" s="79">
        <f>((($W$25)^Q26)*((1-($W$25))^($U$32-Q26))*HLOOKUP($U$32,$AV$24:$BF$34,Q26+1))*V32</f>
        <v>1.9470683093675979E-2</v>
      </c>
      <c r="AN26" s="28">
        <v>1</v>
      </c>
      <c r="AO26" s="79">
        <f>((($W$25)^Q26)*((1-($W$25))^($U$33-Q26))*HLOOKUP($U$33,$AV$24:$BF$34,Q26+1))*V33</f>
        <v>4.8612539581429854E-3</v>
      </c>
      <c r="AP26" s="28">
        <v>1</v>
      </c>
      <c r="AQ26" s="79">
        <f>((($W$25)^Q26)*((1-($W$25))^($U$34-Q26))*HLOOKUP($U$34,$AV$24:$BF$34,Q26+1))*V34</f>
        <v>7.2492752946446283E-4</v>
      </c>
      <c r="AR26" s="28">
        <v>1</v>
      </c>
      <c r="AS26" s="79">
        <f>((($W$25)^Q26)*((1-($W$25))^($U$35-Q26))*HLOOKUP($U$35,$AV$24:$BF$34,Q26+1))*V35</f>
        <v>5.3310747573376246E-5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1.5748185144537879E-3</v>
      </c>
      <c r="BP26">
        <f>BP20+1</f>
        <v>7</v>
      </c>
      <c r="BQ26">
        <v>2</v>
      </c>
      <c r="BR26" s="107">
        <f t="shared" si="10"/>
        <v>4.103922138204615E-5</v>
      </c>
    </row>
    <row r="27" spans="1:70" x14ac:dyDescent="0.25">
      <c r="A27" s="26" t="s">
        <v>25</v>
      </c>
      <c r="B27" s="119">
        <f>1/(1+EXP(-3.1416*4*((B12/(B12+C7))-(3.1416/6))))</f>
        <v>9.7085369871643349E-3</v>
      </c>
      <c r="C27" s="120">
        <f>1/(1+EXP(-3.1416*4*((C12/(C12+B7))-(3.1416/6))))</f>
        <v>0.10842019299417877</v>
      </c>
      <c r="D27" s="153">
        <f>D26</f>
        <v>0.16705</v>
      </c>
      <c r="E27" s="153">
        <f>E26</f>
        <v>0.25700000000000001</v>
      </c>
      <c r="G27" s="87">
        <v>2</v>
      </c>
      <c r="H27" s="128">
        <f>L25*J27+J26*L26+J25*L27</f>
        <v>0.31554575612972641</v>
      </c>
      <c r="I27" s="93">
        <v>2</v>
      </c>
      <c r="J27" s="86">
        <f t="shared" si="11"/>
        <v>0.16703158298465795</v>
      </c>
      <c r="K27" s="93">
        <v>2</v>
      </c>
      <c r="L27" s="86">
        <f>U21</f>
        <v>8.1968467190474889E-2</v>
      </c>
      <c r="M27" s="85">
        <v>2</v>
      </c>
      <c r="N27" s="71">
        <f>(($B$24)^M27)*((1-($B$24))^($B$21-M27))*HLOOKUP($B$21,$AV$24:$BF$34,M27+1)</f>
        <v>0.34440890478411268</v>
      </c>
      <c r="O27" s="72">
        <v>2</v>
      </c>
      <c r="P27" s="71">
        <f t="shared" si="12"/>
        <v>0.34440890478411268</v>
      </c>
      <c r="Q27" s="28">
        <v>2</v>
      </c>
      <c r="R27" s="37">
        <f>P25*N27+P26*N26+P27*N25</f>
        <v>0.10323224757977553</v>
      </c>
      <c r="S27" s="72">
        <v>2</v>
      </c>
      <c r="T27" s="135">
        <f t="shared" si="13"/>
        <v>1.4850375000000001E-4</v>
      </c>
      <c r="U27" s="93">
        <v>2</v>
      </c>
      <c r="V27" s="86">
        <f>R27*T25+T26*R26+R25*T27</f>
        <v>0.10181222934654706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4.4772980702830617E-3</v>
      </c>
      <c r="AD27" s="28">
        <v>2</v>
      </c>
      <c r="AE27" s="79">
        <f>((($W$25)^M27)*((1-($W$25))^($U$28-M27))*HLOOKUP($U$28,$AV$24:$BF$34,M27+1))*V28</f>
        <v>2.0441625404430491E-2</v>
      </c>
      <c r="AF27" s="28">
        <v>2</v>
      </c>
      <c r="AG27" s="79">
        <f>((($W$25)^M27)*((1-($W$25))^($U$29-M27))*HLOOKUP($U$29,$AV$24:$BF$34,M27+1))*V29</f>
        <v>4.0880455314359639E-2</v>
      </c>
      <c r="AH27" s="28">
        <v>2</v>
      </c>
      <c r="AI27" s="79">
        <f>((($W$25)^M27)*((1-($W$25))^($U$30-M27))*HLOOKUP($U$30,$AV$24:$BF$34,M27+1))*V30</f>
        <v>4.6801400872995516E-2</v>
      </c>
      <c r="AJ27" s="28">
        <v>2</v>
      </c>
      <c r="AK27" s="79">
        <f>((($W$25)^M27)*((1-($W$25))^($U$31-M27))*HLOOKUP($U$31,$AV$24:$BF$34,M27+1))*V31</f>
        <v>3.3583326672339847E-2</v>
      </c>
      <c r="AL27" s="28">
        <v>2</v>
      </c>
      <c r="AM27" s="79">
        <f>((($W$25)^Q27)*((1-($W$25))^($U$32-Q27))*HLOOKUP($U$32,$AV$24:$BF$34,Q27+1))*V32</f>
        <v>1.5499619567522247E-2</v>
      </c>
      <c r="AN27" s="28">
        <v>2</v>
      </c>
      <c r="AO27" s="79">
        <f>((($W$25)^Q27)*((1-($W$25))^($U$33-Q27))*HLOOKUP($U$33,$AV$24:$BF$34,Q27+1))*V33</f>
        <v>4.514762923902454E-3</v>
      </c>
      <c r="AP27" s="28">
        <v>2</v>
      </c>
      <c r="AQ27" s="79">
        <f>((($W$25)^Q27)*((1-($W$25))^($U$34-Q27))*HLOOKUP($U$34,$AV$24:$BF$34,Q27+1))*V34</f>
        <v>7.6943720064773713E-4</v>
      </c>
      <c r="AR27" s="28">
        <v>2</v>
      </c>
      <c r="AS27" s="79">
        <f>((($W$25)^Q27)*((1-($W$25))^($U$35-Q27))*HLOOKUP($U$35,$AV$24:$BF$34,Q27+1))*V35</f>
        <v>6.3656958176977379E-5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2.6406563546880053E-4</v>
      </c>
      <c r="BP27">
        <f>BP21+1</f>
        <v>7</v>
      </c>
      <c r="BQ27">
        <v>3</v>
      </c>
      <c r="BR27" s="107">
        <f t="shared" si="10"/>
        <v>2.5091177409449393E-5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0.1467343390442872</v>
      </c>
      <c r="I28" s="93">
        <v>3</v>
      </c>
      <c r="J28" s="86">
        <f t="shared" si="11"/>
        <v>4.3112429895886442E-2</v>
      </c>
      <c r="K28" s="93">
        <v>3</v>
      </c>
      <c r="L28" s="86">
        <f>V21</f>
        <v>3.6680943402118832E-3</v>
      </c>
      <c r="M28" s="85">
        <v>3</v>
      </c>
      <c r="N28" s="71">
        <f>(($B$24)^M28)*((1-($B$24))^($B$21-M28))*HLOOKUP($B$21,$AV$24:$BF$34,M28+1)</f>
        <v>0.24765511880070762</v>
      </c>
      <c r="O28" s="72">
        <v>3</v>
      </c>
      <c r="P28" s="71">
        <f t="shared" si="12"/>
        <v>0.24765511880070762</v>
      </c>
      <c r="Q28" s="28">
        <v>3</v>
      </c>
      <c r="R28" s="37">
        <f>P25*N28+P26*N27+P27*N26+P28*N25</f>
        <v>0.19795070478377255</v>
      </c>
      <c r="S28" s="72">
        <v>3</v>
      </c>
      <c r="T28" s="135">
        <f t="shared" si="13"/>
        <v>4.9750000000000011E-7</v>
      </c>
      <c r="U28" s="93">
        <v>3</v>
      </c>
      <c r="V28" s="86">
        <f>R28*T25+R27*T26+R26*T27+R25*T28</f>
        <v>0.19605985421480709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1.8080597012106461E-3</v>
      </c>
      <c r="AF28" s="28">
        <v>3</v>
      </c>
      <c r="AG28" s="79">
        <f>((($W$25)^M28)*((1-($W$25))^($U$29-M28))*HLOOKUP($U$29,$AV$24:$BF$34,M28+1))*V29</f>
        <v>7.2317442824303179E-3</v>
      </c>
      <c r="AH28" s="28">
        <v>3</v>
      </c>
      <c r="AI28" s="79">
        <f>((($W$25)^M28)*((1-($W$25))^($U$30-M28))*HLOOKUP($U$30,$AV$24:$BF$34,M28+1))*V30</f>
        <v>1.2418737532534118E-2</v>
      </c>
      <c r="AJ28" s="28">
        <v>3</v>
      </c>
      <c r="AK28" s="79">
        <f>((($W$25)^M28)*((1-($W$25))^($U$31-M28))*HLOOKUP($U$31,$AV$24:$BF$34,M28+1))*V31</f>
        <v>1.1881767401077567E-2</v>
      </c>
      <c r="AL28" s="28">
        <v>3</v>
      </c>
      <c r="AM28" s="79">
        <f>((($W$25)^Q28)*((1-($W$25))^($U$32-Q28))*HLOOKUP($U$32,$AV$24:$BF$34,Q28+1))*V32</f>
        <v>6.8546989218526196E-3</v>
      </c>
      <c r="AN28" s="28">
        <v>3</v>
      </c>
      <c r="AO28" s="79">
        <f>((($W$25)^Q28)*((1-($W$25))^($U$33-Q28))*HLOOKUP($U$33,$AV$24:$BF$34,Q28+1))*V33</f>
        <v>2.3959819461691375E-3</v>
      </c>
      <c r="AP28" s="28">
        <v>3</v>
      </c>
      <c r="AQ28" s="79">
        <f>((($W$25)^Q28)*((1-($W$25))^($U$34-Q28))*HLOOKUP($U$34,$AV$24:$BF$34,Q28+1))*V34</f>
        <v>4.7639649847090211E-4</v>
      </c>
      <c r="AR28" s="28">
        <v>3</v>
      </c>
      <c r="AS28" s="79">
        <f>((($W$25)^Q28)*((1-($W$25))^($U$35-Q28))*HLOOKUP($U$35,$AV$24:$BF$34,Q28+1))*V35</f>
        <v>4.504361214113577E-5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3.3346833585126119E-5</v>
      </c>
      <c r="BP28">
        <f>BP22+1</f>
        <v>7</v>
      </c>
      <c r="BQ28">
        <v>4</v>
      </c>
      <c r="BR28" s="107">
        <f t="shared" si="10"/>
        <v>1.0440125567269041E-5</v>
      </c>
    </row>
    <row r="29" spans="1:70" x14ac:dyDescent="0.25">
      <c r="A29" s="26" t="s">
        <v>27</v>
      </c>
      <c r="B29" s="123">
        <f>1/(1+EXP(-3.1416*4*((B14/(B14+C13))-(3.1416/6))))</f>
        <v>0.49415415856240097</v>
      </c>
      <c r="C29" s="118">
        <f>1/(1+EXP(-3.1416*4*((C14/(C14+B13))-(3.1416/6))))</f>
        <v>0.18291391297121673</v>
      </c>
      <c r="D29" s="153">
        <v>0.04</v>
      </c>
      <c r="E29" s="153">
        <v>0.04</v>
      </c>
      <c r="G29" s="87">
        <v>4</v>
      </c>
      <c r="H29" s="128">
        <f>J29*L25+J28*L26+J27*L27+J26*L28</f>
        <v>4.3275542807632468E-2</v>
      </c>
      <c r="I29" s="93">
        <v>4</v>
      </c>
      <c r="J29" s="86">
        <f t="shared" si="11"/>
        <v>7.3161496155841653E-3</v>
      </c>
      <c r="K29" s="93">
        <v>4</v>
      </c>
      <c r="L29" s="86"/>
      <c r="M29" s="85">
        <v>4</v>
      </c>
      <c r="N29" s="71">
        <f>(($B$24)^M29)*((1-($B$24))^($B$21-M29))*HLOOKUP($B$21,$AV$24:$BF$34,M29+1)</f>
        <v>8.9041045420469422E-2</v>
      </c>
      <c r="O29" s="72">
        <v>4</v>
      </c>
      <c r="P29" s="71">
        <f t="shared" si="12"/>
        <v>8.9041045420469422E-2</v>
      </c>
      <c r="Q29" s="28">
        <v>4</v>
      </c>
      <c r="R29" s="37">
        <f>P25*N29+P26*N28+P27*N27+P28*N26+P29*N25</f>
        <v>0.24909673675864324</v>
      </c>
      <c r="S29" s="72">
        <v>4</v>
      </c>
      <c r="T29" s="135">
        <f t="shared" si="13"/>
        <v>6.2500000000000001E-10</v>
      </c>
      <c r="U29" s="93">
        <v>4</v>
      </c>
      <c r="V29" s="86">
        <f>T29*R25+T28*R26+T27*R27+T26*R28+T25*R29</f>
        <v>0.24806731370706575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4.7973528821081932E-4</v>
      </c>
      <c r="AH29" s="28">
        <v>4</v>
      </c>
      <c r="AI29" s="79">
        <f>((($W$25)^M29)*((1-($W$25))^($U$30-M29))*HLOOKUP($U$30,$AV$24:$BF$34,M29+1))*V30</f>
        <v>1.6476541195902499E-3</v>
      </c>
      <c r="AJ29" s="28">
        <v>4</v>
      </c>
      <c r="AK29" s="79">
        <f>((($W$25)^M29)*((1-($W$25))^($U$31-M29))*HLOOKUP($U$31,$AV$24:$BF$34,M29+1))*V31</f>
        <v>2.3646175331966828E-3</v>
      </c>
      <c r="AL29" s="28">
        <v>4</v>
      </c>
      <c r="AM29" s="79">
        <f>((($W$25)^Q29)*((1-($W$25))^($U$32-Q29))*HLOOKUP($U$32,$AV$24:$BF$34,Q29+1))*V32</f>
        <v>1.8188922807255224E-3</v>
      </c>
      <c r="AN29" s="28">
        <v>4</v>
      </c>
      <c r="AO29" s="79">
        <f>((($W$25)^Q29)*((1-($W$25))^($U$33-Q29))*HLOOKUP($U$33,$AV$24:$BF$34,Q29+1))*V33</f>
        <v>7.9471635376125911E-4</v>
      </c>
      <c r="AP29" s="28">
        <v>4</v>
      </c>
      <c r="AQ29" s="79">
        <f>((($W$25)^Q29)*((1-($W$25))^($U$34-Q29))*HLOOKUP($U$34,$AV$24:$BF$34,Q29+1))*V34</f>
        <v>1.8961749965508315E-4</v>
      </c>
      <c r="AR29" s="28">
        <v>4</v>
      </c>
      <c r="AS29" s="79">
        <f>((($W$25)^Q29)*((1-($W$25))^($U$35-Q29))*HLOOKUP($U$35,$AV$24:$BF$34,Q29+1))*V35</f>
        <v>2.0916540444548883E-5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3.1329496436257234E-6</v>
      </c>
      <c r="BP29">
        <f>BP23+1</f>
        <v>7</v>
      </c>
      <c r="BQ29">
        <v>5</v>
      </c>
      <c r="BR29" s="107">
        <f t="shared" si="10"/>
        <v>3.1308384322512679E-6</v>
      </c>
    </row>
    <row r="30" spans="1:70" x14ac:dyDescent="0.25">
      <c r="A30" s="26" t="s">
        <v>136</v>
      </c>
      <c r="B30" s="174">
        <v>0.75</v>
      </c>
      <c r="C30" s="175">
        <v>0.15</v>
      </c>
      <c r="D30" s="153">
        <f>IF(B17="TL",0.875*B32,0.001)</f>
        <v>0.30624999999999997</v>
      </c>
      <c r="E30" s="153">
        <f>IF(C17="TL",0.875*C32,0.001)</f>
        <v>1E-3</v>
      </c>
      <c r="G30" s="87">
        <v>5</v>
      </c>
      <c r="H30" s="128">
        <f>J30*L25+J29*L26+J28*L27+J27*L28</f>
        <v>8.8061061078192771E-3</v>
      </c>
      <c r="I30" s="93">
        <v>5</v>
      </c>
      <c r="J30" s="86">
        <f t="shared" si="11"/>
        <v>8.5368400965010716E-4</v>
      </c>
      <c r="K30" s="93">
        <v>5</v>
      </c>
      <c r="L30" s="86"/>
      <c r="M30" s="85">
        <v>5</v>
      </c>
      <c r="N30" s="71">
        <f>(($B$24)^M30)*((1-($B$24))^($B$21-M30))*HLOOKUP($B$21,$AV$24:$BF$34,M30+1)</f>
        <v>1.2805401007600645E-2</v>
      </c>
      <c r="O30" s="72">
        <v>5</v>
      </c>
      <c r="P30" s="71">
        <f t="shared" si="12"/>
        <v>1.2805401007600645E-2</v>
      </c>
      <c r="Q30" s="28">
        <v>5</v>
      </c>
      <c r="R30" s="37">
        <f>P25*N30+P26*N29+P27*N28+P28*N27+P29*N26+P30*N25</f>
        <v>0.21494246314043419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0.21561277444667062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8.7440904220439155E-5</v>
      </c>
      <c r="AJ30" s="28">
        <v>5</v>
      </c>
      <c r="AK30" s="79">
        <f>((($W$25)^M30)*((1-($W$25))^($U$31-M30))*HLOOKUP($U$31,$AV$24:$BF$34,M30+1))*V31</f>
        <v>2.509802182142959E-4</v>
      </c>
      <c r="AL30" s="28">
        <v>5</v>
      </c>
      <c r="AM30" s="79">
        <f>((($W$25)^Q30)*((1-($W$25))^($U$32-Q30))*HLOOKUP($U$32,$AV$24:$BF$34,Q30+1))*V32</f>
        <v>2.8958550914636577E-4</v>
      </c>
      <c r="AN30" s="28">
        <v>5</v>
      </c>
      <c r="AO30" s="79">
        <f>((($W$25)^Q30)*((1-($W$25))^($U$33-Q30))*HLOOKUP($U$33,$AV$24:$BF$34,Q30+1))*V33</f>
        <v>1.6870219482456995E-4</v>
      </c>
      <c r="AP30" s="28">
        <v>5</v>
      </c>
      <c r="AQ30" s="79">
        <f>((($W$25)^Q30)*((1-($W$25))^($U$34-Q30))*HLOOKUP($U$34,$AV$24:$BF$34,Q30+1))*V34</f>
        <v>5.0314946045783534E-5</v>
      </c>
      <c r="AR30" s="28">
        <v>5</v>
      </c>
      <c r="AS30" s="79">
        <f>((($W$25)^Q30)*((1-($W$25))^($U$35-Q30))*HLOOKUP($U$35,$AV$24:$BF$34,Q30+1))*V35</f>
        <v>6.6602371986527607E-6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2.1290016191469657E-7</v>
      </c>
      <c r="BP30">
        <f>BL10+1</f>
        <v>7</v>
      </c>
      <c r="BQ30">
        <v>6</v>
      </c>
      <c r="BR30" s="107">
        <f t="shared" si="10"/>
        <v>6.9738842497822207E-7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0.20970463539772016</v>
      </c>
      <c r="C31" s="61">
        <f>(C25*E25)+(C26*E26)+(C27*E27)+(C28*E28)+(C29*E29)+(C30*E30)/(C25+C26+C27+C28+C29+C30)</f>
        <v>0.22182328528197179</v>
      </c>
      <c r="G31" s="87">
        <v>6</v>
      </c>
      <c r="H31" s="128">
        <f>J31*L25+J30*L26+J29*L27+J28*L28</f>
        <v>1.292065323352671E-3</v>
      </c>
      <c r="I31" s="93">
        <v>6</v>
      </c>
      <c r="J31" s="86">
        <f t="shared" si="11"/>
        <v>6.9469381666197434E-5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0.12879942152320448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0.13051446743148007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1.1099587468616103E-5</v>
      </c>
      <c r="AL31" s="28">
        <v>6</v>
      </c>
      <c r="AM31" s="79">
        <f>((($W$25)^Q31)*((1-($W$25))^($U$32-Q31))*HLOOKUP($U$32,$AV$24:$BF$34,Q31+1))*V32</f>
        <v>2.5613809018759794E-5</v>
      </c>
      <c r="AN31" s="28">
        <v>6</v>
      </c>
      <c r="AO31" s="79">
        <f>((($W$25)^Q31)*((1-($W$25))^($U$33-Q31))*HLOOKUP($U$33,$AV$24:$BF$34,Q31+1))*V33</f>
        <v>2.2382538125024664E-5</v>
      </c>
      <c r="AP31" s="28">
        <v>6</v>
      </c>
      <c r="AQ31" s="79">
        <f>((($W$25)^Q31)*((1-($W$25))^($U$34-Q31))*HLOOKUP($U$34,$AV$24:$BF$34,Q31+1))*V34</f>
        <v>8.9007037859378762E-6</v>
      </c>
      <c r="AR31" s="28">
        <v>6</v>
      </c>
      <c r="AS31" s="79">
        <f>((($W$25)^Q31)*((1-($W$25))^($U$35-Q31))*HLOOKUP($U$35,$AV$24:$BF$34,Q31+1))*V35</f>
        <v>1.472743267858992E-6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1.0963037907753995E-2</v>
      </c>
      <c r="BP31">
        <f t="shared" ref="BP31:BP37" si="17">BP24+1</f>
        <v>8</v>
      </c>
      <c r="BQ31">
        <v>0</v>
      </c>
      <c r="BR31" s="107">
        <f t="shared" ref="BR31:BR38" si="18">$H$33*H39</f>
        <v>1.4800167270630064E-6</v>
      </c>
    </row>
    <row r="32" spans="1:70" x14ac:dyDescent="0.25">
      <c r="A32" s="26" t="s">
        <v>137</v>
      </c>
      <c r="B32" s="75">
        <f>IF(B17&lt;&gt;"TL",0.001,IF(B18&lt;5,0.1,IF(B18&lt;10,0.2,IF(B18&lt;14,0.3,0.35))))</f>
        <v>0.35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1.397354398974648E-4</v>
      </c>
      <c r="I32" s="93">
        <v>7</v>
      </c>
      <c r="J32" s="86">
        <f t="shared" si="11"/>
        <v>3.9033687058045391E-6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5.2923529636189334E-2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5.4442556436520545E-2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9.7094520822947708E-7</v>
      </c>
      <c r="AN32" s="28">
        <v>7</v>
      </c>
      <c r="AO32" s="79">
        <f>((($W$25)^Q32)*((1-($W$25))^($U$33-Q32))*HLOOKUP($U$33,$AV$24:$BF$34,Q32+1))*V33</f>
        <v>1.6969142016003483E-6</v>
      </c>
      <c r="AP32" s="28">
        <v>7</v>
      </c>
      <c r="AQ32" s="79">
        <f>((($W$25)^Q32)*((1-($W$25))^($U$34-Q32))*HLOOKUP($U$34,$AV$24:$BF$34,Q32+1))*V34</f>
        <v>1.0121995933322681E-6</v>
      </c>
      <c r="AR32" s="28">
        <v>7</v>
      </c>
      <c r="AS32" s="79">
        <f>((($W$25)^Q32)*((1-($W$25))^($U$35-Q32))*HLOOKUP($U$35,$AV$24:$BF$34,Q32+1))*V35</f>
        <v>2.2330970264244554E-7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3.2876520684226008E-3</v>
      </c>
      <c r="BP32">
        <f t="shared" si="17"/>
        <v>8</v>
      </c>
      <c r="BQ32">
        <v>1</v>
      </c>
      <c r="BR32" s="107">
        <f t="shared" si="18"/>
        <v>3.2713203798427159E-6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1.1214374364131445E-5</v>
      </c>
      <c r="I33" s="93">
        <v>8</v>
      </c>
      <c r="J33" s="86">
        <f t="shared" si="11"/>
        <v>1.4565185813002864E-7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1.4270953985226176E-2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1.5049575495535251E-2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5.6284458616130518E-8</v>
      </c>
      <c r="AP33" s="28">
        <v>8</v>
      </c>
      <c r="AQ33" s="79">
        <f>((($W$25)^Q33)*((1-($W$25))^($U$34-Q33))*HLOOKUP($U$34,$AV$24:$BF$34,Q33+1))*V34</f>
        <v>6.7146713803732825E-8</v>
      </c>
      <c r="AR33" s="28">
        <v>8</v>
      </c>
      <c r="AS33" s="79">
        <f>((($W$25)^Q33)*((1-($W$25))^($U$35-Q33))*HLOOKUP($U$35,$AV$24:$BF$34,Q33+1))*V35</f>
        <v>2.2220685710165297E-8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7.3231837013862985E-4</v>
      </c>
      <c r="BP33">
        <f t="shared" si="17"/>
        <v>8</v>
      </c>
      <c r="BQ33">
        <v>2</v>
      </c>
      <c r="BR33" s="107">
        <f t="shared" si="18"/>
        <v>3.2935752914825389E-6</v>
      </c>
    </row>
    <row r="34" spans="1:70" x14ac:dyDescent="0.25">
      <c r="A34" s="40" t="s">
        <v>86</v>
      </c>
      <c r="B34" s="56">
        <f>B23*2</f>
        <v>4.1829111200036975</v>
      </c>
      <c r="C34" s="57">
        <f>C23*2</f>
        <v>5.8170888799963025</v>
      </c>
      <c r="G34" s="87">
        <v>9</v>
      </c>
      <c r="H34" s="128">
        <f>J34*L25+J33*L26+J32*L27+J31*L28</f>
        <v>6.6323184662914851E-7</v>
      </c>
      <c r="I34" s="93">
        <v>9</v>
      </c>
      <c r="J34" s="86">
        <f t="shared" si="11"/>
        <v>3.2899849536941987E-9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2.2804125854901879E-3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2.5242279758151791E-3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1.9797066833857008E-9</v>
      </c>
      <c r="AR34" s="28">
        <v>9</v>
      </c>
      <c r="AS34" s="79">
        <f>((($W$25)^Q34)*((1-($W$25))^($U$35-Q34))*HLOOKUP($U$35,$AV$24:$BF$34,Q34+1))*V35</f>
        <v>1.3102782703084977E-9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1.2279517544483897E-4</v>
      </c>
      <c r="BP34">
        <f t="shared" si="17"/>
        <v>8</v>
      </c>
      <c r="BQ34">
        <v>3</v>
      </c>
      <c r="BR34" s="107">
        <f t="shared" si="18"/>
        <v>2.0136756782164639E-6</v>
      </c>
    </row>
    <row r="35" spans="1:70" ht="15.75" thickBot="1" x14ac:dyDescent="0.3">
      <c r="G35" s="88">
        <v>10</v>
      </c>
      <c r="H35" s="129">
        <f>J35*L25+J34*L26+J33*L27+J32*L28</f>
        <v>2.8242461556234506E-8</v>
      </c>
      <c r="I35" s="94">
        <v>10</v>
      </c>
      <c r="J35" s="89">
        <f t="shared" si="11"/>
        <v>3.4768194177993064E-11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1.6397829496545962E-4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2.1139846550322083E-4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3.4768194177993064E-11</v>
      </c>
      <c r="BH35">
        <f t="shared" si="15"/>
        <v>3</v>
      </c>
      <c r="BI35">
        <v>8</v>
      </c>
      <c r="BJ35" s="107">
        <f t="shared" si="16"/>
        <v>1.5506865455422792E-5</v>
      </c>
      <c r="BP35">
        <f t="shared" si="17"/>
        <v>8</v>
      </c>
      <c r="BQ35">
        <v>4</v>
      </c>
      <c r="BR35" s="107">
        <f t="shared" si="18"/>
        <v>8.378653017860457E-7</v>
      </c>
    </row>
    <row r="36" spans="1:70" x14ac:dyDescent="0.25">
      <c r="A36" s="1"/>
      <c r="B36" s="108">
        <f>SUM(B37:B39)</f>
        <v>0.99999993858347014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0.99999999999999978</v>
      </c>
      <c r="BH36">
        <f t="shared" si="15"/>
        <v>3</v>
      </c>
      <c r="BI36">
        <v>9</v>
      </c>
      <c r="BJ36" s="107">
        <f t="shared" si="16"/>
        <v>1.4568768119557922E-6</v>
      </c>
      <c r="BP36">
        <f t="shared" si="17"/>
        <v>8</v>
      </c>
      <c r="BQ36">
        <v>5</v>
      </c>
      <c r="BR36" s="107">
        <f t="shared" si="18"/>
        <v>2.5126334649706218E-7</v>
      </c>
    </row>
    <row r="37" spans="1:70" ht="15.75" thickBot="1" x14ac:dyDescent="0.3">
      <c r="A37" s="109" t="s">
        <v>104</v>
      </c>
      <c r="B37" s="107">
        <f>SUM(BN4:BN14)</f>
        <v>0.24375022492280413</v>
      </c>
      <c r="G37" s="13"/>
      <c r="H37" s="59">
        <f>SUM(H39:H49)</f>
        <v>0.99999996766576582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0.99507943547844246</v>
      </c>
      <c r="W37" s="13"/>
      <c r="X37" s="13"/>
      <c r="Y37" s="80">
        <f>SUM(Y39:Y49)</f>
        <v>1.6153089841581327E-4</v>
      </c>
      <c r="Z37" s="81"/>
      <c r="AA37" s="80">
        <f>SUM(AA39:AA49)</f>
        <v>2.2488122817722715E-3</v>
      </c>
      <c r="AB37" s="81"/>
      <c r="AC37" s="80">
        <f>SUM(AC39:AC49)</f>
        <v>1.4091835432056938E-2</v>
      </c>
      <c r="AD37" s="81"/>
      <c r="AE37" s="80">
        <f>SUM(AE39:AE49)</f>
        <v>5.2345738555502827E-2</v>
      </c>
      <c r="AF37" s="81"/>
      <c r="AG37" s="80">
        <f>SUM(AG39:AG49)</f>
        <v>0.12766407357345666</v>
      </c>
      <c r="AH37" s="81"/>
      <c r="AI37" s="80">
        <f>SUM(AI39:AI49)</f>
        <v>0.21365109092192627</v>
      </c>
      <c r="AJ37" s="81"/>
      <c r="AK37" s="80">
        <f>SUM(AK39:AK49)</f>
        <v>0.2485805312787599</v>
      </c>
      <c r="AL37" s="81"/>
      <c r="AM37" s="80">
        <f>SUM(AM39:AM49)</f>
        <v>0.19871150190441825</v>
      </c>
      <c r="AN37" s="81"/>
      <c r="AO37" s="80">
        <f>SUM(AO39:AO49)</f>
        <v>0.10464975128995825</v>
      </c>
      <c r="AP37" s="81"/>
      <c r="AQ37" s="80">
        <f>SUM(AQ39:AQ49)</f>
        <v>3.2974569342175152E-2</v>
      </c>
      <c r="AR37" s="81"/>
      <c r="AS37" s="80">
        <f>SUM(AS39:AS49)</f>
        <v>4.9205645215575347E-3</v>
      </c>
      <c r="BH37">
        <f t="shared" si="15"/>
        <v>3</v>
      </c>
      <c r="BI37">
        <v>10</v>
      </c>
      <c r="BJ37" s="107">
        <f t="shared" si="16"/>
        <v>9.9002328296665508E-8</v>
      </c>
      <c r="BP37">
        <f t="shared" si="17"/>
        <v>8</v>
      </c>
      <c r="BQ37">
        <v>6</v>
      </c>
      <c r="BR37" s="107">
        <f t="shared" si="18"/>
        <v>5.5968442083529529E-8</v>
      </c>
    </row>
    <row r="38" spans="1:70" ht="15.75" thickBot="1" x14ac:dyDescent="0.3">
      <c r="A38" s="110" t="s">
        <v>105</v>
      </c>
      <c r="B38" s="107">
        <f>SUM(BJ4:BJ59)</f>
        <v>0.42124045890314737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9.6960894600603615E-4</v>
      </c>
      <c r="BP38">
        <f>BL11+1</f>
        <v>8</v>
      </c>
      <c r="BQ38">
        <v>7</v>
      </c>
      <c r="BR38" s="107">
        <f t="shared" si="18"/>
        <v>9.3847907484832118E-9</v>
      </c>
    </row>
    <row r="39" spans="1:70" x14ac:dyDescent="0.25">
      <c r="A39" s="111" t="s">
        <v>0</v>
      </c>
      <c r="B39" s="107">
        <f>SUM(BR4:BR47)</f>
        <v>0.33500925475751858</v>
      </c>
      <c r="G39" s="130">
        <v>0</v>
      </c>
      <c r="H39" s="131">
        <f>L39*J39</f>
        <v>0.13197497060529367</v>
      </c>
      <c r="I39" s="97">
        <v>0</v>
      </c>
      <c r="J39" s="98">
        <f t="shared" ref="J39:J49" si="33">Y39+AA39+AC39+AE39+AG39+AI39+AK39+AM39+AO39+AQ39+AS39</f>
        <v>0.25035454277669872</v>
      </c>
      <c r="K39" s="102">
        <v>0</v>
      </c>
      <c r="L39" s="98">
        <f>AC21</f>
        <v>0.52715229027422705</v>
      </c>
      <c r="M39" s="84">
        <v>0</v>
      </c>
      <c r="N39" s="71">
        <f>(1-$C$24)^$B$21</f>
        <v>1.2805401007600645E-2</v>
      </c>
      <c r="O39" s="70">
        <v>0</v>
      </c>
      <c r="P39" s="71">
        <f>N39</f>
        <v>1.2805401007600645E-2</v>
      </c>
      <c r="Q39" s="12">
        <v>0</v>
      </c>
      <c r="R39" s="73">
        <f>P39*N39</f>
        <v>1.6397829496545962E-4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1.6153089841581327E-4</v>
      </c>
      <c r="W39" s="136">
        <f>C31</f>
        <v>0.22182328528197179</v>
      </c>
      <c r="X39" s="12">
        <v>0</v>
      </c>
      <c r="Y39" s="79">
        <f>V39</f>
        <v>1.6153089841581327E-4</v>
      </c>
      <c r="Z39" s="12">
        <v>0</v>
      </c>
      <c r="AA39" s="78">
        <f>((1-W39)^Z40)*V40</f>
        <v>1.749973353447099E-3</v>
      </c>
      <c r="AB39" s="12">
        <v>0</v>
      </c>
      <c r="AC39" s="79">
        <f>(((1-$W$39)^AB41))*V41</f>
        <v>8.5334377629501853E-3</v>
      </c>
      <c r="AD39" s="12">
        <v>0</v>
      </c>
      <c r="AE39" s="79">
        <f>(((1-$W$39)^AB42))*V42</f>
        <v>2.4666982499426341E-2</v>
      </c>
      <c r="AF39" s="12">
        <v>0</v>
      </c>
      <c r="AG39" s="79">
        <f>(((1-$W$39)^AB43))*V43</f>
        <v>4.6814633021351811E-2</v>
      </c>
      <c r="AH39" s="12">
        <v>0</v>
      </c>
      <c r="AI39" s="79">
        <f>(((1-$W$39)^AB44))*V44</f>
        <v>6.0967203004196377E-2</v>
      </c>
      <c r="AJ39" s="12">
        <v>0</v>
      </c>
      <c r="AK39" s="79">
        <f>(((1-$W$39)^AB45))*V45</f>
        <v>5.5199672342197664E-2</v>
      </c>
      <c r="AL39" s="12">
        <v>0</v>
      </c>
      <c r="AM39" s="79">
        <f>(((1-$W$39)^AB46))*V46</f>
        <v>3.433765439036577E-2</v>
      </c>
      <c r="AN39" s="12">
        <v>0</v>
      </c>
      <c r="AO39" s="79">
        <f>(((1-$W$39)^AB47))*V47</f>
        <v>1.4072266498333919E-2</v>
      </c>
      <c r="AP39" s="12">
        <v>0</v>
      </c>
      <c r="AQ39" s="79">
        <f>(((1-$W$39)^AB48))*V48</f>
        <v>3.4505093943694434E-3</v>
      </c>
      <c r="AR39" s="12">
        <v>0</v>
      </c>
      <c r="AS39" s="79">
        <f>(((1-$W$39)^AB49))*V49</f>
        <v>4.0067961164425042E-4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2.1597858539564369E-4</v>
      </c>
      <c r="BP39">
        <f t="shared" ref="BP39:BP46" si="34">BP31+1</f>
        <v>9</v>
      </c>
      <c r="BQ39">
        <v>0</v>
      </c>
      <c r="BR39" s="107">
        <f t="shared" ref="BR39:BR47" si="35">$H$34*H39</f>
        <v>8.7530003463376522E-8</v>
      </c>
    </row>
    <row r="40" spans="1:70" x14ac:dyDescent="0.25">
      <c r="G40" s="91">
        <v>1</v>
      </c>
      <c r="H40" s="132">
        <f>L39*J40+L40*J39</f>
        <v>0.29170779159164267</v>
      </c>
      <c r="I40" s="93">
        <v>1</v>
      </c>
      <c r="J40" s="86">
        <f t="shared" si="33"/>
        <v>0.37174426968719976</v>
      </c>
      <c r="K40" s="95">
        <v>1</v>
      </c>
      <c r="L40" s="86">
        <f>AD21</f>
        <v>0.38242544899659148</v>
      </c>
      <c r="M40" s="85">
        <v>1</v>
      </c>
      <c r="N40" s="71">
        <f>(($C$24)^M26)*((1-($C$24))^($B$21-M26))*HLOOKUP($B$21,$AV$24:$BF$34,M26+1)</f>
        <v>8.9041045420469422E-2</v>
      </c>
      <c r="O40" s="72">
        <v>1</v>
      </c>
      <c r="P40" s="71">
        <f t="shared" ref="P40:P44" si="36">N40</f>
        <v>8.9041045420469422E-2</v>
      </c>
      <c r="Q40" s="28">
        <v>1</v>
      </c>
      <c r="R40" s="37">
        <f>P40*N39+P39*N40</f>
        <v>2.2804125854901879E-3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2.2488122817722715E-3</v>
      </c>
      <c r="W40" s="137"/>
      <c r="X40" s="28">
        <v>1</v>
      </c>
      <c r="Y40" s="73"/>
      <c r="Z40" s="28">
        <v>1</v>
      </c>
      <c r="AA40" s="79">
        <f>(1-((1-W39)^Z40))*V40</f>
        <v>4.9883892832517252E-4</v>
      </c>
      <c r="AB40" s="28">
        <v>1</v>
      </c>
      <c r="AC40" s="79">
        <f>((($W$39)^M40)*((1-($W$39))^($U$27-M40))*HLOOKUP($U$27,$AV$24:$BF$34,M40+1))*V41</f>
        <v>4.8650008758299758E-3</v>
      </c>
      <c r="AD40" s="28">
        <v>1</v>
      </c>
      <c r="AE40" s="79">
        <f>((($W$39)^M40)*((1-($W$39))^($U$28-M40))*HLOOKUP($U$28,$AV$24:$BF$34,M40+1))*V42</f>
        <v>2.1094351678198158E-2</v>
      </c>
      <c r="AF40" s="28">
        <v>1</v>
      </c>
      <c r="AG40" s="79">
        <f>((($W$39)^M40)*((1-($W$39))^($U$29-M40))*HLOOKUP($U$29,$AV$24:$BF$34,M40+1))*V43</f>
        <v>5.3379010189627596E-2</v>
      </c>
      <c r="AH40" s="28">
        <v>1</v>
      </c>
      <c r="AI40" s="79">
        <f>((($W$39)^M40)*((1-($W$39))^($U$30-M40))*HLOOKUP($U$30,$AV$24:$BF$34,M40+1))*V44</f>
        <v>8.6895078001300335E-2</v>
      </c>
      <c r="AJ40" s="28">
        <v>1</v>
      </c>
      <c r="AK40" s="79">
        <f>((($W$39)^M40)*((1-($W$39))^($U$31-M40))*HLOOKUP($U$31,$AV$24:$BF$34,M40+1))*V45</f>
        <v>9.4409707465005516E-2</v>
      </c>
      <c r="AL40" s="28">
        <v>1</v>
      </c>
      <c r="AM40" s="79">
        <f>((($W$39)^Q40)*((1-($W$39))^($U$32-Q40))*HLOOKUP($U$32,$AV$24:$BF$34,Q40+1))*V46</f>
        <v>6.8516878148371263E-2</v>
      </c>
      <c r="AN40" s="28">
        <v>1</v>
      </c>
      <c r="AO40" s="79">
        <f>((($W$39)^Q40)*((1-($W$39))^($U$33-Q40))*HLOOKUP($U$33,$AV$24:$BF$34,Q40+1))*V47</f>
        <v>3.2090977043999089E-2</v>
      </c>
      <c r="AP40" s="28">
        <v>1</v>
      </c>
      <c r="AQ40" s="79">
        <f>((($W$39)^Q40)*((1-($W$39))^($U$34-Q40))*HLOOKUP($U$34,$AV$24:$BF$34,Q40+1))*V48</f>
        <v>8.8522694620772908E-3</v>
      </c>
      <c r="AR40" s="28">
        <v>1</v>
      </c>
      <c r="AS40" s="79">
        <f>((($W$39)^Q40)*((1-($W$39))^($U$35-Q40))*HLOOKUP($U$35,$AV$24:$BF$34,Q40+1))*V49</f>
        <v>1.1421578944653705E-3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3.621529838308669E-5</v>
      </c>
      <c r="BP40">
        <f t="shared" si="34"/>
        <v>9</v>
      </c>
      <c r="BQ40">
        <v>1</v>
      </c>
      <c r="BR40" s="107">
        <f t="shared" si="35"/>
        <v>1.9346989729343598E-7</v>
      </c>
    </row>
    <row r="41" spans="1:70" x14ac:dyDescent="0.25">
      <c r="G41" s="91">
        <v>2</v>
      </c>
      <c r="H41" s="132">
        <f>L39*J41+J40*L40+J39*L41</f>
        <v>0.29369229031776012</v>
      </c>
      <c r="I41" s="93">
        <v>2</v>
      </c>
      <c r="J41" s="86">
        <f t="shared" si="33"/>
        <v>0.24851896289770803</v>
      </c>
      <c r="K41" s="95">
        <v>2</v>
      </c>
      <c r="L41" s="86">
        <f>AE21</f>
        <v>8.1965681049867761E-2</v>
      </c>
      <c r="M41" s="85">
        <v>2</v>
      </c>
      <c r="N41" s="71">
        <f>(($C$24)^M27)*((1-($C$24))^($B$21-M27))*HLOOKUP($B$21,$AV$24:$BF$34,M27+1)</f>
        <v>0.24765511880070762</v>
      </c>
      <c r="O41" s="72">
        <v>2</v>
      </c>
      <c r="P41" s="71">
        <f t="shared" si="36"/>
        <v>0.24765511880070762</v>
      </c>
      <c r="Q41" s="28">
        <v>2</v>
      </c>
      <c r="R41" s="37">
        <f>P41*N39+P40*N40+P39*N41</f>
        <v>1.4270953985226176E-2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1.4091835432056939E-2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6.933967932767765E-4</v>
      </c>
      <c r="AD41" s="28">
        <v>2</v>
      </c>
      <c r="AE41" s="79">
        <f>((($W$39)^M41)*((1-($W$39))^($U$28-M41))*HLOOKUP($U$28,$AV$24:$BF$34,M41+1))*V42</f>
        <v>6.0130537211547132E-3</v>
      </c>
      <c r="AF41" s="28">
        <v>2</v>
      </c>
      <c r="AG41" s="79">
        <f>((($W$39)^M41)*((1-($W$39))^($U$29-M41))*HLOOKUP($U$29,$AV$24:$BF$34,M41+1))*V43</f>
        <v>2.2823943163707065E-2</v>
      </c>
      <c r="AH41" s="28">
        <v>2</v>
      </c>
      <c r="AI41" s="79">
        <f>((($W$39)^M41)*((1-($W$39))^($U$30-M41))*HLOOKUP($U$30,$AV$24:$BF$34,M41+1))*V44</f>
        <v>4.9539780136099401E-2</v>
      </c>
      <c r="AJ41" s="28">
        <v>2</v>
      </c>
      <c r="AK41" s="79">
        <f>((($W$39)^M41)*((1-($W$39))^($U$31-M41))*HLOOKUP($U$31,$AV$24:$BF$34,M41+1))*V45</f>
        <v>6.7279934866676883E-2</v>
      </c>
      <c r="AL41" s="28">
        <v>2</v>
      </c>
      <c r="AM41" s="79">
        <f>((($W$39)^Q41)*((1-($W$39))^($U$32-Q41))*HLOOKUP($U$32,$AV$24:$BF$34,Q41+1))*V46</f>
        <v>5.8593268292447459E-2</v>
      </c>
      <c r="AN41" s="28">
        <v>2</v>
      </c>
      <c r="AO41" s="79">
        <f>((($W$39)^Q41)*((1-($W$39))^($U$33-Q41))*HLOOKUP($U$33,$AV$24:$BF$34,Q41+1))*V47</f>
        <v>3.2016944704335748E-2</v>
      </c>
      <c r="AP41" s="28">
        <v>2</v>
      </c>
      <c r="AQ41" s="79">
        <f>((($W$39)^Q41)*((1-($W$39))^($U$34-Q41))*HLOOKUP($U$34,$AV$24:$BF$34,Q41+1))*V48</f>
        <v>1.0093540231363928E-2</v>
      </c>
      <c r="AR41" s="28">
        <v>2</v>
      </c>
      <c r="AS41" s="79">
        <f>((($W$39)^Q41)*((1-($W$39))^($U$35-Q41))*HLOOKUP($U$35,$AV$24:$BF$34,Q41+1))*V49</f>
        <v>1.4651009886460474E-3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4.5733536144242633E-6</v>
      </c>
      <c r="BP41">
        <f t="shared" si="34"/>
        <v>9</v>
      </c>
      <c r="BQ41">
        <v>2</v>
      </c>
      <c r="BR41" s="107">
        <f t="shared" si="35"/>
        <v>1.9478608004819203E-7</v>
      </c>
    </row>
    <row r="42" spans="1:70" ht="15" customHeight="1" x14ac:dyDescent="0.25">
      <c r="G42" s="91">
        <v>3</v>
      </c>
      <c r="H42" s="132">
        <f>J42*L39+J41*L40+L42*J39+L41*J40</f>
        <v>0.17956201682165113</v>
      </c>
      <c r="I42" s="93">
        <v>3</v>
      </c>
      <c r="J42" s="86">
        <f t="shared" si="33"/>
        <v>9.8519206743737958E-2</v>
      </c>
      <c r="K42" s="95">
        <v>3</v>
      </c>
      <c r="L42" s="86">
        <f>AF21</f>
        <v>8.4565796793137082E-3</v>
      </c>
      <c r="M42" s="85">
        <v>3</v>
      </c>
      <c r="N42" s="71">
        <f>(($C$24)^M28)*((1-($C$24))^($B$21-M28))*HLOOKUP($B$21,$AV$24:$BF$34,M28+1)</f>
        <v>0.34440890478411268</v>
      </c>
      <c r="O42" s="72">
        <v>3</v>
      </c>
      <c r="P42" s="71">
        <f t="shared" si="36"/>
        <v>0.34440890478411268</v>
      </c>
      <c r="Q42" s="28">
        <v>3</v>
      </c>
      <c r="R42" s="37">
        <f>P42*N39+P41*N40+P40*N41+P39*N42</f>
        <v>5.2923529636189334E-2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5.2345738555502834E-2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5.7135065672362024E-4</v>
      </c>
      <c r="AF42" s="28">
        <v>3</v>
      </c>
      <c r="AG42" s="79">
        <f>((($W$39)^M42)*((1-($W$39))^($U$29-M42))*HLOOKUP($U$29,$AV$24:$BF$34,M42+1))*V43</f>
        <v>4.3373884619485464E-3</v>
      </c>
      <c r="AH42" s="28">
        <v>3</v>
      </c>
      <c r="AI42" s="79">
        <f>((($W$39)^M42)*((1-($W$39))^($U$30-M42))*HLOOKUP($U$30,$AV$24:$BF$34,M42+1))*V44</f>
        <v>1.4121569784978753E-2</v>
      </c>
      <c r="AJ42" s="28">
        <v>3</v>
      </c>
      <c r="AK42" s="79">
        <f>((($W$39)^M42)*((1-($W$39))^($U$31-M42))*HLOOKUP($U$31,$AV$24:$BF$34,M42+1))*V45</f>
        <v>2.5571323159917718E-2</v>
      </c>
      <c r="AL42" s="28">
        <v>3</v>
      </c>
      <c r="AM42" s="79">
        <f>((($W$39)^Q42)*((1-($W$39))^($U$32-Q42))*HLOOKUP($U$32,$AV$24:$BF$34,Q42+1))*V46</f>
        <v>2.7837188782045615E-2</v>
      </c>
      <c r="AN42" s="28">
        <v>3</v>
      </c>
      <c r="AO42" s="79">
        <f>((($W$39)^Q42)*((1-($W$39))^($U$33-Q42))*HLOOKUP($U$33,$AV$24:$BF$34,Q42+1))*V47</f>
        <v>1.8253190373552688E-2</v>
      </c>
      <c r="AP42" s="28">
        <v>3</v>
      </c>
      <c r="AQ42" s="79">
        <f>((($W$39)^Q42)*((1-($W$39))^($U$34-Q42))*HLOOKUP($U$34,$AV$24:$BF$34,Q42+1))*V48</f>
        <v>6.7135032798676325E-3</v>
      </c>
      <c r="AR42" s="28">
        <v>3</v>
      </c>
      <c r="AS42" s="79">
        <f>((($W$39)^Q42)*((1-($W$39))^($U$35-Q42))*HLOOKUP($U$35,$AV$24:$BF$34,Q42+1))*V49</f>
        <v>1.1136922447033716E-3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4.2966857827472263E-7</v>
      </c>
      <c r="BP42">
        <f t="shared" si="34"/>
        <v>9</v>
      </c>
      <c r="BQ42">
        <v>3</v>
      </c>
      <c r="BR42" s="107">
        <f t="shared" si="35"/>
        <v>1.1909124800107791E-7</v>
      </c>
    </row>
    <row r="43" spans="1:70" ht="15" customHeight="1" x14ac:dyDescent="0.25">
      <c r="G43" s="91">
        <v>4</v>
      </c>
      <c r="H43" s="132">
        <f>J43*L39+J42*L40+J41*L41+J40*L42</f>
        <v>7.4713512727550044E-2</v>
      </c>
      <c r="I43" s="93">
        <v>4</v>
      </c>
      <c r="J43" s="86">
        <f t="shared" si="33"/>
        <v>2.5653971382913789E-2</v>
      </c>
      <c r="K43" s="95">
        <v>4</v>
      </c>
      <c r="L43" s="86"/>
      <c r="M43" s="85">
        <v>4</v>
      </c>
      <c r="N43" s="71">
        <f>(($C$24)^M29)*((1-($C$24))^($B$21-M29))*HLOOKUP($B$21,$AV$24:$BF$34,M29+1)</f>
        <v>0.23948120731161948</v>
      </c>
      <c r="O43" s="72">
        <v>4</v>
      </c>
      <c r="P43" s="71">
        <f t="shared" si="36"/>
        <v>0.23948120731161948</v>
      </c>
      <c r="Q43" s="28">
        <v>4</v>
      </c>
      <c r="R43" s="37">
        <f>P43*N39+P42*N40+P41*N41+P40*N42+P39*N43</f>
        <v>0.12879942152320448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0.12766407357345672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3.090987368216787E-4</v>
      </c>
      <c r="AH43" s="28">
        <v>4</v>
      </c>
      <c r="AI43" s="79">
        <f>((($W$39)^M43)*((1-($W$39))^($U$30-M43))*HLOOKUP($U$30,$AV$24:$BF$34,M43+1))*V44</f>
        <v>2.0127131432978382E-3</v>
      </c>
      <c r="AJ43" s="28">
        <v>4</v>
      </c>
      <c r="AK43" s="79">
        <f>((($W$39)^M43)*((1-($W$39))^($U$31-M43))*HLOOKUP($U$31,$AV$24:$BF$34,M43+1))*V45</f>
        <v>5.4669281460014655E-3</v>
      </c>
      <c r="AL43" s="28">
        <v>4</v>
      </c>
      <c r="AM43" s="79">
        <f>((($W$39)^Q43)*((1-($W$39))^($U$32-Q43))*HLOOKUP($U$32,$AV$24:$BF$34,Q43+1))*V46</f>
        <v>7.9351342077683389E-3</v>
      </c>
      <c r="AN43" s="28">
        <v>4</v>
      </c>
      <c r="AO43" s="79">
        <f>((($W$39)^Q43)*((1-($W$39))^($U$33-Q43))*HLOOKUP($U$33,$AV$24:$BF$34,Q43+1))*V47</f>
        <v>6.5039575506410929E-3</v>
      </c>
      <c r="AP43" s="28">
        <v>4</v>
      </c>
      <c r="AQ43" s="79">
        <f>((($W$39)^Q43)*((1-($W$39))^($U$34-Q43))*HLOOKUP($U$34,$AV$24:$BF$34,Q43+1))*V48</f>
        <v>2.8705780932377534E-3</v>
      </c>
      <c r="AR43" s="28">
        <v>4</v>
      </c>
      <c r="AS43" s="79">
        <f>((($W$39)^Q43)*((1-($W$39))^($U$35-Q43))*HLOOKUP($U$35,$AV$24:$BF$34,Q43+1))*V49</f>
        <v>5.5556150514562107E-4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2.9198206256032028E-8</v>
      </c>
      <c r="BP43">
        <f t="shared" si="34"/>
        <v>9</v>
      </c>
      <c r="BQ43">
        <v>4</v>
      </c>
      <c r="BR43" s="107">
        <f t="shared" si="35"/>
        <v>4.9552381014443406E-8</v>
      </c>
    </row>
    <row r="44" spans="1:70" ht="15" customHeight="1" thickBot="1" x14ac:dyDescent="0.3">
      <c r="G44" s="91">
        <v>5</v>
      </c>
      <c r="H44" s="132">
        <f>J44*L39+J43*L40+J42*L41+J41*L42</f>
        <v>2.2405471615136556E-2</v>
      </c>
      <c r="I44" s="93">
        <v>5</v>
      </c>
      <c r="J44" s="86">
        <f t="shared" si="33"/>
        <v>4.5867690348345919E-3</v>
      </c>
      <c r="K44" s="95">
        <v>5</v>
      </c>
      <c r="L44" s="86"/>
      <c r="M44" s="85">
        <v>5</v>
      </c>
      <c r="N44" s="71">
        <f>(($C$24)^M30)*((1-($C$24))^($B$21-M30))*HLOOKUP($B$21,$AV$24:$BF$34,M30+1)</f>
        <v>6.6608322675490148E-2</v>
      </c>
      <c r="O44" s="72">
        <v>5</v>
      </c>
      <c r="P44" s="71">
        <f t="shared" si="36"/>
        <v>6.6608322675490148E-2</v>
      </c>
      <c r="Q44" s="28">
        <v>5</v>
      </c>
      <c r="R44" s="37">
        <f>P44*N39+P43*N40+P42*N41+P41*N42+P40*N43+P39*N44</f>
        <v>0.21494246314043419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0.21365109092192633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1.1474685205360003E-4</v>
      </c>
      <c r="AJ44" s="28">
        <v>5</v>
      </c>
      <c r="AK44" s="79">
        <f>((($W$39)^M44)*((1-($W$39))^($U$31-M44))*HLOOKUP($U$31,$AV$24:$BF$34,M44+1))*V45</f>
        <v>6.2335042352735636E-4</v>
      </c>
      <c r="AL44" s="28">
        <v>5</v>
      </c>
      <c r="AM44" s="79">
        <f>((($W$39)^Q44)*((1-($W$39))^($U$32-Q44))*HLOOKUP($U$32,$AV$24:$BF$34,Q44+1))*V46</f>
        <v>1.3571705545764134E-3</v>
      </c>
      <c r="AN44" s="28">
        <v>5</v>
      </c>
      <c r="AO44" s="79">
        <f>((($W$39)^Q44)*((1-($W$39))^($U$33-Q44))*HLOOKUP($U$33,$AV$24:$BF$34,Q44+1))*V47</f>
        <v>1.4831893105313133E-3</v>
      </c>
      <c r="AP44" s="28">
        <v>5</v>
      </c>
      <c r="AQ44" s="79">
        <f>((($W$39)^Q44)*((1-($W$39))^($U$34-Q44))*HLOOKUP($U$34,$AV$24:$BF$34,Q44+1))*V48</f>
        <v>8.1827308792089301E-4</v>
      </c>
      <c r="AR44" s="28">
        <v>5</v>
      </c>
      <c r="AS44" s="79">
        <f>((($W$39)^Q44)*((1-($W$39))^($U$35-Q44))*HLOOKUP($U$35,$AV$24:$BF$34,Q44+1))*V49</f>
        <v>1.9003880622501544E-4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4.394931216611576E-5</v>
      </c>
      <c r="BP44">
        <f t="shared" si="34"/>
        <v>9</v>
      </c>
      <c r="BQ44">
        <v>5</v>
      </c>
      <c r="BR44" s="107">
        <f t="shared" si="35"/>
        <v>1.4860022313903989E-8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4.9907770390242622E-3</v>
      </c>
      <c r="I45" s="93">
        <v>6</v>
      </c>
      <c r="J45" s="86">
        <f t="shared" si="33"/>
        <v>5.706113378962218E-4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0.24909673675864324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0.24858053127875993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2.961487543328554E-5</v>
      </c>
      <c r="AL45" s="28">
        <v>6</v>
      </c>
      <c r="AM45" s="79">
        <f>((($W$39)^Q45)*((1-($W$39))^($U$32-Q45))*HLOOKUP($U$32,$AV$24:$BF$34,Q45+1))*V46</f>
        <v>1.2895615499245635E-4</v>
      </c>
      <c r="AN45" s="28">
        <v>6</v>
      </c>
      <c r="AO45" s="79">
        <f>((($W$39)^Q45)*((1-($W$39))^($U$33-Q45))*HLOOKUP($U$33,$AV$24:$BF$34,Q45+1))*V47</f>
        <v>2.1139538059576458E-4</v>
      </c>
      <c r="AP45" s="28">
        <v>6</v>
      </c>
      <c r="AQ45" s="79">
        <f>((($W$39)^Q45)*((1-($W$39))^($U$34-Q45))*HLOOKUP($U$34,$AV$24:$BF$34,Q45+1))*V48</f>
        <v>1.555019754831283E-4</v>
      </c>
      <c r="AR45" s="28">
        <v>6</v>
      </c>
      <c r="AS45" s="79">
        <f>((($W$39)^Q45)*((1-($W$39))^($U$35-Q45))*HLOOKUP($U$35,$AV$24:$BF$34,Q45+1))*V49</f>
        <v>4.5142951391586981E-5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7.3694225328480554E-6</v>
      </c>
      <c r="BP45">
        <f t="shared" si="34"/>
        <v>9</v>
      </c>
      <c r="BQ45">
        <v>6</v>
      </c>
      <c r="BR45" s="107">
        <f t="shared" si="35"/>
        <v>3.3100422717064156E-9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8.3685370612380703E-4</v>
      </c>
      <c r="I46" s="93">
        <v>7</v>
      </c>
      <c r="J46" s="86">
        <f t="shared" si="33"/>
        <v>4.8818735405294555E-5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0.19795070478377255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0.19871150190441833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5.2513738509754804E-6</v>
      </c>
      <c r="AN46" s="28">
        <v>7</v>
      </c>
      <c r="AO46" s="79">
        <f>((($W$39)^Q46)*((1-($W$39))^($U$33-Q46))*HLOOKUP($U$33,$AV$24:$BF$34,Q46+1))*V47</f>
        <v>1.7216955234785761E-5</v>
      </c>
      <c r="AP46" s="28">
        <v>7</v>
      </c>
      <c r="AQ46" s="79">
        <f>((($W$39)^Q46)*((1-($W$39))^($U$34-Q46))*HLOOKUP($U$34,$AV$24:$BF$34,Q46+1))*V48</f>
        <v>1.8997131417455014E-5</v>
      </c>
      <c r="AR46" s="28">
        <v>7</v>
      </c>
      <c r="AS46" s="79">
        <f>((($W$39)^Q46)*((1-($W$39))^($U$35-Q46))*HLOOKUP($U$35,$AV$24:$BF$34,Q46+1))*V49</f>
        <v>7.3532749020782957E-6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9.3062812351589683E-7</v>
      </c>
      <c r="BP46">
        <f t="shared" si="34"/>
        <v>9</v>
      </c>
      <c r="BQ46">
        <v>7</v>
      </c>
      <c r="BR46" s="107">
        <f t="shared" si="35"/>
        <v>5.5502802887093931E-10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1.0567986714236349E-4</v>
      </c>
      <c r="I47" s="93">
        <v>8</v>
      </c>
      <c r="J47" s="86">
        <f t="shared" si="33"/>
        <v>2.7533136499611738E-6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0.10323224757977553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0.10464975128995826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6.1347273384373165E-7</v>
      </c>
      <c r="AP47" s="28">
        <v>8</v>
      </c>
      <c r="AQ47" s="79">
        <f>((($W$39)^Q47)*((1-($W$39))^($U$34-Q47))*HLOOKUP($U$34,$AV$24:$BF$34,Q47+1))*V48</f>
        <v>1.3538075678222313E-6</v>
      </c>
      <c r="AR47" s="28">
        <v>8</v>
      </c>
      <c r="AS47" s="79">
        <f>((($W$39)^Q47)*((1-($W$39))^($U$35-Q47))*HLOOKUP($U$35,$AV$24:$BF$34,Q47+1))*V49</f>
        <v>7.8603334829521102E-7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8.743292044428686E-8</v>
      </c>
      <c r="BP47">
        <f>BL12+1</f>
        <v>9</v>
      </c>
      <c r="BQ47">
        <v>8</v>
      </c>
      <c r="BR47" s="107">
        <f t="shared" si="35"/>
        <v>7.0090253436352815E-11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9.9286698767633333E-6</v>
      </c>
      <c r="I48" s="93">
        <v>9</v>
      </c>
      <c r="J48" s="86">
        <f t="shared" si="33"/>
        <v>9.2670616294992108E-8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3.1902883062656602E-2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3.2974569342175158E-2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4.2878869806832E-8</v>
      </c>
      <c r="AR48" s="28">
        <v>9</v>
      </c>
      <c r="AS48" s="79">
        <f>((($W$39)^Q48)*((1-($W$39))^($U$35-Q48))*HLOOKUP($U$35,$AV$24:$BF$34,Q48+1))*V49</f>
        <v>4.9791746488160108E-8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5.9415199848923034E-9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6.7470456432685965E-7</v>
      </c>
      <c r="I49" s="94">
        <v>10</v>
      </c>
      <c r="J49" s="89">
        <f t="shared" si="33"/>
        <v>1.4193394092925143E-9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4.4366686496422145E-3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4.9205645215575355E-3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1.4193394092925143E-9</v>
      </c>
      <c r="BH49">
        <f>BP14+1</f>
        <v>6</v>
      </c>
      <c r="BI49">
        <v>0</v>
      </c>
      <c r="BJ49" s="107">
        <f>$H$31*H39</f>
        <v>1.7052028306958802E-4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1.0812696544017379E-6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1.3654529171116519E-7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1.282849005478214E-8</v>
      </c>
    </row>
    <row r="53" spans="1:62" x14ac:dyDescent="0.25">
      <c r="BH53">
        <f>BH48+1</f>
        <v>6</v>
      </c>
      <c r="BI53">
        <v>10</v>
      </c>
      <c r="BJ53" s="107">
        <f>$H$31*H49</f>
        <v>8.717623710745069E-10</v>
      </c>
    </row>
    <row r="54" spans="1:62" x14ac:dyDescent="0.25">
      <c r="BH54">
        <f>BH51+1</f>
        <v>7</v>
      </c>
      <c r="BI54">
        <v>8</v>
      </c>
      <c r="BJ54" s="107">
        <f>$H$32*H47</f>
        <v>1.4767222723443798E-8</v>
      </c>
    </row>
    <row r="55" spans="1:62" x14ac:dyDescent="0.25">
      <c r="BH55">
        <f>BH52+1</f>
        <v>7</v>
      </c>
      <c r="BI55">
        <v>9</v>
      </c>
      <c r="BJ55" s="107">
        <f>$H$32*H48</f>
        <v>1.3873870528262319E-9</v>
      </c>
    </row>
    <row r="56" spans="1:62" x14ac:dyDescent="0.25">
      <c r="BH56">
        <f>BH53+1</f>
        <v>7</v>
      </c>
      <c r="BI56">
        <v>10</v>
      </c>
      <c r="BJ56" s="107">
        <f>$H$32*H49</f>
        <v>9.4280139097041074E-11</v>
      </c>
    </row>
    <row r="57" spans="1:62" x14ac:dyDescent="0.25">
      <c r="BH57">
        <f>BH55+1</f>
        <v>8</v>
      </c>
      <c r="BI57">
        <v>9</v>
      </c>
      <c r="BJ57" s="107">
        <f>$H$33*H48</f>
        <v>1.1134382093589884E-10</v>
      </c>
    </row>
    <row r="58" spans="1:62" x14ac:dyDescent="0.25">
      <c r="BH58">
        <f>BH56+1</f>
        <v>8</v>
      </c>
      <c r="BI58">
        <v>10</v>
      </c>
      <c r="BJ58" s="107">
        <f>$H$33*H49</f>
        <v>7.5663895695496102E-12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4.4748555412761823E-13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J17" sqref="J1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8" t="s">
        <v>143</v>
      </c>
      <c r="B1" t="s">
        <v>146</v>
      </c>
      <c r="F1" s="10" t="s">
        <v>123</v>
      </c>
      <c r="G1" s="70">
        <f>IF(D3="SI",COUNTIF($F$6:$F$18,"RAP"),0)</f>
        <v>1</v>
      </c>
      <c r="H1" s="70">
        <f>G1+G2+G3</f>
        <v>5</v>
      </c>
      <c r="J1" s="11" t="s">
        <v>123</v>
      </c>
      <c r="K1" s="70">
        <f>IF(D3="SI",COUNTIF($J$6:$J$18,"RAP"),0)</f>
        <v>1</v>
      </c>
      <c r="L1" s="70">
        <f>K1+K2+K3</f>
        <v>2</v>
      </c>
      <c r="M1" s="150">
        <f>L1+H1</f>
        <v>7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8" t="s">
        <v>322</v>
      </c>
      <c r="B2" t="s">
        <v>146</v>
      </c>
      <c r="F2" s="10" t="s">
        <v>21</v>
      </c>
      <c r="G2" s="70">
        <f>IF(D3="SI",COUNTIF($F$6:$F$18,"TEC"),0)</f>
        <v>4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112</v>
      </c>
      <c r="C3" s="200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1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2.022712642920875E-2</v>
      </c>
      <c r="BL4">
        <v>0</v>
      </c>
      <c r="BM4">
        <v>0</v>
      </c>
      <c r="BN4" s="107">
        <f>H25*H39</f>
        <v>5.0846669747970927E-3</v>
      </c>
      <c r="BP4">
        <v>1</v>
      </c>
      <c r="BQ4">
        <v>0</v>
      </c>
      <c r="BR4" s="107">
        <f>$H$26*H39</f>
        <v>1.1636521662924627E-2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8.2358091022742413E-3</v>
      </c>
      <c r="S5" s="176">
        <f>(1-R5)</f>
        <v>0.99176419089772572</v>
      </c>
      <c r="T5" s="177">
        <f>R5*PRODUCT(S6:S19)</f>
        <v>6.0356087643114384E-3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1.9271256951114472E-3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3.3276618473787774E-2</v>
      </c>
      <c r="BL5">
        <v>1</v>
      </c>
      <c r="BM5">
        <v>1</v>
      </c>
      <c r="BN5" s="107">
        <f>$H$26*H40</f>
        <v>4.6290818265751932E-2</v>
      </c>
      <c r="BP5">
        <f>BP4+1</f>
        <v>2</v>
      </c>
      <c r="BQ5">
        <v>0</v>
      </c>
      <c r="BR5" s="107">
        <f>$H$27*H39</f>
        <v>1.2301018165042981E-2</v>
      </c>
    </row>
    <row r="6" spans="1:70" x14ac:dyDescent="0.25">
      <c r="A6" s="2" t="s">
        <v>1</v>
      </c>
      <c r="B6" s="168">
        <v>10.25</v>
      </c>
      <c r="C6" s="169">
        <v>12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1.7000000000000001E-2</v>
      </c>
      <c r="P6" s="16" t="str">
        <f>P3</f>
        <v>0,6</v>
      </c>
      <c r="Q6" s="16">
        <f t="shared" ref="Q6:Q19" si="1">P6*O6</f>
        <v>1.0200000000000001E-2</v>
      </c>
      <c r="R6" s="157">
        <f>IF($M$2="SI",Q6*$B$22/0.5*$S$1,Q6*$B$22/0.5*$S$2)</f>
        <v>8.2358091022742413E-3</v>
      </c>
      <c r="S6" s="176">
        <f t="shared" ref="S6:S19" si="2">(1-R6)</f>
        <v>0.99176419089772572</v>
      </c>
      <c r="T6" s="177">
        <f>R6*S5*PRODUCT(S7:S19)</f>
        <v>6.0356087643114367E-3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1.8770047872836623E-3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3.1410709344360091E-2</v>
      </c>
      <c r="BL6">
        <f>BH14+1</f>
        <v>2</v>
      </c>
      <c r="BM6">
        <v>2</v>
      </c>
      <c r="BN6" s="107">
        <f>$H$27*H41</f>
        <v>8.0504050775833377E-2</v>
      </c>
      <c r="BP6">
        <f>BL5+1</f>
        <v>2</v>
      </c>
      <c r="BQ6">
        <v>1</v>
      </c>
      <c r="BR6" s="107">
        <f>$H$27*H40</f>
        <v>4.8934227328083155E-2</v>
      </c>
    </row>
    <row r="7" spans="1:70" x14ac:dyDescent="0.25">
      <c r="A7" s="5" t="s">
        <v>2</v>
      </c>
      <c r="B7" s="168">
        <v>15</v>
      </c>
      <c r="C7" s="169">
        <v>12.25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1.9395166181422764E-2</v>
      </c>
      <c r="BL7">
        <f>BH23+1</f>
        <v>3</v>
      </c>
      <c r="BM7">
        <v>3</v>
      </c>
      <c r="BN7" s="107">
        <f>$H$28*H42</f>
        <v>4.9203949854964235E-2</v>
      </c>
      <c r="BP7">
        <f>BP5+1</f>
        <v>3</v>
      </c>
      <c r="BQ7">
        <v>0</v>
      </c>
      <c r="BR7" s="107">
        <f>$H$28*H39</f>
        <v>7.9649808641469137E-3</v>
      </c>
    </row>
    <row r="8" spans="1:70" x14ac:dyDescent="0.25">
      <c r="A8" s="5" t="s">
        <v>3</v>
      </c>
      <c r="B8" s="168">
        <v>11.75</v>
      </c>
      <c r="C8" s="169">
        <v>14.25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4.8445935895730825E-3</v>
      </c>
      <c r="S8" s="176">
        <f t="shared" si="2"/>
        <v>0.99515540641042688</v>
      </c>
      <c r="T8" s="177">
        <f>R8*PRODUCT(S5:S7)*PRODUCT(S9:S19)</f>
        <v>3.5382594541950715E-3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1.0831330480994014E-3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8.3725284848458047E-3</v>
      </c>
      <c r="BL8">
        <f>BH31+1</f>
        <v>4</v>
      </c>
      <c r="BM8">
        <v>4</v>
      </c>
      <c r="BN8" s="107">
        <f>$H$29*H43</f>
        <v>1.347083924218663E-2</v>
      </c>
      <c r="BP8">
        <f>BP6+1</f>
        <v>3</v>
      </c>
      <c r="BQ8">
        <v>1</v>
      </c>
      <c r="BR8" s="107">
        <f>$H$28*H40</f>
        <v>3.1685197033333175E-2</v>
      </c>
    </row>
    <row r="9" spans="1:70" x14ac:dyDescent="0.25">
      <c r="A9" s="5" t="s">
        <v>4</v>
      </c>
      <c r="B9" s="168">
        <v>15.5</v>
      </c>
      <c r="C9" s="169">
        <v>16</v>
      </c>
      <c r="E9" s="192" t="s">
        <v>18</v>
      </c>
      <c r="F9" s="167"/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2.6193496370782994E-3</v>
      </c>
      <c r="BL9">
        <f>BH38+1</f>
        <v>5</v>
      </c>
      <c r="BM9">
        <v>5</v>
      </c>
      <c r="BN9" s="107">
        <f>$H$30*H44</f>
        <v>1.8690934119909954E-3</v>
      </c>
      <c r="BP9">
        <f>BL6+1</f>
        <v>3</v>
      </c>
      <c r="BQ9">
        <v>2</v>
      </c>
      <c r="BR9" s="107">
        <f>$H$28*H41</f>
        <v>5.2126841478701606E-2</v>
      </c>
    </row>
    <row r="10" spans="1:70" x14ac:dyDescent="0.25">
      <c r="A10" s="6" t="s">
        <v>5</v>
      </c>
      <c r="B10" s="168">
        <v>14.25</v>
      </c>
      <c r="C10" s="169">
        <v>12.25</v>
      </c>
      <c r="E10" s="192" t="s">
        <v>17</v>
      </c>
      <c r="F10" s="167" t="s">
        <v>144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4.9414854613645441E-2</v>
      </c>
      <c r="S10" s="176">
        <f t="shared" si="2"/>
        <v>0.95058514538635452</v>
      </c>
      <c r="T10" s="177">
        <f>R10*PRODUCT(S5:S9)*PRODUCT(S11:S19)</f>
        <v>3.7782416473253345E-2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9.6018980054933152E-3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5.7851537108658077E-2</v>
      </c>
      <c r="AC10" s="176">
        <f t="shared" si="5"/>
        <v>0.94214846289134191</v>
      </c>
      <c r="AD10" s="177">
        <f>AB10*PRODUCT(AC5:AC9)*PRODUCT(AC11:AC19)</f>
        <v>2.0443077456260419E-2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3.3051432942899528E-2</v>
      </c>
      <c r="BH10">
        <v>0</v>
      </c>
      <c r="BI10">
        <v>7</v>
      </c>
      <c r="BJ10" s="107">
        <f t="shared" si="0"/>
        <v>6.0457130887329167E-4</v>
      </c>
      <c r="BL10">
        <f>BH44+1</f>
        <v>6</v>
      </c>
      <c r="BM10">
        <v>6</v>
      </c>
      <c r="BN10" s="107">
        <f>$H$31*H45</f>
        <v>1.4060898493972295E-4</v>
      </c>
      <c r="BP10">
        <f>BP7+1</f>
        <v>4</v>
      </c>
      <c r="BQ10">
        <v>0</v>
      </c>
      <c r="BR10" s="107">
        <f>$H$29*H39</f>
        <v>3.5315361970527084E-3</v>
      </c>
    </row>
    <row r="11" spans="1:70" x14ac:dyDescent="0.25">
      <c r="A11" s="6" t="s">
        <v>6</v>
      </c>
      <c r="B11" s="168">
        <v>8.75</v>
      </c>
      <c r="C11" s="169">
        <v>9.5</v>
      </c>
      <c r="E11" s="192" t="s">
        <v>19</v>
      </c>
      <c r="F11" s="167" t="s">
        <v>21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4.9414854613645441E-2</v>
      </c>
      <c r="S11" s="176">
        <f t="shared" si="2"/>
        <v>0.95058514538635452</v>
      </c>
      <c r="T11" s="177">
        <f>R11*PRODUCT(S5:S10)*PRODUCT(S12:S19)</f>
        <v>3.7782416473253345E-2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7.6378313187377683E-3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5.7851537108658077E-2</v>
      </c>
      <c r="AC11" s="176">
        <f t="shared" si="5"/>
        <v>0.94214846289134191</v>
      </c>
      <c r="AD11" s="177">
        <f>AB11*PRODUCT(AC5:AC10)*PRODUCT(AC12:AC19)</f>
        <v>2.0443077456260415E-2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3.1796149406750067E-2</v>
      </c>
      <c r="BH11">
        <v>0</v>
      </c>
      <c r="BI11">
        <v>8</v>
      </c>
      <c r="BJ11" s="107">
        <f t="shared" si="0"/>
        <v>1.0339827382480895E-4</v>
      </c>
      <c r="BL11">
        <f>BH50+1</f>
        <v>7</v>
      </c>
      <c r="BM11">
        <v>7</v>
      </c>
      <c r="BN11" s="107">
        <f>$H$32*H46</f>
        <v>5.9328359669271491E-6</v>
      </c>
      <c r="BP11">
        <f>BP8+1</f>
        <v>4</v>
      </c>
      <c r="BQ11">
        <v>1</v>
      </c>
      <c r="BR11" s="107">
        <f>$H$29*H40</f>
        <v>1.4048674082526866E-2</v>
      </c>
    </row>
    <row r="12" spans="1:70" x14ac:dyDescent="0.25">
      <c r="A12" s="6" t="s">
        <v>7</v>
      </c>
      <c r="B12" s="168">
        <v>15.5</v>
      </c>
      <c r="C12" s="169">
        <v>11</v>
      </c>
      <c r="E12" s="192" t="s">
        <v>19</v>
      </c>
      <c r="F12" s="167" t="s">
        <v>16</v>
      </c>
      <c r="G12" s="167"/>
      <c r="H12" s="10"/>
      <c r="I12" s="10"/>
      <c r="J12" s="166" t="s">
        <v>144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1.2993419249348816E-5</v>
      </c>
      <c r="BL12">
        <f>BH54+1</f>
        <v>8</v>
      </c>
      <c r="BM12">
        <v>8</v>
      </c>
      <c r="BN12" s="107">
        <f>$H$33*H47</f>
        <v>1.4159764532144329E-7</v>
      </c>
      <c r="BP12">
        <f>BP9+1</f>
        <v>4</v>
      </c>
      <c r="BQ12">
        <v>2</v>
      </c>
      <c r="BR12" s="107">
        <f>$H$29*H41</f>
        <v>2.3112149377370779E-2</v>
      </c>
    </row>
    <row r="13" spans="1:70" x14ac:dyDescent="0.25">
      <c r="A13" s="7" t="s">
        <v>8</v>
      </c>
      <c r="B13" s="168">
        <v>13</v>
      </c>
      <c r="C13" s="169">
        <v>10.25</v>
      </c>
      <c r="E13" s="192" t="s">
        <v>19</v>
      </c>
      <c r="F13" s="167" t="s">
        <v>21</v>
      </c>
      <c r="G13" s="167"/>
      <c r="H13" s="10"/>
      <c r="I13" s="10"/>
      <c r="J13" s="166" t="s">
        <v>131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4.0371613246442353E-2</v>
      </c>
      <c r="S13" s="176">
        <f t="shared" si="2"/>
        <v>0.95962838675355766</v>
      </c>
      <c r="T13" s="177">
        <f>R13*PRODUCT(S5:S12)*PRODUCT(S14:S19)</f>
        <v>3.057709694128791E-2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4.8948739197672651E-3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4.7264327703152025E-2</v>
      </c>
      <c r="AC13" s="176">
        <f t="shared" si="5"/>
        <v>0.95273567229684797</v>
      </c>
      <c r="AD13" s="177">
        <f>AB13*PRODUCT(AC5:AC12)*PRODUCT(AC14:AC19)</f>
        <v>1.6516262392894838E-2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2.4869219525281306E-2</v>
      </c>
      <c r="BH13">
        <v>0</v>
      </c>
      <c r="BI13">
        <v>10</v>
      </c>
      <c r="BJ13" s="107">
        <f t="shared" si="0"/>
        <v>1.1708367370630072E-6</v>
      </c>
      <c r="BL13">
        <f>BH57+1</f>
        <v>9</v>
      </c>
      <c r="BM13">
        <v>9</v>
      </c>
      <c r="BN13" s="107">
        <f>$H$34*H48</f>
        <v>1.8804403472753141E-9</v>
      </c>
      <c r="BP13">
        <f>BL7+1</f>
        <v>4</v>
      </c>
      <c r="BQ13">
        <v>3</v>
      </c>
      <c r="BR13" s="107">
        <f>$H$29*H42</f>
        <v>2.18161892557646E-2</v>
      </c>
    </row>
    <row r="14" spans="1:70" x14ac:dyDescent="0.25">
      <c r="A14" s="7" t="s">
        <v>9</v>
      </c>
      <c r="B14" s="168">
        <v>11</v>
      </c>
      <c r="C14" s="169">
        <v>8.5</v>
      </c>
      <c r="E14" s="192" t="s">
        <v>20</v>
      </c>
      <c r="F14" s="167" t="s">
        <v>147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9.5000000000000001E-2</v>
      </c>
      <c r="P14" s="144">
        <v>0.95</v>
      </c>
      <c r="Q14" s="16">
        <f t="shared" si="1"/>
        <v>9.0249999999999997E-2</v>
      </c>
      <c r="R14" s="157">
        <f t="shared" si="6"/>
        <v>7.2870761909828441E-2</v>
      </c>
      <c r="S14" s="176">
        <f t="shared" si="2"/>
        <v>0.92712923809017156</v>
      </c>
      <c r="T14" s="177">
        <f>R14*PRODUCT(S5:S13)*PRODUCT(S15:S19)</f>
        <v>5.7126322255809575E-2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4.654923421676135E-3</v>
      </c>
      <c r="W14" s="186" t="s">
        <v>54</v>
      </c>
      <c r="X14" s="15" t="s">
        <v>55</v>
      </c>
      <c r="Y14" s="69">
        <f>COUNTIF(J6:J18,"CAB")*0.095</f>
        <v>0.66500000000000004</v>
      </c>
      <c r="Z14" s="147">
        <v>0.95</v>
      </c>
      <c r="AA14" s="19">
        <f t="shared" si="3"/>
        <v>0.63175000000000003</v>
      </c>
      <c r="AB14" s="157">
        <f t="shared" si="4"/>
        <v>0.59718478052932578</v>
      </c>
      <c r="AC14" s="176">
        <f t="shared" si="5"/>
        <v>0.40281521947067422</v>
      </c>
      <c r="AD14" s="177">
        <f>AB14*PRODUCT(AC5:AC13)*PRODUCT(AC15:AC19)</f>
        <v>0.49357547875977187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1.14576240342707E-2</v>
      </c>
      <c r="BH14">
        <v>1</v>
      </c>
      <c r="BI14">
        <v>2</v>
      </c>
      <c r="BJ14" s="107">
        <f t="shared" ref="BJ14:BJ22" si="7">$H$26*H41</f>
        <v>7.6155251397671278E-2</v>
      </c>
      <c r="BL14">
        <f>BP39+1</f>
        <v>10</v>
      </c>
      <c r="BM14">
        <v>10</v>
      </c>
      <c r="BN14" s="107">
        <f>$H$35*H49</f>
        <v>1.3244002434602044E-11</v>
      </c>
      <c r="BP14">
        <f>BP10+1</f>
        <v>5</v>
      </c>
      <c r="BQ14">
        <v>0</v>
      </c>
      <c r="BR14" s="107">
        <f>$H$30*H39</f>
        <v>1.1351072214281584E-3</v>
      </c>
    </row>
    <row r="15" spans="1:70" x14ac:dyDescent="0.25">
      <c r="A15" s="189" t="s">
        <v>71</v>
      </c>
      <c r="B15" s="170">
        <v>10</v>
      </c>
      <c r="C15" s="171">
        <v>11.25</v>
      </c>
      <c r="E15" s="192" t="s">
        <v>20</v>
      </c>
      <c r="F15" s="167" t="s">
        <v>21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7.188502246955146E-2</v>
      </c>
      <c r="BP15">
        <f>BP11+1</f>
        <v>5</v>
      </c>
      <c r="BQ15">
        <v>1</v>
      </c>
      <c r="BR15" s="107">
        <f>$H$30*H40</f>
        <v>4.515528232692456E-3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16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4.4386834485882043E-2</v>
      </c>
      <c r="BP16">
        <f>BP12+1</f>
        <v>5</v>
      </c>
      <c r="BQ16">
        <v>2</v>
      </c>
      <c r="BR16" s="107">
        <f>$H$30*H41</f>
        <v>7.4287126613269494E-3</v>
      </c>
    </row>
    <row r="17" spans="1:70" x14ac:dyDescent="0.25">
      <c r="A17" s="188" t="s">
        <v>10</v>
      </c>
      <c r="B17" s="172" t="s">
        <v>323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1.937837435829233E-2</v>
      </c>
      <c r="S17" s="176">
        <f t="shared" si="2"/>
        <v>0.98062162564170763</v>
      </c>
      <c r="T17" s="177">
        <f>R17*PRODUCT(S5:S16)*PRODUCT(S18:S19)</f>
        <v>1.4362799812092058E-2</v>
      </c>
      <c r="U17" s="177">
        <f>R17*R18*PRODUCT(S5:S16)*S19+R17*R19*PRODUCT(S5:S16)*S18</f>
        <v>8.86521150997514E-4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2.268687729751297E-2</v>
      </c>
      <c r="AC17" s="176">
        <f t="shared" si="5"/>
        <v>0.97731312270248705</v>
      </c>
      <c r="AD17" s="177">
        <f>AB17*PRODUCT(AC5:AC16)*PRODUCT(AC18:AC19)</f>
        <v>7.7284376468642786E-3</v>
      </c>
      <c r="AE17" s="177">
        <f>AB17*AB18*PRODUCT(AC5:AC16)*AC19+AB17*AB19*PRODUCT(AC5:AC16)*AC18</f>
        <v>0</v>
      </c>
      <c r="BH17">
        <v>1</v>
      </c>
      <c r="BI17">
        <v>5</v>
      </c>
      <c r="BJ17" s="107">
        <f t="shared" si="7"/>
        <v>1.9160961685450326E-2</v>
      </c>
      <c r="BP17">
        <f>BP13+1</f>
        <v>5</v>
      </c>
      <c r="BQ17">
        <v>3</v>
      </c>
      <c r="BR17" s="107">
        <f>$H$30*H42</f>
        <v>7.0121648445593422E-3</v>
      </c>
    </row>
    <row r="18" spans="1:70" x14ac:dyDescent="0.25">
      <c r="A18" s="188" t="s">
        <v>12</v>
      </c>
      <c r="B18" s="172">
        <v>20</v>
      </c>
      <c r="C18" s="173">
        <v>17</v>
      </c>
      <c r="E18" s="192" t="s">
        <v>22</v>
      </c>
      <c r="F18" s="167" t="s">
        <v>123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5.9945162477138868E-3</v>
      </c>
      <c r="BP18">
        <f>BL8+1</f>
        <v>5</v>
      </c>
      <c r="BQ18">
        <v>4</v>
      </c>
      <c r="BR18" s="107">
        <f>$H$30*H43</f>
        <v>4.3298004180914373E-3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0.12</v>
      </c>
      <c r="P19" s="16" t="str">
        <f>P3</f>
        <v>0,6</v>
      </c>
      <c r="Q19" s="16">
        <f t="shared" si="1"/>
        <v>7.1999999999999995E-2</v>
      </c>
      <c r="R19" s="157">
        <f t="shared" si="6"/>
        <v>5.8135123074876983E-2</v>
      </c>
      <c r="S19" s="178">
        <f t="shared" si="2"/>
        <v>0.941864876925123</v>
      </c>
      <c r="T19" s="179">
        <f>R19*PRODUCT(S5:S18)</f>
        <v>4.4861441738271196E-2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1.3835925080948877E-3</v>
      </c>
      <c r="BP19">
        <f>BP15+1</f>
        <v>6</v>
      </c>
      <c r="BQ19">
        <v>1</v>
      </c>
      <c r="BR19" s="107">
        <f>$H$31*H40</f>
        <v>1.0858098801315033E-3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0.7268139132874758</v>
      </c>
      <c r="T20" s="181">
        <f>SUM(T5:T19)</f>
        <v>0.23810197067678537</v>
      </c>
      <c r="U20" s="181">
        <f>SUM(U5:U19)</f>
        <v>3.2563311347166508E-2</v>
      </c>
      <c r="V20" s="181">
        <f>1-S20-T20-U20</f>
        <v>2.5208046885723187E-3</v>
      </c>
      <c r="W20" s="21"/>
      <c r="X20" s="22"/>
      <c r="Y20" s="22"/>
      <c r="Z20" s="22"/>
      <c r="AA20" s="22"/>
      <c r="AB20" s="23"/>
      <c r="AC20" s="184">
        <f>PRODUCT(AC5:AC19)</f>
        <v>0.33292830173222615</v>
      </c>
      <c r="AD20" s="181">
        <f>SUM(AD5:AD19)</f>
        <v>0.55870633371205181</v>
      </c>
      <c r="AE20" s="181">
        <f>SUM(AE5:AE19)</f>
        <v>0.1011744259092016</v>
      </c>
      <c r="AF20" s="181">
        <f>1-AC20-AD20-AE20</f>
        <v>7.1909386465203867E-3</v>
      </c>
      <c r="BH20">
        <v>1</v>
      </c>
      <c r="BI20">
        <v>8</v>
      </c>
      <c r="BJ20" s="107">
        <f t="shared" si="7"/>
        <v>2.3663226308334899E-4</v>
      </c>
      <c r="BP20">
        <f>BP16+1</f>
        <v>6</v>
      </c>
      <c r="BQ20">
        <v>2</v>
      </c>
      <c r="BR20" s="107">
        <f>$H$31*H41</f>
        <v>1.7863180537611685E-3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0.7268139132874758</v>
      </c>
      <c r="T21" s="183">
        <f>T20*V1</f>
        <v>0.23810197067678537</v>
      </c>
      <c r="U21" s="183">
        <f>U20*V1</f>
        <v>3.2563311347166508E-2</v>
      </c>
      <c r="V21" s="183">
        <f>V20*V1</f>
        <v>2.5208046885723187E-3</v>
      </c>
      <c r="W21" s="21"/>
      <c r="X21" s="22"/>
      <c r="Y21" s="22"/>
      <c r="Z21" s="22"/>
      <c r="AA21" s="22"/>
      <c r="AB21" s="23"/>
      <c r="AC21" s="185">
        <f>1-AD21-AE21-AF21</f>
        <v>0.33292830173222621</v>
      </c>
      <c r="AD21" s="183">
        <f>AD20*V1</f>
        <v>0.55870633371205181</v>
      </c>
      <c r="AE21" s="183">
        <f>AE20*V1</f>
        <v>0.1011744259092016</v>
      </c>
      <c r="AF21" s="183">
        <f>AF20*V1</f>
        <v>7.1909386465203867E-3</v>
      </c>
      <c r="BH21" s="18">
        <v>1</v>
      </c>
      <c r="BI21">
        <v>9</v>
      </c>
      <c r="BJ21" s="107">
        <f t="shared" si="7"/>
        <v>2.9736107658563621E-5</v>
      </c>
      <c r="BP21">
        <f>BP17+1</f>
        <v>6</v>
      </c>
      <c r="BQ21">
        <v>3</v>
      </c>
      <c r="BR21" s="107">
        <f>$H$31*H42</f>
        <v>1.6861544158242204E-3</v>
      </c>
    </row>
    <row r="22" spans="1:70" x14ac:dyDescent="0.25">
      <c r="A22" s="26" t="s">
        <v>77</v>
      </c>
      <c r="B22" s="62">
        <f>(B6)/((B6)+(C6))</f>
        <v>0.4606741573033708</v>
      </c>
      <c r="C22" s="63">
        <f>1-B22</f>
        <v>0.5393258426966292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2.6795200397810447E-6</v>
      </c>
      <c r="BP22">
        <f>BP18+1</f>
        <v>6</v>
      </c>
      <c r="BQ22">
        <v>4</v>
      </c>
      <c r="BR22" s="107">
        <f>$H$31*H43</f>
        <v>1.0411495246388811E-3</v>
      </c>
    </row>
    <row r="23" spans="1:70" ht="15.75" thickBot="1" x14ac:dyDescent="0.3">
      <c r="A23" s="40" t="s">
        <v>67</v>
      </c>
      <c r="B23" s="56">
        <f>((B22^2.8)/((B22^2.8)+(C22^2.8)))*B21</f>
        <v>1.9570835379829266</v>
      </c>
      <c r="C23" s="57">
        <f>B21-B23</f>
        <v>3.0429164620170734</v>
      </c>
      <c r="D23" s="151">
        <f>SUM(D25:D30)</f>
        <v>0.99999999999999989</v>
      </c>
      <c r="E23" s="151">
        <f>SUM(E25:E30)</f>
        <v>1</v>
      </c>
      <c r="H23" s="59">
        <f>SUM(H25:H35)</f>
        <v>0.99999992190515929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0.99999999999999989</v>
      </c>
      <c r="T23" s="59">
        <f>SUM(T25:T35)</f>
        <v>1</v>
      </c>
      <c r="V23" s="59">
        <f>SUM(V25:V34)</f>
        <v>0.99988815052152891</v>
      </c>
      <c r="Y23" s="80">
        <f>SUM(Y25:Y35)</f>
        <v>6.831130417971211E-3</v>
      </c>
      <c r="Z23" s="81"/>
      <c r="AA23" s="80">
        <f>SUM(AA25:AA35)</f>
        <v>4.4072438671171908E-2</v>
      </c>
      <c r="AB23" s="81"/>
      <c r="AC23" s="80">
        <f>SUM(AC25:AC35)</f>
        <v>0.12804217379624222</v>
      </c>
      <c r="AD23" s="81"/>
      <c r="AE23" s="80">
        <f>SUM(AE25:AE35)</f>
        <v>0.22065062817711509</v>
      </c>
      <c r="AF23" s="81"/>
      <c r="AG23" s="80">
        <f>SUM(AG25:AG35)</f>
        <v>0.24986775908256359</v>
      </c>
      <c r="AH23" s="81"/>
      <c r="AI23" s="80">
        <f>SUM(AI25:AI35)</f>
        <v>0.19441496994066376</v>
      </c>
      <c r="AJ23" s="81"/>
      <c r="AK23" s="80">
        <f>SUM(AK25:AK35)</f>
        <v>0.105383129130536</v>
      </c>
      <c r="AL23" s="81"/>
      <c r="AM23" s="80">
        <f>SUM(AM25:AM35)</f>
        <v>3.9386999249958816E-2</v>
      </c>
      <c r="AN23" s="81"/>
      <c r="AO23" s="80">
        <f>SUM(AO25:AO35)</f>
        <v>9.7659326888206669E-3</v>
      </c>
      <c r="AP23" s="81"/>
      <c r="AQ23" s="80">
        <f>SUM(AQ25:AQ35)</f>
        <v>1.4729893664856943E-3</v>
      </c>
      <c r="AR23" s="81"/>
      <c r="AS23" s="80">
        <f>SUM(AS25:AS35)</f>
        <v>1.1184947847109329E-4</v>
      </c>
      <c r="BH23">
        <f t="shared" ref="BH23:BH30" si="8">BH15+1</f>
        <v>2</v>
      </c>
      <c r="BI23">
        <v>3</v>
      </c>
      <c r="BJ23" s="107">
        <f t="shared" ref="BJ23:BJ30" si="9">$H$27*H42</f>
        <v>7.598997301829738E-2</v>
      </c>
      <c r="BP23">
        <f>BL9+1</f>
        <v>6</v>
      </c>
      <c r="BQ23">
        <v>5</v>
      </c>
      <c r="BR23" s="107">
        <f>$H$31*H44</f>
        <v>4.4944466938221656E-4</v>
      </c>
    </row>
    <row r="24" spans="1:70" ht="15.75" thickBot="1" x14ac:dyDescent="0.3">
      <c r="A24" s="26" t="s">
        <v>76</v>
      </c>
      <c r="B24" s="64">
        <f>B23/B21</f>
        <v>0.39141670759658531</v>
      </c>
      <c r="C24" s="65">
        <f>C23/B21</f>
        <v>0.60858329240341469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4.6921517710848591E-2</v>
      </c>
      <c r="BP24">
        <f>BH49+1</f>
        <v>7</v>
      </c>
      <c r="BQ24">
        <v>0</v>
      </c>
      <c r="BR24" s="107">
        <f t="shared" ref="BR24:BR30" si="10">$H$32*H39</f>
        <v>4.9897331654958271E-5</v>
      </c>
    </row>
    <row r="25" spans="1:70" x14ac:dyDescent="0.25">
      <c r="A25" s="26" t="s">
        <v>69</v>
      </c>
      <c r="B25" s="117">
        <f>1/(1+EXP(-3.1416*4*((B11/(B11+C8))-(3.1416/6))))</f>
        <v>0.14196414184697126</v>
      </c>
      <c r="C25" s="118">
        <f>1/(1+EXP(-3.1416*4*((C11/(C11+B8))-(3.1416/6))))</f>
        <v>0.27650853914150708</v>
      </c>
      <c r="D25" s="153">
        <f>IF(B17="AOW", 0.36-0.08, IF(B17="AIM", 0.36+0.08, IF(B17="TL",(0.361)-(0.36*B32),0.36)))</f>
        <v>0.27999999999999997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0.1211083740886893</v>
      </c>
      <c r="I25" s="97">
        <v>0</v>
      </c>
      <c r="J25" s="98">
        <f t="shared" ref="J25:J35" si="11">Y25+AA25+AC25+AE25+AG25+AI25+AK25+AM25+AO25+AQ25+AS25</f>
        <v>0.16662913556635156</v>
      </c>
      <c r="K25" s="97">
        <v>0</v>
      </c>
      <c r="L25" s="98">
        <f>S21</f>
        <v>0.7268139132874758</v>
      </c>
      <c r="M25" s="84">
        <v>0</v>
      </c>
      <c r="N25" s="71">
        <f>(1-$B$24)^$B$21</f>
        <v>8.3483399771431377E-2</v>
      </c>
      <c r="O25" s="70">
        <v>0</v>
      </c>
      <c r="P25" s="71">
        <f>N25</f>
        <v>8.3483399771431377E-2</v>
      </c>
      <c r="Q25" s="12">
        <v>0</v>
      </c>
      <c r="R25" s="73">
        <f>P25*N25</f>
        <v>6.9694780373966286E-3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6.831130417971211E-3</v>
      </c>
      <c r="W25" s="136">
        <f>B31</f>
        <v>0.41735886132672617</v>
      </c>
      <c r="X25" s="12">
        <v>0</v>
      </c>
      <c r="Y25" s="79">
        <f>V25</f>
        <v>6.831130417971211E-3</v>
      </c>
      <c r="Z25" s="12">
        <v>0</v>
      </c>
      <c r="AA25" s="78">
        <f>((1-W25)^Z26)*V26</f>
        <v>2.5678415851479629E-2</v>
      </c>
      <c r="AB25" s="12">
        <v>0</v>
      </c>
      <c r="AC25" s="79">
        <f>(((1-$W$25)^AB27))*V27</f>
        <v>4.3466565916717929E-2</v>
      </c>
      <c r="AD25" s="12">
        <v>0</v>
      </c>
      <c r="AE25" s="79">
        <f>(((1-$W$25)^AB28))*V28</f>
        <v>4.3642397973260326E-2</v>
      </c>
      <c r="AF25" s="12">
        <v>0</v>
      </c>
      <c r="AG25" s="79">
        <f>(((1-$W$25)^AB29))*V29</f>
        <v>2.8794848951111118E-2</v>
      </c>
      <c r="AH25" s="12">
        <v>0</v>
      </c>
      <c r="AI25" s="79">
        <f>(((1-$W$25)^AB30))*V30</f>
        <v>1.3053754208745799E-2</v>
      </c>
      <c r="AJ25" s="12">
        <v>0</v>
      </c>
      <c r="AK25" s="79">
        <f>(((1-$W$25)^AB31))*V31</f>
        <v>4.1226642198736304E-3</v>
      </c>
      <c r="AL25" s="12">
        <v>0</v>
      </c>
      <c r="AM25" s="79">
        <f>(((1-$W$25)^AB32))*V32</f>
        <v>8.9776137121752684E-4</v>
      </c>
      <c r="AN25" s="12">
        <v>0</v>
      </c>
      <c r="AO25" s="79">
        <f>(((1-$W$25)^AB33))*V33</f>
        <v>1.2969489808545588E-4</v>
      </c>
      <c r="AP25" s="12">
        <v>0</v>
      </c>
      <c r="AQ25" s="79">
        <f>(((1-$W$25)^AB34))*V34</f>
        <v>1.1397508453742168E-5</v>
      </c>
      <c r="AR25" s="12">
        <v>0</v>
      </c>
      <c r="AS25" s="79">
        <f>(((1-$W$25)^AB35))*V35</f>
        <v>5.042494351991106E-7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2.0255136765085377E-2</v>
      </c>
      <c r="BP25">
        <f>BP19+1</f>
        <v>7</v>
      </c>
      <c r="BQ25">
        <v>1</v>
      </c>
      <c r="BR25" s="107">
        <f t="shared" si="10"/>
        <v>1.9849473738745238E-4</v>
      </c>
    </row>
    <row r="26" spans="1:70" x14ac:dyDescent="0.25">
      <c r="A26" s="40" t="s">
        <v>24</v>
      </c>
      <c r="B26" s="119">
        <f>1/(1+EXP(-3.1416*4*((B10/(B10+C9))-(3.1416/6))))</f>
        <v>0.3407265942093135</v>
      </c>
      <c r="C26" s="120">
        <f>1/(1+EXP(-3.1416*4*((C10/(C10+B9))-(3.1416/6))))</f>
        <v>0.26261185366149137</v>
      </c>
      <c r="D26" s="153">
        <f>IF(B17="AOW", 0.257+0.04, IF(B17="AIM", 0.257-0.04, IF(B17="TL",(0.257)-(0.257*B32),0.257)))</f>
        <v>0.29699999999999999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0.27716273762468996</v>
      </c>
      <c r="I26" s="93">
        <v>1</v>
      </c>
      <c r="J26" s="86">
        <f t="shared" si="11"/>
        <v>0.32675215448199474</v>
      </c>
      <c r="K26" s="93">
        <v>1</v>
      </c>
      <c r="L26" s="86">
        <f>T21</f>
        <v>0.23810197067678537</v>
      </c>
      <c r="M26" s="85">
        <v>1</v>
      </c>
      <c r="N26" s="71">
        <f>(($B$24)^M26)*((1-($B$24))^($B$21-M26))*HLOOKUP($B$21,$AV$24:$BF$34,M26+1)</f>
        <v>0.26846610714908153</v>
      </c>
      <c r="O26" s="72">
        <v>1</v>
      </c>
      <c r="P26" s="71">
        <f t="shared" ref="P26:P30" si="12">N26</f>
        <v>0.26846610714908153</v>
      </c>
      <c r="Q26" s="28">
        <v>1</v>
      </c>
      <c r="R26" s="37">
        <f>N26*P25+P26*N25</f>
        <v>4.4824926696413407E-2</v>
      </c>
      <c r="S26" s="72">
        <v>1</v>
      </c>
      <c r="T26" s="135">
        <f t="shared" ref="T26:T35" si="13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4.4072438671171908E-2</v>
      </c>
      <c r="W26" s="137"/>
      <c r="X26" s="28">
        <v>1</v>
      </c>
      <c r="Y26" s="73"/>
      <c r="Z26" s="28">
        <v>1</v>
      </c>
      <c r="AA26" s="79">
        <f>(1-((1-W25)^Z26))*V26</f>
        <v>1.8394022819692279E-2</v>
      </c>
      <c r="AB26" s="28">
        <v>1</v>
      </c>
      <c r="AC26" s="79">
        <f>((($W$25)^M26)*((1-($W$25))^($U$27-M26))*HLOOKUP($U$27,$AV$24:$BF$34,M26+1))*V27</f>
        <v>6.2272144044251736E-2</v>
      </c>
      <c r="AD26" s="28">
        <v>1</v>
      </c>
      <c r="AE26" s="79">
        <f>((($W$25)^M26)*((1-($W$25))^($U$28-M26))*HLOOKUP($U$28,$AV$24:$BF$34,M26+1))*V28</f>
        <v>9.3786073354675412E-2</v>
      </c>
      <c r="AF26" s="28">
        <v>1</v>
      </c>
      <c r="AG26" s="79">
        <f>((($W$25)^M26)*((1-($W$25))^($U$29-M26))*HLOOKUP($U$29,$AV$24:$BF$34,M26+1))*V29</f>
        <v>8.2505573826636314E-2</v>
      </c>
      <c r="AH26" s="28">
        <v>1</v>
      </c>
      <c r="AI26" s="79">
        <f>((($W$25)^M26)*((1-($W$25))^($U$30-M26))*HLOOKUP($U$30,$AV$24:$BF$34,M26+1))*V30</f>
        <v>4.6753478522018881E-2</v>
      </c>
      <c r="AJ26" s="28">
        <v>1</v>
      </c>
      <c r="AK26" s="79">
        <f>((($W$25)^M26)*((1-($W$25))^($U$31-M26))*HLOOKUP($U$31,$AV$24:$BF$34,M26+1))*V31</f>
        <v>1.7718938779608909E-2</v>
      </c>
      <c r="AL26" s="28">
        <v>1</v>
      </c>
      <c r="AM26" s="79">
        <f>((($W$25)^Q26)*((1-($W$25))^($U$32-Q26))*HLOOKUP($U$32,$AV$24:$BF$34,Q26+1))*V32</f>
        <v>4.5016056562941454E-3</v>
      </c>
      <c r="AN26" s="28">
        <v>1</v>
      </c>
      <c r="AO26" s="79">
        <f>((($W$25)^Q26)*((1-($W$25))^($U$33-Q26))*HLOOKUP($U$33,$AV$24:$BF$34,Q26+1))*V33</f>
        <v>7.4322681859491011E-4</v>
      </c>
      <c r="AP26" s="28">
        <v>1</v>
      </c>
      <c r="AQ26" s="79">
        <f>((($W$25)^Q26)*((1-($W$25))^($U$34-Q26))*HLOOKUP($U$34,$AV$24:$BF$34,Q26+1))*V34</f>
        <v>7.3478608890244326E-5</v>
      </c>
      <c r="AR26" s="28">
        <v>1</v>
      </c>
      <c r="AS26" s="79">
        <f>((($W$25)^Q26)*((1-($W$25))^($U$35-Q26))*HLOOKUP($U$35,$AV$24:$BF$34,Q26+1))*V35</f>
        <v>3.6120513319496428E-6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6.3368294572693599E-3</v>
      </c>
      <c r="BP26">
        <f>BP20+1</f>
        <v>7</v>
      </c>
      <c r="BQ26">
        <v>2</v>
      </c>
      <c r="BR26" s="107">
        <f t="shared" si="10"/>
        <v>3.2655323870219835E-4</v>
      </c>
    </row>
    <row r="27" spans="1:70" x14ac:dyDescent="0.25">
      <c r="A27" s="26" t="s">
        <v>25</v>
      </c>
      <c r="B27" s="119">
        <f>1/(1+EXP(-3.1416*4*((B12/(B12+C7))-(3.1416/6))))</f>
        <v>0.6080929919498167</v>
      </c>
      <c r="C27" s="120">
        <f>1/(1+EXP(-3.1416*4*((C12/(C12+B7))-(3.1416/6))))</f>
        <v>0.22042125474416366</v>
      </c>
      <c r="D27" s="153">
        <f>D26</f>
        <v>0.29699999999999999</v>
      </c>
      <c r="E27" s="153">
        <f>E26</f>
        <v>0.25700000000000001</v>
      </c>
      <c r="G27" s="87">
        <v>2</v>
      </c>
      <c r="H27" s="128">
        <f>L25*J27+J26*L26+J25*L27</f>
        <v>0.29298994742192286</v>
      </c>
      <c r="I27" s="93">
        <v>2</v>
      </c>
      <c r="J27" s="86">
        <f t="shared" si="11"/>
        <v>0.2886070495639379</v>
      </c>
      <c r="K27" s="93">
        <v>2</v>
      </c>
      <c r="L27" s="86">
        <f>U21</f>
        <v>3.2563311347166508E-2</v>
      </c>
      <c r="M27" s="85">
        <v>2</v>
      </c>
      <c r="N27" s="71">
        <f>(($B$24)^M27)*((1-($B$24))^($B$21-M27))*HLOOKUP($B$21,$AV$24:$BF$34,M27+1)</f>
        <v>0.3453335675600811</v>
      </c>
      <c r="O27" s="72">
        <v>2</v>
      </c>
      <c r="P27" s="71">
        <f t="shared" si="12"/>
        <v>0.3453335675600811</v>
      </c>
      <c r="Q27" s="28">
        <v>2</v>
      </c>
      <c r="R27" s="37">
        <f>P25*N27+P26*N26+P27*N25</f>
        <v>0.12973329123800784</v>
      </c>
      <c r="S27" s="72">
        <v>2</v>
      </c>
      <c r="T27" s="135">
        <f t="shared" si="13"/>
        <v>1.4850375000000001E-4</v>
      </c>
      <c r="U27" s="93">
        <v>2</v>
      </c>
      <c r="V27" s="86">
        <f>R27*T25+T26*R26+R25*T27</f>
        <v>0.12804217379624222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2.2303463835272562E-2</v>
      </c>
      <c r="AD27" s="28">
        <v>2</v>
      </c>
      <c r="AE27" s="79">
        <f>((($W$25)^M27)*((1-($W$25))^($U$28-M27))*HLOOKUP($U$28,$AV$24:$BF$34,M27+1))*V28</f>
        <v>6.7181059121130718E-2</v>
      </c>
      <c r="AF27" s="28">
        <v>2</v>
      </c>
      <c r="AG27" s="79">
        <f>((($W$25)^M27)*((1-($W$25))^($U$29-M27))*HLOOKUP($U$29,$AV$24:$BF$34,M27+1))*V29</f>
        <v>8.8650878027090652E-2</v>
      </c>
      <c r="AH27" s="28">
        <v>2</v>
      </c>
      <c r="AI27" s="79">
        <f>((($W$25)^M27)*((1-($W$25))^($U$30-M27))*HLOOKUP($U$30,$AV$24:$BF$34,M27+1))*V30</f>
        <v>6.6981121873564073E-2</v>
      </c>
      <c r="AJ27" s="28">
        <v>2</v>
      </c>
      <c r="AK27" s="79">
        <f>((($W$25)^M27)*((1-($W$25))^($U$31-M27))*HLOOKUP($U$31,$AV$24:$BF$34,M27+1))*V31</f>
        <v>3.1731179031637642E-2</v>
      </c>
      <c r="AL27" s="28">
        <v>2</v>
      </c>
      <c r="AM27" s="79">
        <f>((($W$25)^Q27)*((1-($W$25))^($U$32-Q27))*HLOOKUP($U$32,$AV$24:$BF$34,Q27+1))*V32</f>
        <v>9.6738020342901111E-3</v>
      </c>
      <c r="AN27" s="28">
        <v>2</v>
      </c>
      <c r="AO27" s="79">
        <f>((($W$25)^Q27)*((1-($W$25))^($U$33-Q27))*HLOOKUP($U$33,$AV$24:$BF$34,Q27+1))*V33</f>
        <v>1.8633648972660507E-3</v>
      </c>
      <c r="AP27" s="28">
        <v>2</v>
      </c>
      <c r="AQ27" s="79">
        <f>((($W$25)^Q27)*((1-($W$25))^($U$34-Q27))*HLOOKUP($U$34,$AV$24:$BF$34,Q27+1))*V34</f>
        <v>2.1053747497566422E-4</v>
      </c>
      <c r="AR27" s="28">
        <v>2</v>
      </c>
      <c r="AS27" s="79">
        <f>((($W$25)^Q27)*((1-($W$25))^($U$35-Q27))*HLOOKUP($U$35,$AV$24:$BF$34,Q27+1))*V35</f>
        <v>1.1643268710393975E-5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1.4626017179445549E-3</v>
      </c>
      <c r="BP27">
        <f>BP21+1</f>
        <v>7</v>
      </c>
      <c r="BQ27">
        <v>3</v>
      </c>
      <c r="BR27" s="107">
        <f t="shared" si="10"/>
        <v>3.0824252393355168E-4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0.18971269640384864</v>
      </c>
      <c r="I28" s="93">
        <v>3</v>
      </c>
      <c r="J28" s="86">
        <f t="shared" si="11"/>
        <v>0.15125552152444416</v>
      </c>
      <c r="K28" s="93">
        <v>3</v>
      </c>
      <c r="L28" s="86">
        <f>V21</f>
        <v>2.5208046885723187E-3</v>
      </c>
      <c r="M28" s="85">
        <v>3</v>
      </c>
      <c r="N28" s="71">
        <f>(($B$24)^M28)*((1-($B$24))^($B$21-M28))*HLOOKUP($B$21,$AV$24:$BF$34,M28+1)</f>
        <v>0.22210489463675503</v>
      </c>
      <c r="O28" s="72">
        <v>3</v>
      </c>
      <c r="P28" s="71">
        <f t="shared" si="12"/>
        <v>0.22210489463675503</v>
      </c>
      <c r="Q28" s="28">
        <v>3</v>
      </c>
      <c r="R28" s="37">
        <f>P25*N28+P26*N27+P27*N26+P28*N25</f>
        <v>0.22250486052182239</v>
      </c>
      <c r="S28" s="72">
        <v>3</v>
      </c>
      <c r="T28" s="135">
        <f t="shared" si="13"/>
        <v>4.9750000000000011E-7</v>
      </c>
      <c r="U28" s="93">
        <v>3</v>
      </c>
      <c r="V28" s="86">
        <f>R28*T25+R27*T26+R26*T27+R25*T28</f>
        <v>0.22065062817711509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1.604109772804865E-2</v>
      </c>
      <c r="AF28" s="28">
        <v>3</v>
      </c>
      <c r="AG28" s="79">
        <f>((($W$25)^M28)*((1-($W$25))^($U$29-M28))*HLOOKUP($U$29,$AV$24:$BF$34,M28+1))*V29</f>
        <v>4.2335069339881737E-2</v>
      </c>
      <c r="AH28" s="28">
        <v>3</v>
      </c>
      <c r="AI28" s="79">
        <f>((($W$25)^M28)*((1-($W$25))^($U$30-M28))*HLOOKUP($U$30,$AV$24:$BF$34,M28+1))*V30</f>
        <v>4.7980073667976471E-2</v>
      </c>
      <c r="AJ28" s="28">
        <v>3</v>
      </c>
      <c r="AK28" s="79">
        <f>((($W$25)^M28)*((1-($W$25))^($U$31-M28))*HLOOKUP($U$31,$AV$24:$BF$34,M28+1))*V31</f>
        <v>3.0306336371086401E-2</v>
      </c>
      <c r="AL28" s="28">
        <v>3</v>
      </c>
      <c r="AM28" s="79">
        <f>((($W$25)^Q28)*((1-($W$25))^($U$32-Q28))*HLOOKUP($U$32,$AV$24:$BF$34,Q28+1))*V32</f>
        <v>1.1549267447097647E-2</v>
      </c>
      <c r="AN28" s="28">
        <v>3</v>
      </c>
      <c r="AO28" s="79">
        <f>((($W$25)^Q28)*((1-($W$25))^($U$33-Q28))*HLOOKUP($U$33,$AV$24:$BF$34,Q28+1))*V33</f>
        <v>2.6695397909252509E-3</v>
      </c>
      <c r="AP28" s="28">
        <v>3</v>
      </c>
      <c r="AQ28" s="79">
        <f>((($W$25)^Q28)*((1-($W$25))^($U$34-Q28))*HLOOKUP($U$34,$AV$24:$BF$34,Q28+1))*V34</f>
        <v>3.5189629026066916E-4</v>
      </c>
      <c r="AR28" s="28">
        <v>3</v>
      </c>
      <c r="AS28" s="79">
        <f>((($W$25)^Q28)*((1-($W$25))^($U$35-Q28))*HLOOKUP($U$35,$AV$24:$BF$34,Q28+1))*V35</f>
        <v>2.2240889167359364E-5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2.5014500474808762E-4</v>
      </c>
      <c r="BP28">
        <f>BP22+1</f>
        <v>7</v>
      </c>
      <c r="BQ28">
        <v>4</v>
      </c>
      <c r="BR28" s="107">
        <f t="shared" si="10"/>
        <v>1.9033046692229076E-4</v>
      </c>
    </row>
    <row r="29" spans="1:70" x14ac:dyDescent="0.25">
      <c r="A29" s="26" t="s">
        <v>27</v>
      </c>
      <c r="B29" s="123">
        <f>1/(1+EXP(-3.1416*4*((B14/(B14+C13))-(3.1416/6))))</f>
        <v>0.48130695652156874</v>
      </c>
      <c r="C29" s="118">
        <f>1/(1+EXP(-3.1416*4*((C14/(C14+B13))-(3.1416/6))))</f>
        <v>0.16635890821379401</v>
      </c>
      <c r="D29" s="153">
        <v>0.04</v>
      </c>
      <c r="E29" s="153">
        <v>0.04</v>
      </c>
      <c r="G29" s="87">
        <v>4</v>
      </c>
      <c r="H29" s="128">
        <f>J29*L25+J28*L26+J27*L27+J26*L28</f>
        <v>8.411536271310556E-2</v>
      </c>
      <c r="I29" s="93">
        <v>4</v>
      </c>
      <c r="J29" s="86">
        <f t="shared" si="11"/>
        <v>5.2117116492858225E-2</v>
      </c>
      <c r="K29" s="93">
        <v>4</v>
      </c>
      <c r="L29" s="86"/>
      <c r="M29" s="85">
        <v>4</v>
      </c>
      <c r="N29" s="71">
        <f>(($B$24)^M29)*((1-($B$24))^($B$21-M29))*HLOOKUP($B$21,$AV$24:$BF$34,M29+1)</f>
        <v>7.142454260983698E-2</v>
      </c>
      <c r="O29" s="72">
        <v>4</v>
      </c>
      <c r="P29" s="71">
        <f t="shared" si="12"/>
        <v>7.142454260983698E-2</v>
      </c>
      <c r="Q29" s="28">
        <v>4</v>
      </c>
      <c r="R29" s="37">
        <f>P25*N29+P26*N28+P27*N27+P28*N26+P29*N25</f>
        <v>0.25043607305592347</v>
      </c>
      <c r="S29" s="72">
        <v>4</v>
      </c>
      <c r="T29" s="135">
        <f t="shared" si="13"/>
        <v>6.2500000000000001E-10</v>
      </c>
      <c r="U29" s="93">
        <v>4</v>
      </c>
      <c r="V29" s="86">
        <f>T29*R25+T28*R26+T27*R27+T26*R28+T25*R29</f>
        <v>0.24986775908256359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7.5813889378437754E-3</v>
      </c>
      <c r="AH29" s="28">
        <v>4</v>
      </c>
      <c r="AI29" s="79">
        <f>((($W$25)^M29)*((1-($W$25))^($U$30-M29))*HLOOKUP($U$30,$AV$24:$BF$34,M29+1))*V30</f>
        <v>1.7184599218343567E-2</v>
      </c>
      <c r="AJ29" s="28">
        <v>4</v>
      </c>
      <c r="AK29" s="79">
        <f>((($W$25)^M29)*((1-($W$25))^($U$31-M29))*HLOOKUP($U$31,$AV$24:$BF$34,M29+1))*V31</f>
        <v>1.6281829241782605E-2</v>
      </c>
      <c r="AL29" s="28">
        <v>4</v>
      </c>
      <c r="AM29" s="79">
        <f>((($W$25)^Q29)*((1-($W$25))^($U$32-Q29))*HLOOKUP($U$32,$AV$24:$BF$34,Q29+1))*V32</f>
        <v>8.272998233277009E-3</v>
      </c>
      <c r="AN29" s="28">
        <v>4</v>
      </c>
      <c r="AO29" s="79">
        <f>((($W$25)^Q29)*((1-($W$25))^($U$33-Q29))*HLOOKUP($U$33,$AV$24:$BF$34,Q29+1))*V33</f>
        <v>2.3903137228345711E-3</v>
      </c>
      <c r="AP29" s="28">
        <v>4</v>
      </c>
      <c r="AQ29" s="79">
        <f>((($W$25)^Q29)*((1-($W$25))^($U$34-Q29))*HLOOKUP($U$34,$AV$24:$BF$34,Q29+1))*V34</f>
        <v>3.78106758843157E-4</v>
      </c>
      <c r="AR29" s="28">
        <v>4</v>
      </c>
      <c r="AS29" s="79">
        <f>((($W$25)^Q29)*((1-($W$25))^($U$35-Q29))*HLOOKUP($U$35,$AV$24:$BF$34,Q29+1))*V35</f>
        <v>2.7880379933538373E-5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3.1434170026177014E-5</v>
      </c>
      <c r="BP29">
        <f>BP23+1</f>
        <v>7</v>
      </c>
      <c r="BQ29">
        <v>5</v>
      </c>
      <c r="BR29" s="107">
        <f t="shared" si="10"/>
        <v>8.2162083115700551E-5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2.7036380294892363E-2</v>
      </c>
      <c r="I30" s="93">
        <v>5</v>
      </c>
      <c r="J30" s="86">
        <f t="shared" si="11"/>
        <v>1.2347437691836421E-2</v>
      </c>
      <c r="K30" s="93">
        <v>5</v>
      </c>
      <c r="L30" s="86"/>
      <c r="M30" s="85">
        <v>5</v>
      </c>
      <c r="N30" s="71">
        <f>(($B$24)^M30)*((1-($B$24))^($B$21-M30))*HLOOKUP($B$21,$AV$24:$BF$34,M30+1)</f>
        <v>9.1874882728139613E-3</v>
      </c>
      <c r="O30" s="72">
        <v>5</v>
      </c>
      <c r="P30" s="71">
        <f t="shared" si="12"/>
        <v>9.1874882728139613E-3</v>
      </c>
      <c r="Q30" s="28">
        <v>5</v>
      </c>
      <c r="R30" s="37">
        <f>P25*N30+P26*N29+P27*N28+P28*N27+P29*N26+P30*N25</f>
        <v>0.19328469460641567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0.19441496994066376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2.4619424500149914E-3</v>
      </c>
      <c r="AJ30" s="28">
        <v>5</v>
      </c>
      <c r="AK30" s="79">
        <f>((($W$25)^M30)*((1-($W$25))^($U$31-M30))*HLOOKUP($U$31,$AV$24:$BF$34,M30+1))*V31</f>
        <v>4.6652151807476143E-3</v>
      </c>
      <c r="AL30" s="28">
        <v>5</v>
      </c>
      <c r="AM30" s="79">
        <f>((($W$25)^Q30)*((1-($W$25))^($U$32-Q30))*HLOOKUP($U$32,$AV$24:$BF$34,Q30+1))*V32</f>
        <v>3.5556800505994477E-3</v>
      </c>
      <c r="AN30" s="28">
        <v>5</v>
      </c>
      <c r="AO30" s="79">
        <f>((($W$25)^Q30)*((1-($W$25))^($U$33-Q30))*HLOOKUP($U$33,$AV$24:$BF$34,Q30+1))*V33</f>
        <v>1.3697880871886958E-3</v>
      </c>
      <c r="AP30" s="28">
        <v>5</v>
      </c>
      <c r="AQ30" s="79">
        <f>((($W$25)^Q30)*((1-($W$25))^($U$34-Q30))*HLOOKUP($U$34,$AV$24:$BF$34,Q30+1))*V34</f>
        <v>2.7084631663678595E-4</v>
      </c>
      <c r="AR30" s="28">
        <v>5</v>
      </c>
      <c r="AS30" s="79">
        <f>((($W$25)^Q30)*((1-($W$25))^($U$35-Q30))*HLOOKUP($U$35,$AV$24:$BF$34,Q30+1))*V35</f>
        <v>2.3965606648884236E-5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2.8325324042458939E-6</v>
      </c>
      <c r="BP30">
        <f>BL10+1</f>
        <v>7</v>
      </c>
      <c r="BQ30">
        <v>6</v>
      </c>
      <c r="BR30" s="107">
        <f t="shared" si="10"/>
        <v>2.5704447943084043E-5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0.41735886132672617</v>
      </c>
      <c r="C31" s="61">
        <f>(C25*E25)+(C26*E26)+(C27*E27)+(C28*E28)+(C29*E29)+(C30*E30)/(C25+C26+C27+C28+C29+C30)</f>
        <v>0.30691285403141</v>
      </c>
      <c r="G31" s="87">
        <v>6</v>
      </c>
      <c r="H31" s="128">
        <f>J31*L25+J30*L26+J29*L27+J28*L28</f>
        <v>6.501203698527783E-3</v>
      </c>
      <c r="I31" s="93">
        <v>6</v>
      </c>
      <c r="J31" s="86">
        <f t="shared" si="11"/>
        <v>2.0402236466288432E-3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0.10359422686536852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0.10538312913053599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5.5696630579920702E-4</v>
      </c>
      <c r="AL31" s="28">
        <v>6</v>
      </c>
      <c r="AM31" s="79">
        <f>((($W$25)^Q31)*((1-($W$25))^($U$32-Q31))*HLOOKUP($U$32,$AV$24:$BF$34,Q31+1))*V32</f>
        <v>8.4900434627709846E-4</v>
      </c>
      <c r="AN31" s="28">
        <v>6</v>
      </c>
      <c r="AO31" s="79">
        <f>((($W$25)^Q31)*((1-($W$25))^($U$33-Q31))*HLOOKUP($U$33,$AV$24:$BF$34,Q31+1))*V33</f>
        <v>4.9060490101144011E-4</v>
      </c>
      <c r="AP31" s="28">
        <v>6</v>
      </c>
      <c r="AQ31" s="79">
        <f>((($W$25)^Q31)*((1-($W$25))^($U$34-Q31))*HLOOKUP($U$34,$AV$24:$BF$34,Q31+1))*V34</f>
        <v>1.2934217743185727E-4</v>
      </c>
      <c r="AR31" s="28">
        <v>6</v>
      </c>
      <c r="AS31" s="79">
        <f>((($W$25)^Q31)*((1-($W$25))^($U$35-Q31))*HLOOKUP($U$35,$AV$24:$BF$34,Q31+1))*V35</f>
        <v>1.4305916109240333E-5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3.0381955840509383E-2</v>
      </c>
      <c r="BP31">
        <f t="shared" ref="BP31:BP37" si="17">BP24+1</f>
        <v>8</v>
      </c>
      <c r="BQ31">
        <v>0</v>
      </c>
      <c r="BR31" s="107">
        <f t="shared" ref="BR31:BR38" si="18">$H$33*H39</f>
        <v>6.9631420742560448E-6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1.1884720745820791E-3</v>
      </c>
      <c r="I32" s="93">
        <v>7</v>
      </c>
      <c r="J32" s="86">
        <f t="shared" si="11"/>
        <v>2.3285227634650338E-4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3.8072977226007026E-2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3.9386999249958816E-2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8.6880110905834804E-5</v>
      </c>
      <c r="AN32" s="28">
        <v>7</v>
      </c>
      <c r="AO32" s="79">
        <f>((($W$25)^Q32)*((1-($W$25))^($U$33-Q32))*HLOOKUP($U$33,$AV$24:$BF$34,Q32+1))*V33</f>
        <v>1.0040892817033575E-4</v>
      </c>
      <c r="AP32" s="28">
        <v>7</v>
      </c>
      <c r="AQ32" s="79">
        <f>((($W$25)^Q32)*((1-($W$25))^($U$34-Q32))*HLOOKUP($U$34,$AV$24:$BF$34,Q32+1))*V34</f>
        <v>3.9707438846541434E-5</v>
      </c>
      <c r="AR32" s="28">
        <v>7</v>
      </c>
      <c r="AS32" s="79">
        <f>((($W$25)^Q32)*((1-($W$25))^($U$35-Q32))*HLOOKUP($U$35,$AV$24:$BF$34,Q32+1))*V35</f>
        <v>5.8557984237913928E-6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1.3115318957340956E-2</v>
      </c>
      <c r="BP32">
        <f t="shared" si="17"/>
        <v>8</v>
      </c>
      <c r="BQ32">
        <v>1</v>
      </c>
      <c r="BR32" s="107">
        <f t="shared" si="18"/>
        <v>2.7699819039995318E-5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1.6585055016220515E-4</v>
      </c>
      <c r="I33" s="93">
        <v>8</v>
      </c>
      <c r="J33" s="86">
        <f t="shared" si="11"/>
        <v>1.7674465780326916E-5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9.1826375166439538E-3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9.7659326888206669E-3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8.9906447439570932E-6</v>
      </c>
      <c r="AP33" s="28">
        <v>8</v>
      </c>
      <c r="AQ33" s="79">
        <f>((($W$25)^Q33)*((1-($W$25))^($U$34-Q33))*HLOOKUP($U$34,$AV$24:$BF$34,Q33+1))*V34</f>
        <v>7.1108313347602139E-6</v>
      </c>
      <c r="AR33" s="28">
        <v>8</v>
      </c>
      <c r="AS33" s="79">
        <f>((($W$25)^Q33)*((1-($W$25))^($U$35-Q33))*HLOOKUP($U$35,$AV$24:$BF$34,Q33+1))*V35</f>
        <v>1.5729897016096082E-6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4.1031339592641413E-3</v>
      </c>
      <c r="BP33">
        <f t="shared" si="17"/>
        <v>8</v>
      </c>
      <c r="BQ33">
        <v>2</v>
      </c>
      <c r="BR33" s="107">
        <f t="shared" si="18"/>
        <v>4.5570304472702299E-5</v>
      </c>
    </row>
    <row r="34" spans="1:70" x14ac:dyDescent="0.25">
      <c r="A34" s="40" t="s">
        <v>86</v>
      </c>
      <c r="B34" s="56">
        <f>B23*2</f>
        <v>3.9141670759658531</v>
      </c>
      <c r="C34" s="57">
        <f>C23*2</f>
        <v>6.0858329240341469</v>
      </c>
      <c r="G34" s="87">
        <v>9</v>
      </c>
      <c r="H34" s="128">
        <f>J34*L25+J33*L26+J32*L27+J31*L28</f>
        <v>1.7527108812462658E-5</v>
      </c>
      <c r="I34" s="93">
        <v>9</v>
      </c>
      <c r="J34" s="86">
        <f t="shared" si="11"/>
        <v>8.1635362495734739E-7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1.3124242952379567E-3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1.4729893664856941E-3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5.6596081227246636E-7</v>
      </c>
      <c r="AR34" s="28">
        <v>9</v>
      </c>
      <c r="AS34" s="79">
        <f>((($W$25)^Q34)*((1-($W$25))^($U$35-Q34))*HLOOKUP($U$35,$AV$24:$BF$34,Q34+1))*V35</f>
        <v>2.5039281268488097E-7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9.4704312594241899E-4</v>
      </c>
      <c r="BP34">
        <f t="shared" si="17"/>
        <v>8</v>
      </c>
      <c r="BQ34">
        <v>3</v>
      </c>
      <c r="BR34" s="107">
        <f t="shared" si="18"/>
        <v>4.3015055440611107E-5</v>
      </c>
    </row>
    <row r="35" spans="1:70" ht="15.75" thickBot="1" x14ac:dyDescent="0.3">
      <c r="G35" s="88">
        <v>10</v>
      </c>
      <c r="H35" s="129">
        <f>J35*L25+J34*L26+J33*L27+J32*L28</f>
        <v>1.3699259260558894E-6</v>
      </c>
      <c r="I35" s="94">
        <v>10</v>
      </c>
      <c r="J35" s="89">
        <f t="shared" si="11"/>
        <v>1.7936196442380019E-8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8.4409940763094065E-5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1.1184947847109328E-4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1.7936196442380019E-8</v>
      </c>
      <c r="BH35">
        <f t="shared" si="15"/>
        <v>3</v>
      </c>
      <c r="BI35">
        <v>8</v>
      </c>
      <c r="BJ35" s="107">
        <f t="shared" si="16"/>
        <v>1.6197034662890407E-4</v>
      </c>
      <c r="BP35">
        <f t="shared" si="17"/>
        <v>8</v>
      </c>
      <c r="BQ35">
        <v>4</v>
      </c>
      <c r="BR35" s="107">
        <f t="shared" si="18"/>
        <v>2.6560500096555906E-5</v>
      </c>
    </row>
    <row r="36" spans="1:70" x14ac:dyDescent="0.25">
      <c r="A36" s="1"/>
      <c r="B36" s="108">
        <f>SUM(B37:B39)</f>
        <v>0.99999793498810785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5"/>
        <v>3</v>
      </c>
      <c r="BI36">
        <v>9</v>
      </c>
      <c r="BJ36" s="107">
        <f t="shared" si="16"/>
        <v>2.0353808065282669E-5</v>
      </c>
      <c r="BP36">
        <f t="shared" si="17"/>
        <v>8</v>
      </c>
      <c r="BQ36">
        <v>5</v>
      </c>
      <c r="BR36" s="107">
        <f t="shared" si="18"/>
        <v>1.1465668380978581E-5</v>
      </c>
    </row>
    <row r="37" spans="1:70" ht="15.75" thickBot="1" x14ac:dyDescent="0.3">
      <c r="A37" s="109" t="s">
        <v>104</v>
      </c>
      <c r="B37" s="107">
        <f>SUM(BN4:BN14)</f>
        <v>0.19657010383776058</v>
      </c>
      <c r="G37" s="13"/>
      <c r="H37" s="59">
        <f>SUM(H39:H49)</f>
        <v>0.99999938299473712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0.99258014998652566</v>
      </c>
      <c r="W37" s="13"/>
      <c r="X37" s="13"/>
      <c r="Y37" s="80">
        <f>SUM(Y39:Y49)</f>
        <v>8.3567951603982199E-5</v>
      </c>
      <c r="Z37" s="81"/>
      <c r="AA37" s="80">
        <f>SUM(AA39:AA49)</f>
        <v>1.3001727418035509E-3</v>
      </c>
      <c r="AB37" s="81"/>
      <c r="AC37" s="80">
        <f>SUM(AC39:AC49)</f>
        <v>9.1041014394015671E-3</v>
      </c>
      <c r="AD37" s="81"/>
      <c r="AE37" s="80">
        <f>SUM(AE39:AE49)</f>
        <v>3.7784599332075598E-2</v>
      </c>
      <c r="AF37" s="81"/>
      <c r="AG37" s="80">
        <f>SUM(AG39:AG49)</f>
        <v>0.10293993014172316</v>
      </c>
      <c r="AH37" s="81"/>
      <c r="AI37" s="80">
        <f>SUM(AI39:AI49)</f>
        <v>0.19238839415945774</v>
      </c>
      <c r="AJ37" s="81"/>
      <c r="AK37" s="80">
        <f>SUM(AK39:AK49)</f>
        <v>0.2498637457941961</v>
      </c>
      <c r="AL37" s="81"/>
      <c r="AM37" s="80">
        <f>SUM(AM39:AM49)</f>
        <v>0.22278204558238882</v>
      </c>
      <c r="AN37" s="81"/>
      <c r="AO37" s="80">
        <f>SUM(AO39:AO49)</f>
        <v>0.13065938592192719</v>
      </c>
      <c r="AP37" s="81"/>
      <c r="AQ37" s="80">
        <f>SUM(AQ39:AQ49)</f>
        <v>4.5674206921947909E-2</v>
      </c>
      <c r="AR37" s="81"/>
      <c r="AS37" s="80">
        <f>SUM(AS39:AS49)</f>
        <v>7.4198500134743366E-3</v>
      </c>
      <c r="BH37">
        <f t="shared" si="15"/>
        <v>3</v>
      </c>
      <c r="BI37">
        <v>10</v>
      </c>
      <c r="BJ37" s="107">
        <f t="shared" si="16"/>
        <v>1.8340812194724346E-6</v>
      </c>
      <c r="BP37">
        <f t="shared" si="17"/>
        <v>8</v>
      </c>
      <c r="BQ37">
        <v>6</v>
      </c>
      <c r="BR37" s="107">
        <f t="shared" si="18"/>
        <v>3.5870399685035508E-6</v>
      </c>
    </row>
    <row r="38" spans="1:70" ht="15.75" thickBot="1" x14ac:dyDescent="0.3">
      <c r="A38" s="110" t="s">
        <v>105</v>
      </c>
      <c r="B38" s="107">
        <f>SUM(BJ4:BJ59)</f>
        <v>0.54443570645269335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5.8151079611792585E-3</v>
      </c>
      <c r="BP38">
        <f>BL11+1</f>
        <v>8</v>
      </c>
      <c r="BQ38">
        <v>7</v>
      </c>
      <c r="BR38" s="107">
        <f t="shared" si="18"/>
        <v>8.2792362578901361E-7</v>
      </c>
    </row>
    <row r="39" spans="1:70" x14ac:dyDescent="0.25">
      <c r="A39" s="111" t="s">
        <v>0</v>
      </c>
      <c r="B39" s="107">
        <f>SUM(BR4:BR47)</f>
        <v>0.25899212469765381</v>
      </c>
      <c r="G39" s="130">
        <v>0</v>
      </c>
      <c r="H39" s="131">
        <f>L39*J39</f>
        <v>4.1984437600272977E-2</v>
      </c>
      <c r="I39" s="97">
        <v>0</v>
      </c>
      <c r="J39" s="98">
        <f t="shared" ref="J39:J49" si="33">Y39+AA39+AC39+AE39+AG39+AI39+AK39+AM39+AO39+AQ39+AS39</f>
        <v>0.1261065442073501</v>
      </c>
      <c r="K39" s="102">
        <v>0</v>
      </c>
      <c r="L39" s="98">
        <f>AC21</f>
        <v>0.33292830173222621</v>
      </c>
      <c r="M39" s="84">
        <v>0</v>
      </c>
      <c r="N39" s="71">
        <f>(1-$C$24)^$B$21</f>
        <v>9.1874882728139613E-3</v>
      </c>
      <c r="O39" s="70">
        <v>0</v>
      </c>
      <c r="P39" s="71">
        <f>N39</f>
        <v>9.1874882728139613E-3</v>
      </c>
      <c r="Q39" s="12">
        <v>0</v>
      </c>
      <c r="R39" s="73">
        <f>P39*N39</f>
        <v>8.4409940763094065E-5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8.3567951603982199E-5</v>
      </c>
      <c r="W39" s="136">
        <f>C31</f>
        <v>0.30691285403141</v>
      </c>
      <c r="X39" s="12">
        <v>0</v>
      </c>
      <c r="Y39" s="79">
        <f>V39</f>
        <v>8.3567951603982199E-5</v>
      </c>
      <c r="Z39" s="12">
        <v>0</v>
      </c>
      <c r="AA39" s="78">
        <f>((1-W39)^Z40)*V40</f>
        <v>9.0113301488277961E-4</v>
      </c>
      <c r="AB39" s="12">
        <v>0</v>
      </c>
      <c r="AC39" s="79">
        <f>(((1-$W$39)^AB41))*V41</f>
        <v>4.3733353139445083E-3</v>
      </c>
      <c r="AD39" s="12">
        <v>0</v>
      </c>
      <c r="AE39" s="79">
        <f>(((1-$W$39)^AB42))*V42</f>
        <v>1.2579933771959794E-2</v>
      </c>
      <c r="AF39" s="12">
        <v>0</v>
      </c>
      <c r="AG39" s="79">
        <f>(((1-$W$39)^AB43))*V43</f>
        <v>2.3753917680221604E-2</v>
      </c>
      <c r="AH39" s="12">
        <v>0</v>
      </c>
      <c r="AI39" s="79">
        <f>(((1-$W$39)^AB44))*V44</f>
        <v>3.0769333712471588E-2</v>
      </c>
      <c r="AJ39" s="12">
        <v>0</v>
      </c>
      <c r="AK39" s="79">
        <f>(((1-$W$39)^AB45))*V45</f>
        <v>2.7696845804168115E-2</v>
      </c>
      <c r="AL39" s="12">
        <v>0</v>
      </c>
      <c r="AM39" s="79">
        <f>(((1-$W$39)^AB46))*V46</f>
        <v>1.7115717063130503E-2</v>
      </c>
      <c r="AN39" s="12">
        <v>0</v>
      </c>
      <c r="AO39" s="79">
        <f>(((1-$W$39)^AB47))*V47</f>
        <v>6.9573422588964122E-3</v>
      </c>
      <c r="AP39" s="12">
        <v>0</v>
      </c>
      <c r="AQ39" s="79">
        <f>(((1-$W$39)^AB48))*V48</f>
        <v>1.6856275288409937E-3</v>
      </c>
      <c r="AR39" s="12">
        <v>0</v>
      </c>
      <c r="AS39" s="79">
        <f>(((1-$W$39)^AB49))*V49</f>
        <v>1.8979010722983505E-4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1.8192593737071702E-3</v>
      </c>
      <c r="BP39">
        <f t="shared" ref="BP39:BP46" si="34">BP31+1</f>
        <v>9</v>
      </c>
      <c r="BQ39">
        <v>0</v>
      </c>
      <c r="BR39" s="107">
        <f t="shared" ref="BR39:BR47" si="35">$H$34*H39</f>
        <v>7.3586580625003308E-7</v>
      </c>
    </row>
    <row r="40" spans="1:70" x14ac:dyDescent="0.25">
      <c r="G40" s="91">
        <v>1</v>
      </c>
      <c r="H40" s="132">
        <f>L39*J40+L40*J39</f>
        <v>0.16701674497253305</v>
      </c>
      <c r="I40" s="93">
        <v>1</v>
      </c>
      <c r="J40" s="86">
        <f t="shared" si="33"/>
        <v>0.2900330776895349</v>
      </c>
      <c r="K40" s="95">
        <v>1</v>
      </c>
      <c r="L40" s="86">
        <f>AD21</f>
        <v>0.55870633371205181</v>
      </c>
      <c r="M40" s="85">
        <v>1</v>
      </c>
      <c r="N40" s="71">
        <f>(($C$24)^M26)*((1-($C$24))^($B$21-M26))*HLOOKUP($B$21,$AV$24:$BF$34,M26+1)</f>
        <v>7.142454260983698E-2</v>
      </c>
      <c r="O40" s="72">
        <v>1</v>
      </c>
      <c r="P40" s="71">
        <f t="shared" ref="P40:P44" si="36">N40</f>
        <v>7.142454260983698E-2</v>
      </c>
      <c r="Q40" s="28">
        <v>1</v>
      </c>
      <c r="R40" s="37">
        <f>P40*N39+P39*N40</f>
        <v>1.3124242952379567E-3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1.3001727418035509E-3</v>
      </c>
      <c r="W40" s="137"/>
      <c r="X40" s="28">
        <v>1</v>
      </c>
      <c r="Y40" s="73"/>
      <c r="Z40" s="28">
        <v>1</v>
      </c>
      <c r="AA40" s="79">
        <f>(1-((1-W39)^Z40))*V40</f>
        <v>3.9903972692077136E-4</v>
      </c>
      <c r="AB40" s="28">
        <v>1</v>
      </c>
      <c r="AC40" s="79">
        <f>((($W$39)^M40)*((1-($W$39))^($U$27-M40))*HLOOKUP($U$27,$AV$24:$BF$34,M40+1))*V41</f>
        <v>3.8732007385977119E-3</v>
      </c>
      <c r="AD40" s="28">
        <v>1</v>
      </c>
      <c r="AE40" s="79">
        <f>((($W$39)^M40)*((1-($W$39))^($U$28-M40))*HLOOKUP($U$28,$AV$24:$BF$34,M40+1))*V42</f>
        <v>1.6711939039423224E-2</v>
      </c>
      <c r="AF40" s="28">
        <v>1</v>
      </c>
      <c r="AG40" s="79">
        <f>((($W$39)^M40)*((1-($W$39))^($U$29-M40))*HLOOKUP($U$29,$AV$24:$BF$34,M40+1))*V43</f>
        <v>4.2074839864332879E-2</v>
      </c>
      <c r="AH40" s="28">
        <v>1</v>
      </c>
      <c r="AI40" s="79">
        <f>((($W$39)^M40)*((1-($W$39))^($U$30-M40))*HLOOKUP($U$30,$AV$24:$BF$34,M40+1))*V44</f>
        <v>6.8126382672573066E-2</v>
      </c>
      <c r="AJ40" s="28">
        <v>1</v>
      </c>
      <c r="AK40" s="79">
        <f>((($W$39)^M40)*((1-($W$39))^($U$31-M40))*HLOOKUP($U$31,$AV$24:$BF$34,M40+1))*V45</f>
        <v>7.3588304525939258E-2</v>
      </c>
      <c r="AL40" s="28">
        <v>1</v>
      </c>
      <c r="AM40" s="79">
        <f>((($W$39)^Q40)*((1-($W$39))^($U$32-Q40))*HLOOKUP($U$32,$AV$24:$BF$34,Q40+1))*V46</f>
        <v>5.3054273509990667E-2</v>
      </c>
      <c r="AN40" s="28">
        <v>1</v>
      </c>
      <c r="AO40" s="79">
        <f>((($W$39)^Q40)*((1-($W$39))^($U$33-Q40))*HLOOKUP($U$33,$AV$24:$BF$34,Q40+1))*V47</f>
        <v>2.4646802718202538E-2</v>
      </c>
      <c r="AP40" s="28">
        <v>1</v>
      </c>
      <c r="AQ40" s="79">
        <f>((($W$39)^Q40)*((1-($W$39))^($U$34-Q40))*HLOOKUP($U$34,$AV$24:$BF$34,Q40+1))*V48</f>
        <v>6.7178663296195784E-3</v>
      </c>
      <c r="AR40" s="28">
        <v>1</v>
      </c>
      <c r="AS40" s="79">
        <f>((($W$39)^Q40)*((1-($W$39))^($U$35-Q40))*HLOOKUP($U$35,$AV$24:$BF$34,Q40+1))*V49</f>
        <v>8.4042856393524577E-4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4.1990271370147389E-4</v>
      </c>
      <c r="BP40">
        <f t="shared" si="34"/>
        <v>9</v>
      </c>
      <c r="BQ40">
        <v>1</v>
      </c>
      <c r="BR40" s="107">
        <f t="shared" si="35"/>
        <v>2.9273206626369126E-6</v>
      </c>
    </row>
    <row r="41" spans="1:70" x14ac:dyDescent="0.25">
      <c r="G41" s="91">
        <v>2</v>
      </c>
      <c r="H41" s="132">
        <f>L39*J41+J40*L40+J39*L41</f>
        <v>0.2747672795063606</v>
      </c>
      <c r="I41" s="93">
        <v>2</v>
      </c>
      <c r="J41" s="86">
        <f t="shared" si="33"/>
        <v>0.30026045932871076</v>
      </c>
      <c r="K41" s="95">
        <v>2</v>
      </c>
      <c r="L41" s="86">
        <f>AE21</f>
        <v>0.1011744259092016</v>
      </c>
      <c r="M41" s="85">
        <v>2</v>
      </c>
      <c r="N41" s="71">
        <f>(($C$24)^M27)*((1-($C$24))^($B$21-M27))*HLOOKUP($B$21,$AV$24:$BF$34,M27+1)</f>
        <v>0.22210489463675503</v>
      </c>
      <c r="O41" s="72">
        <v>2</v>
      </c>
      <c r="P41" s="71">
        <f t="shared" si="36"/>
        <v>0.22210489463675503</v>
      </c>
      <c r="Q41" s="28">
        <v>2</v>
      </c>
      <c r="R41" s="37">
        <f>P41*N39+P40*N40+P39*N41</f>
        <v>9.1826375166439538E-3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9.1041014394015671E-3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8.5756538685934688E-4</v>
      </c>
      <c r="AD41" s="28">
        <v>2</v>
      </c>
      <c r="AE41" s="79">
        <f>((($W$39)^M41)*((1-($W$39))^($U$28-M41))*HLOOKUP($U$28,$AV$24:$BF$34,M41+1))*V42</f>
        <v>7.4003809431790694E-3</v>
      </c>
      <c r="AF41" s="28">
        <v>2</v>
      </c>
      <c r="AG41" s="79">
        <f>((($W$39)^M41)*((1-($W$39))^($U$29-M41))*HLOOKUP($U$29,$AV$24:$BF$34,M41+1))*V43</f>
        <v>2.7947371252205058E-2</v>
      </c>
      <c r="AH41" s="28">
        <v>2</v>
      </c>
      <c r="AI41" s="79">
        <f>((($W$39)^M41)*((1-($W$39))^($U$30-M41))*HLOOKUP($U$30,$AV$24:$BF$34,M41+1))*V44</f>
        <v>6.0335450347027419E-2</v>
      </c>
      <c r="AJ41" s="28">
        <v>2</v>
      </c>
      <c r="AK41" s="79">
        <f>((($W$39)^M41)*((1-($W$39))^($U$31-M41))*HLOOKUP($U$31,$AV$24:$BF$34,M41+1))*V45</f>
        <v>8.1465933601414992E-2</v>
      </c>
      <c r="AL41" s="28">
        <v>2</v>
      </c>
      <c r="AM41" s="79">
        <f>((($W$39)^Q41)*((1-($W$39))^($U$32-Q41))*HLOOKUP($U$32,$AV$24:$BF$34,Q41+1))*V46</f>
        <v>7.0480481117964053E-2</v>
      </c>
      <c r="AN41" s="28">
        <v>2</v>
      </c>
      <c r="AO41" s="79">
        <f>((($W$39)^Q41)*((1-($W$39))^($U$33-Q41))*HLOOKUP($U$33,$AV$24:$BF$34,Q41+1))*V47</f>
        <v>3.8199340633384267E-2</v>
      </c>
      <c r="AP41" s="28">
        <v>2</v>
      </c>
      <c r="AQ41" s="79">
        <f>((($W$39)^Q41)*((1-($W$39))^($U$34-Q41))*HLOOKUP($U$34,$AV$24:$BF$34,Q41+1))*V48</f>
        <v>1.1899222429489391E-2</v>
      </c>
      <c r="AR41" s="28">
        <v>2</v>
      </c>
      <c r="AS41" s="79">
        <f>((($W$39)^Q41)*((1-($W$39))^($U$35-Q41))*HLOOKUP($U$35,$AV$24:$BF$34,Q41+1))*V49</f>
        <v>1.674713617187164E-3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7.1814879624373476E-5</v>
      </c>
      <c r="BP41">
        <f t="shared" si="34"/>
        <v>9</v>
      </c>
      <c r="BQ41">
        <v>2</v>
      </c>
      <c r="BR41" s="107">
        <f t="shared" si="35"/>
        <v>4.815876006012323E-6</v>
      </c>
    </row>
    <row r="42" spans="1:70" ht="15" customHeight="1" x14ac:dyDescent="0.25">
      <c r="G42" s="91">
        <v>3</v>
      </c>
      <c r="H42" s="132">
        <f>J42*L39+J41*L40+L42*J39+L41*J40</f>
        <v>0.25936034217879606</v>
      </c>
      <c r="I42" s="93">
        <v>3</v>
      </c>
      <c r="J42" s="86">
        <f t="shared" si="33"/>
        <v>0.18428041988951591</v>
      </c>
      <c r="K42" s="95">
        <v>3</v>
      </c>
      <c r="L42" s="86">
        <f>AF21</f>
        <v>7.1909386465203867E-3</v>
      </c>
      <c r="M42" s="85">
        <v>3</v>
      </c>
      <c r="N42" s="71">
        <f>(($C$24)^M28)*((1-($C$24))^($B$21-M28))*HLOOKUP($B$21,$AV$24:$BF$34,M28+1)</f>
        <v>0.3453335675600811</v>
      </c>
      <c r="O42" s="72">
        <v>3</v>
      </c>
      <c r="P42" s="71">
        <f t="shared" si="36"/>
        <v>0.3453335675600811</v>
      </c>
      <c r="Q42" s="28">
        <v>3</v>
      </c>
      <c r="R42" s="37">
        <f>P42*N39+P41*N40+P40*N41+P39*N42</f>
        <v>3.8072977226007026E-2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3.7784599332075598E-2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1.0923455775135081E-3</v>
      </c>
      <c r="AF42" s="28">
        <v>3</v>
      </c>
      <c r="AG42" s="79">
        <f>((($W$39)^M42)*((1-($W$39))^($U$29-M42))*HLOOKUP($U$29,$AV$24:$BF$34,M42+1))*V43</f>
        <v>8.2504367342365482E-3</v>
      </c>
      <c r="AH42" s="28">
        <v>3</v>
      </c>
      <c r="AI42" s="79">
        <f>((($W$39)^M42)*((1-($W$39))^($U$30-M42))*HLOOKUP($U$30,$AV$24:$BF$34,M42+1))*V44</f>
        <v>2.6717744475549417E-2</v>
      </c>
      <c r="AJ42" s="28">
        <v>3</v>
      </c>
      <c r="AK42" s="79">
        <f>((($W$39)^M42)*((1-($W$39))^($U$31-M42))*HLOOKUP($U$31,$AV$24:$BF$34,M42+1))*V45</f>
        <v>4.8099660258455149E-2</v>
      </c>
      <c r="AL42" s="28">
        <v>3</v>
      </c>
      <c r="AM42" s="79">
        <f>((($W$39)^Q42)*((1-($W$39))^($U$32-Q42))*HLOOKUP($U$32,$AV$24:$BF$34,Q42+1))*V46</f>
        <v>5.2016945101449913E-2</v>
      </c>
      <c r="AN42" s="28">
        <v>3</v>
      </c>
      <c r="AO42" s="79">
        <f>((($W$39)^Q42)*((1-($W$39))^($U$33-Q42))*HLOOKUP($U$33,$AV$24:$BF$34,Q42+1))*V47</f>
        <v>3.3830864485376817E-2</v>
      </c>
      <c r="AP42" s="28">
        <v>3</v>
      </c>
      <c r="AQ42" s="79">
        <f>((($W$39)^Q42)*((1-($W$39))^($U$34-Q42))*HLOOKUP($U$34,$AV$24:$BF$34,Q42+1))*V48</f>
        <v>1.2294832073581041E-2</v>
      </c>
      <c r="AR42" s="28">
        <v>3</v>
      </c>
      <c r="AS42" s="79">
        <f>((($W$39)^Q42)*((1-($W$39))^($U$35-Q42))*HLOOKUP($U$35,$AV$24:$BF$34,Q42+1))*V49</f>
        <v>1.9775911833535284E-3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9.0245301472055443E-6</v>
      </c>
      <c r="BP42">
        <f t="shared" si="34"/>
        <v>9</v>
      </c>
      <c r="BQ42">
        <v>3</v>
      </c>
      <c r="BR42" s="107">
        <f t="shared" si="35"/>
        <v>4.5458369390053067E-6</v>
      </c>
    </row>
    <row r="43" spans="1:70" ht="15" customHeight="1" x14ac:dyDescent="0.25">
      <c r="G43" s="91">
        <v>4</v>
      </c>
      <c r="H43" s="132">
        <f>J43*L39+J42*L40+J41*L41+J40*L42</f>
        <v>0.16014719318434101</v>
      </c>
      <c r="I43" s="93">
        <v>4</v>
      </c>
      <c r="J43" s="86">
        <f t="shared" si="33"/>
        <v>7.4263033876571447E-2</v>
      </c>
      <c r="K43" s="95">
        <v>4</v>
      </c>
      <c r="L43" s="86"/>
      <c r="M43" s="85">
        <v>4</v>
      </c>
      <c r="N43" s="71">
        <f>(($C$24)^M29)*((1-($C$24))^($B$21-M29))*HLOOKUP($B$21,$AV$24:$BF$34,M29+1)</f>
        <v>0.26846610714908153</v>
      </c>
      <c r="O43" s="72">
        <v>4</v>
      </c>
      <c r="P43" s="71">
        <f t="shared" si="36"/>
        <v>0.26846610714908153</v>
      </c>
      <c r="Q43" s="28">
        <v>4</v>
      </c>
      <c r="R43" s="37">
        <f>P43*N39+P42*N40+P41*N41+P40*N42+P39*N43</f>
        <v>0.10359422686536852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0.10293993014172316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9.1336461072706143E-4</v>
      </c>
      <c r="AH43" s="28">
        <v>4</v>
      </c>
      <c r="AI43" s="79">
        <f>((($W$39)^M43)*((1-($W$39))^($U$30-M43))*HLOOKUP($U$30,$AV$24:$BF$34,M43+1))*V44</f>
        <v>5.9155758824622814E-3</v>
      </c>
      <c r="AJ43" s="28">
        <v>4</v>
      </c>
      <c r="AK43" s="79">
        <f>((($W$39)^M43)*((1-($W$39))^($U$31-M43))*HLOOKUP($U$31,$AV$24:$BF$34,M43+1))*V45</f>
        <v>1.597461887772408E-2</v>
      </c>
      <c r="AL43" s="28">
        <v>4</v>
      </c>
      <c r="AM43" s="79">
        <f>((($W$39)^Q43)*((1-($W$39))^($U$32-Q43))*HLOOKUP($U$32,$AV$24:$BF$34,Q43+1))*V46</f>
        <v>2.3034143934051073E-2</v>
      </c>
      <c r="AN43" s="28">
        <v>4</v>
      </c>
      <c r="AO43" s="79">
        <f>((($W$39)^Q43)*((1-($W$39))^($U$33-Q43))*HLOOKUP($U$33,$AV$24:$BF$34,Q43+1))*V47</f>
        <v>1.8726229511597775E-2</v>
      </c>
      <c r="AP43" s="28">
        <v>4</v>
      </c>
      <c r="AQ43" s="79">
        <f>((($W$39)^Q43)*((1-($W$39))^($U$34-Q43))*HLOOKUP($U$34,$AV$24:$BF$34,Q43+1))*V48</f>
        <v>8.1665964160963205E-3</v>
      </c>
      <c r="AR43" s="28">
        <v>4</v>
      </c>
      <c r="AS43" s="79">
        <f>((($W$39)^Q43)*((1-($W$39))^($U$35-Q43))*HLOOKUP($U$35,$AV$24:$BF$34,Q43+1))*V49</f>
        <v>1.5325046439128587E-3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8.1320022299830156E-7</v>
      </c>
      <c r="BP43">
        <f t="shared" si="34"/>
        <v>9</v>
      </c>
      <c r="BQ43">
        <v>4</v>
      </c>
      <c r="BR43" s="107">
        <f t="shared" si="35"/>
        <v>2.8069172809524231E-6</v>
      </c>
    </row>
    <row r="44" spans="1:70" ht="15" customHeight="1" thickBot="1" x14ac:dyDescent="0.3">
      <c r="G44" s="91">
        <v>5</v>
      </c>
      <c r="H44" s="132">
        <f>J44*L39+J43*L40+J42*L41+J41*L42</f>
        <v>6.9132531485514695E-2</v>
      </c>
      <c r="I44" s="93">
        <v>5</v>
      </c>
      <c r="J44" s="86">
        <f t="shared" si="33"/>
        <v>2.0538007230950048E-2</v>
      </c>
      <c r="K44" s="95">
        <v>5</v>
      </c>
      <c r="L44" s="86"/>
      <c r="M44" s="85">
        <v>5</v>
      </c>
      <c r="N44" s="71">
        <f>(($C$24)^M30)*((1-($C$24))^($B$21-M30))*HLOOKUP($B$21,$AV$24:$BF$34,M30+1)</f>
        <v>8.3483399771431377E-2</v>
      </c>
      <c r="O44" s="72">
        <v>5</v>
      </c>
      <c r="P44" s="71">
        <f t="shared" si="36"/>
        <v>8.3483399771431377E-2</v>
      </c>
      <c r="Q44" s="28">
        <v>5</v>
      </c>
      <c r="R44" s="37">
        <f>P44*N39+P43*N40+P42*N41+P41*N42+P40*N43+P39*N44</f>
        <v>0.19328469460641567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0.19238839415945777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5.2390706937397303E-4</v>
      </c>
      <c r="AJ44" s="28">
        <v>5</v>
      </c>
      <c r="AK44" s="79">
        <f>((($W$39)^M44)*((1-($W$39))^($U$31-M44))*HLOOKUP($U$31,$AV$24:$BF$34,M44+1))*V45</f>
        <v>2.8295523299452612E-3</v>
      </c>
      <c r="AL44" s="28">
        <v>5</v>
      </c>
      <c r="AM44" s="79">
        <f>((($W$39)^Q44)*((1-($W$39))^($U$32-Q44))*HLOOKUP($U$32,$AV$24:$BF$34,Q44+1))*V46</f>
        <v>6.1199878509565833E-3</v>
      </c>
      <c r="AN44" s="28">
        <v>5</v>
      </c>
      <c r="AO44" s="79">
        <f>((($W$39)^Q44)*((1-($W$39))^($U$33-Q44))*HLOOKUP($U$33,$AV$24:$BF$34,Q44+1))*V47</f>
        <v>6.6338792494785685E-3</v>
      </c>
      <c r="AP44" s="28">
        <v>5</v>
      </c>
      <c r="AQ44" s="79">
        <f>((($W$39)^Q44)*((1-($W$39))^($U$34-Q44))*HLOOKUP($U$34,$AV$24:$BF$34,Q44+1))*V48</f>
        <v>3.6163322727390409E-3</v>
      </c>
      <c r="AR44" s="28">
        <v>5</v>
      </c>
      <c r="AS44" s="79">
        <f>((($W$39)^Q44)*((1-($W$39))^($U$35-Q44))*HLOOKUP($U$35,$AV$24:$BF$34,Q44+1))*V49</f>
        <v>8.1434845845662369E-4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5.8474678936302463E-4</v>
      </c>
      <c r="BP44">
        <f t="shared" si="34"/>
        <v>9</v>
      </c>
      <c r="BQ44">
        <v>5</v>
      </c>
      <c r="BR44" s="107">
        <f t="shared" si="35"/>
        <v>1.2116934018276169E-6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2.1628146334126443E-2</v>
      </c>
      <c r="I45" s="93">
        <v>6</v>
      </c>
      <c r="J45" s="86">
        <f t="shared" si="33"/>
        <v>3.9490863156174784E-3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0.25043607305592347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0.2498637457941961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2.0883039654921983E-4</v>
      </c>
      <c r="AL45" s="28">
        <v>6</v>
      </c>
      <c r="AM45" s="79">
        <f>((($W$39)^Q45)*((1-($W$39))^($U$32-Q45))*HLOOKUP($U$32,$AV$24:$BF$34,Q45+1))*V46</f>
        <v>9.0335101865134646E-4</v>
      </c>
      <c r="AN45" s="28">
        <v>6</v>
      </c>
      <c r="AO45" s="79">
        <f>((($W$39)^Q45)*((1-($W$39))^($U$33-Q45))*HLOOKUP($U$33,$AV$24:$BF$34,Q45+1))*V47</f>
        <v>1.4688072240265481E-3</v>
      </c>
      <c r="AP45" s="28">
        <v>6</v>
      </c>
      <c r="AQ45" s="79">
        <f>((($W$39)^Q45)*((1-($W$39))^($U$34-Q45))*HLOOKUP($U$34,$AV$24:$BF$34,Q45+1))*V48</f>
        <v>1.067589518776555E-3</v>
      </c>
      <c r="AR45" s="28">
        <v>6</v>
      </c>
      <c r="AS45" s="79">
        <f>((($W$39)^Q45)*((1-($W$39))^($U$35-Q45))*HLOOKUP($U$35,$AV$24:$BF$34,Q45+1))*V49</f>
        <v>3.0050815761380965E-4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1.3496523213257883E-4</v>
      </c>
      <c r="BP45">
        <f t="shared" si="34"/>
        <v>9</v>
      </c>
      <c r="BQ45">
        <v>6</v>
      </c>
      <c r="BR45" s="107">
        <f t="shared" si="35"/>
        <v>3.790788742100995E-7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4.991986007759925E-3</v>
      </c>
      <c r="I46" s="93">
        <v>7</v>
      </c>
      <c r="J46" s="86">
        <f t="shared" si="33"/>
        <v>5.2162720538920801E-4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0.22250486052182239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0.22278204558238882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5.7145986194648618E-5</v>
      </c>
      <c r="AN46" s="28">
        <v>7</v>
      </c>
      <c r="AO46" s="79">
        <f>((($W$39)^Q46)*((1-($W$39))^($U$33-Q46))*HLOOKUP($U$33,$AV$24:$BF$34,Q46+1))*V47</f>
        <v>1.8583349243826347E-4</v>
      </c>
      <c r="AP46" s="28">
        <v>7</v>
      </c>
      <c r="AQ46" s="79">
        <f>((($W$39)^Q46)*((1-($W$39))^($U$34-Q46))*HLOOKUP($U$34,$AV$24:$BF$34,Q46+1))*V48</f>
        <v>2.0260714154937971E-4</v>
      </c>
      <c r="AR46" s="28">
        <v>7</v>
      </c>
      <c r="AS46" s="79">
        <f>((($W$39)^Q46)*((1-($W$39))^($U$35-Q46))*HLOOKUP($U$35,$AV$24:$BF$34,Q46+1))*V49</f>
        <v>7.6040585206916208E-5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2.3082756035645862E-5</v>
      </c>
      <c r="BP46">
        <f t="shared" si="34"/>
        <v>9</v>
      </c>
      <c r="BQ46">
        <v>7</v>
      </c>
      <c r="BR46" s="107">
        <f t="shared" si="35"/>
        <v>8.7495081948299263E-8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8.5376650956513547E-4</v>
      </c>
      <c r="I47" s="93">
        <v>8</v>
      </c>
      <c r="J47" s="86">
        <f t="shared" si="33"/>
        <v>4.5343082072286314E-5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0.12973329123800784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0.13065938592192725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1.0286348526047516E-5</v>
      </c>
      <c r="AP47" s="28">
        <v>8</v>
      </c>
      <c r="AQ47" s="79">
        <f>((($W$39)^Q47)*((1-($W$39))^($U$34-Q47))*HLOOKUP($U$34,$AV$24:$BF$34,Q47+1))*V48</f>
        <v>2.2429623901466814E-5</v>
      </c>
      <c r="AR47" s="28">
        <v>8</v>
      </c>
      <c r="AS47" s="79">
        <f>((($W$39)^Q47)*((1-($W$39))^($U$35-Q47))*HLOOKUP($U$35,$AV$24:$BF$34,Q47+1))*V49</f>
        <v>1.2627109644771989E-5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2.9006666698300429E-6</v>
      </c>
      <c r="BP47">
        <f>BL12+1</f>
        <v>9</v>
      </c>
      <c r="BQ47">
        <v>8</v>
      </c>
      <c r="BR47" s="107">
        <f t="shared" si="35"/>
        <v>1.496405851358457E-8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1.0728753768780315E-4</v>
      </c>
      <c r="I48" s="93">
        <v>9</v>
      </c>
      <c r="J48" s="86">
        <f t="shared" si="33"/>
        <v>2.3461510800808642E-6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4.4824926696413407E-2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4.5674206921947909E-2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1.1035873541366376E-6</v>
      </c>
      <c r="AR48" s="28">
        <v>9</v>
      </c>
      <c r="AS48" s="79">
        <f>((($W$39)^Q48)*((1-($W$39))^($U$35-Q48))*HLOOKUP($U$35,$AV$24:$BF$34,Q48+1))*V49</f>
        <v>1.2425637259442266E-6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2.6137901300933033E-7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9.6676777792887202E-6</v>
      </c>
      <c r="I49" s="94">
        <v>10</v>
      </c>
      <c r="J49" s="89">
        <f t="shared" si="33"/>
        <v>5.5023207638989763E-8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6.9694780373966286E-3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7.4198500134743384E-3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5.5023207638989763E-8</v>
      </c>
      <c r="BH49">
        <f>BP14+1</f>
        <v>6</v>
      </c>
      <c r="BI49">
        <v>0</v>
      </c>
      <c r="BJ49" s="107">
        <f>$H$31*H39</f>
        <v>2.7294938100750357E-4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3.2453917896647764E-5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5.5505099896640147E-6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6.9749813682188476E-7</v>
      </c>
    </row>
    <row r="53" spans="1:62" x14ac:dyDescent="0.25">
      <c r="BH53">
        <f>BH48+1</f>
        <v>6</v>
      </c>
      <c r="BI53">
        <v>10</v>
      </c>
      <c r="BJ53" s="107">
        <f>$H$31*H49</f>
        <v>6.2851542534886687E-8</v>
      </c>
    </row>
    <row r="54" spans="1:62" x14ac:dyDescent="0.25">
      <c r="BH54">
        <f>BH51+1</f>
        <v>7</v>
      </c>
      <c r="BI54">
        <v>8</v>
      </c>
      <c r="BJ54" s="107">
        <f>$H$32*H47</f>
        <v>1.014677654831577E-6</v>
      </c>
    </row>
    <row r="55" spans="1:62" x14ac:dyDescent="0.25">
      <c r="BH55">
        <f>BH52+1</f>
        <v>7</v>
      </c>
      <c r="BI55">
        <v>9</v>
      </c>
      <c r="BJ55" s="107">
        <f>$H$32*H48</f>
        <v>1.2750824249262641E-7</v>
      </c>
    </row>
    <row r="56" spans="1:62" x14ac:dyDescent="0.25">
      <c r="BH56">
        <f>BH53+1</f>
        <v>7</v>
      </c>
      <c r="BI56">
        <v>10</v>
      </c>
      <c r="BJ56" s="107">
        <f>$H$32*H49</f>
        <v>1.1489765066742333E-8</v>
      </c>
    </row>
    <row r="57" spans="1:62" x14ac:dyDescent="0.25">
      <c r="BH57">
        <f>BH55+1</f>
        <v>8</v>
      </c>
      <c r="BI57">
        <v>9</v>
      </c>
      <c r="BJ57" s="107">
        <f>$H$33*H48</f>
        <v>1.7793697151070473E-8</v>
      </c>
    </row>
    <row r="58" spans="1:62" x14ac:dyDescent="0.25">
      <c r="BH58">
        <f>BH56+1</f>
        <v>8</v>
      </c>
      <c r="BI58">
        <v>10</v>
      </c>
      <c r="BJ58" s="107">
        <f>$H$33*H49</f>
        <v>1.60338967848596E-9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1.6944644040142075E-10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01" t="s">
        <v>130</v>
      </c>
      <c r="C3" s="20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Marmota-VADER</vt:lpstr>
      <vt:lpstr>MARMOTA</vt:lpstr>
      <vt:lpstr>Future-VADER</vt:lpstr>
      <vt:lpstr>OBIWAN-Orinteers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2017-11-22T14:21:24Z</dcterms:modified>
</cp:coreProperties>
</file>