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9" activeTab="17"/>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8" i="32"/>
  <c r="AD16" i="32"/>
  <c r="AD12" i="32"/>
  <c r="AD17" i="32"/>
  <c r="AD9" i="32"/>
  <c r="AD5" i="32"/>
  <c r="AD15" i="32" l="1"/>
  <c r="AD11" i="32"/>
  <c r="AD8" i="32"/>
  <c r="D25" i="83" l="1"/>
  <c r="D26" i="83"/>
  <c r="D27" i="83"/>
  <c r="D28" i="83"/>
  <c r="D24" i="83"/>
  <c r="AC8" i="32" l="1"/>
  <c r="Z20" i="32" l="1"/>
  <c r="Z22" i="32"/>
  <c r="Z23" i="32"/>
  <c r="Z19" i="32"/>
  <c r="Z18" i="32"/>
  <c r="Z16" i="32"/>
  <c r="Z13" i="32"/>
  <c r="Z14" i="32"/>
  <c r="Z12" i="32"/>
  <c r="Z11"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4" i="49"/>
  <c r="V4" i="49" l="1"/>
  <c r="V9" i="49"/>
  <c r="V13" i="49"/>
  <c r="V16" i="49"/>
  <c r="V19" i="49"/>
  <c r="V12" i="49"/>
  <c r="V22" i="49"/>
  <c r="V14" i="49"/>
  <c r="V5" i="49"/>
  <c r="V8" i="49"/>
  <c r="V11" i="49"/>
  <c r="V3" i="49"/>
  <c r="V6" i="49"/>
  <c r="V15" i="49"/>
  <c r="V7" i="49"/>
  <c r="V10" i="49"/>
  <c r="V21"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8"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3" i="83" l="1"/>
  <c r="D5" i="83"/>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2" i="49" l="1"/>
  <c r="O3" i="49" l="1"/>
  <c r="O19" i="49"/>
  <c r="O23" i="49"/>
  <c r="O10" i="49"/>
  <c r="O4" i="49"/>
  <c r="O17" i="49"/>
  <c r="O6" i="49"/>
  <c r="O16" i="49"/>
  <c r="O18" i="49"/>
  <c r="O12" i="49"/>
  <c r="O8" i="49"/>
  <c r="O5" i="49"/>
  <c r="O14" i="49"/>
  <c r="O7" i="49"/>
  <c r="O11" i="49"/>
  <c r="O13" i="49"/>
  <c r="O21" i="49"/>
  <c r="O20"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19" i="49" l="1"/>
  <c r="U21"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5"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3" i="32" l="1"/>
  <c r="F22" i="32"/>
  <c r="F11" i="32"/>
  <c r="F13" i="32"/>
  <c r="F9" i="32"/>
  <c r="F7" i="32"/>
  <c r="D15" i="111" s="1"/>
  <c r="F15" i="32"/>
  <c r="F6" i="32"/>
  <c r="F14" i="32"/>
  <c r="F18" i="32"/>
  <c r="F20" i="32"/>
  <c r="D12" i="111" s="1"/>
  <c r="F8" i="32"/>
  <c r="F16" i="32"/>
  <c r="F17" i="32"/>
  <c r="F12" i="32"/>
  <c r="F21" i="32"/>
  <c r="F10" i="32"/>
  <c r="F1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<sst xmlns="http://schemas.openxmlformats.org/spreadsheetml/2006/main" count="4181" uniqueCount="881">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</sst>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7772416"/>
        <c:axId val="277766144"/>
      </c:barChart>
      <c:catAx>
        <c:axId val="277772416"/>
        <c:scaling>
          <c:orientation val="minMax"/>
        </c:scaling>
        <c:delete val="0"/>
        <c:axPos val="b"/>
        <c:numFmt formatCode="General" sourceLinked="1"/>
        <c:majorTickMark val="out"/>
        <c:minorTickMark val="none"/>
        <c:tickLblPos val="nextTo"/>
        <c:crossAx val="277766144"/>
        <c:crosses val="autoZero"/>
        <c:auto val="1"/>
        <c:lblAlgn val="ctr"/>
        <c:lblOffset val="100"/>
        <c:noMultiLvlLbl val="0"/>
      </c:catAx>
      <c:valAx>
        <c:axId val="277766144"/>
        <c:scaling>
          <c:orientation val="minMax"/>
        </c:scaling>
        <c:delete val="0"/>
        <c:axPos val="l"/>
        <c:majorGridlines/>
        <c:numFmt formatCode="_-* #,##0\ [$€-C0A]_-;\-* #,##0\ [$€-C0A]_-;_-* &quot;-&quot;??\ [$€-C0A]_-;_-@_-" sourceLinked="1"/>
        <c:majorTickMark val="out"/>
        <c:minorTickMark val="none"/>
        <c:tickLblPos val="nextTo"/>
        <c:crossAx val="277772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3210824"/>
        <c:axId val="123211216"/>
      </c:barChart>
      <c:catAx>
        <c:axId val="123210824"/>
        <c:scaling>
          <c:orientation val="minMax"/>
        </c:scaling>
        <c:delete val="0"/>
        <c:axPos val="b"/>
        <c:numFmt formatCode="General" sourceLinked="1"/>
        <c:majorTickMark val="out"/>
        <c:minorTickMark val="none"/>
        <c:tickLblPos val="nextTo"/>
        <c:crossAx val="123211216"/>
        <c:crosses val="autoZero"/>
        <c:auto val="1"/>
        <c:lblAlgn val="ctr"/>
        <c:lblOffset val="100"/>
        <c:noMultiLvlLbl val="0"/>
      </c:catAx>
      <c:valAx>
        <c:axId val="123211216"/>
        <c:scaling>
          <c:orientation val="minMax"/>
        </c:scaling>
        <c:delete val="0"/>
        <c:axPos val="l"/>
        <c:majorGridlines/>
        <c:numFmt formatCode="_-* #,##0\ [$€-C0A]_-;\-* #,##0\ [$€-C0A]_-;_-* &quot;-&quot;??\ [$€-C0A]_-;_-@_-" sourceLinked="1"/>
        <c:majorTickMark val="out"/>
        <c:minorTickMark val="none"/>
        <c:tickLblPos val="nextTo"/>
        <c:crossAx val="123210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26155616"/>
        <c:axId val="126152872"/>
      </c:barChart>
      <c:catAx>
        <c:axId val="126155616"/>
        <c:scaling>
          <c:orientation val="minMax"/>
        </c:scaling>
        <c:delete val="0"/>
        <c:axPos val="b"/>
        <c:numFmt formatCode="General" sourceLinked="1"/>
        <c:majorTickMark val="out"/>
        <c:minorTickMark val="none"/>
        <c:tickLblPos val="nextTo"/>
        <c:crossAx val="126152872"/>
        <c:crosses val="autoZero"/>
        <c:auto val="1"/>
        <c:lblAlgn val="ctr"/>
        <c:lblOffset val="100"/>
        <c:noMultiLvlLbl val="0"/>
      </c:catAx>
      <c:valAx>
        <c:axId val="126152872"/>
        <c:scaling>
          <c:orientation val="minMax"/>
        </c:scaling>
        <c:delete val="0"/>
        <c:axPos val="l"/>
        <c:majorGridlines/>
        <c:numFmt formatCode="_-* #,##0\ [$€-C0A]_-;\-* #,##0\ [$€-C0A]_-;_-* &quot;-&quot;??\ [$€-C0A]_-;_-@_-" sourceLinked="1"/>
        <c:majorTickMark val="out"/>
        <c:minorTickMark val="none"/>
        <c:tickLblPos val="nextTo"/>
        <c:crossAx val="126155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6157968"/>
        <c:axId val="126156008"/>
      </c:barChart>
      <c:catAx>
        <c:axId val="126157968"/>
        <c:scaling>
          <c:orientation val="minMax"/>
        </c:scaling>
        <c:delete val="0"/>
        <c:axPos val="b"/>
        <c:numFmt formatCode="General" sourceLinked="1"/>
        <c:majorTickMark val="out"/>
        <c:minorTickMark val="none"/>
        <c:tickLblPos val="nextTo"/>
        <c:crossAx val="126156008"/>
        <c:crosses val="autoZero"/>
        <c:auto val="1"/>
        <c:lblAlgn val="ctr"/>
        <c:lblOffset val="100"/>
        <c:noMultiLvlLbl val="0"/>
      </c:catAx>
      <c:valAx>
        <c:axId val="126156008"/>
        <c:scaling>
          <c:orientation val="minMax"/>
        </c:scaling>
        <c:delete val="0"/>
        <c:axPos val="l"/>
        <c:majorGridlines/>
        <c:numFmt formatCode="_-* #,##0\ [$€-C0A]_-;\-* #,##0\ [$€-C0A]_-;_-* &quot;-&quot;??\ [$€-C0A]_-;_-@_-" sourceLinked="1"/>
        <c:majorTickMark val="out"/>
        <c:minorTickMark val="none"/>
        <c:tickLblPos val="nextTo"/>
        <c:crossAx val="126157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126158360"/>
        <c:axId val="126153264"/>
      </c:barChart>
      <c:catAx>
        <c:axId val="126158360"/>
        <c:scaling>
          <c:orientation val="minMax"/>
        </c:scaling>
        <c:delete val="0"/>
        <c:axPos val="b"/>
        <c:numFmt formatCode="General" sourceLinked="1"/>
        <c:majorTickMark val="out"/>
        <c:minorTickMark val="none"/>
        <c:tickLblPos val="nextTo"/>
        <c:crossAx val="126153264"/>
        <c:crosses val="autoZero"/>
        <c:auto val="1"/>
        <c:lblAlgn val="ctr"/>
        <c:lblOffset val="100"/>
        <c:noMultiLvlLbl val="0"/>
      </c:catAx>
      <c:valAx>
        <c:axId val="126153264"/>
        <c:scaling>
          <c:orientation val="minMax"/>
        </c:scaling>
        <c:delete val="0"/>
        <c:axPos val="l"/>
        <c:majorGridlines/>
        <c:numFmt formatCode="_-* #,##0\ [$€-C0A]_-;\-* #,##0\ [$€-C0A]_-;_-* &quot;-&quot;??\ [$€-C0A]_-;_-@_-" sourceLinked="1"/>
        <c:majorTickMark val="out"/>
        <c:minorTickMark val="none"/>
        <c:tickLblPos val="nextTo"/>
        <c:crossAx val="126158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126156792"/>
        <c:axId val="126153656"/>
      </c:barChart>
      <c:catAx>
        <c:axId val="126156792"/>
        <c:scaling>
          <c:orientation val="minMax"/>
        </c:scaling>
        <c:delete val="0"/>
        <c:axPos val="b"/>
        <c:numFmt formatCode="General" sourceLinked="1"/>
        <c:majorTickMark val="out"/>
        <c:minorTickMark val="none"/>
        <c:tickLblPos val="nextTo"/>
        <c:crossAx val="126153656"/>
        <c:crosses val="autoZero"/>
        <c:auto val="1"/>
        <c:lblAlgn val="ctr"/>
        <c:lblOffset val="100"/>
        <c:noMultiLvlLbl val="0"/>
      </c:catAx>
      <c:valAx>
        <c:axId val="126153656"/>
        <c:scaling>
          <c:orientation val="minMax"/>
        </c:scaling>
        <c:delete val="0"/>
        <c:axPos val="l"/>
        <c:majorGridlines/>
        <c:numFmt formatCode="_-* #,##0\ [$€-C0A]_-;\-* #,##0\ [$€-C0A]_-;_-* &quot;-&quot;??\ [$€-C0A]_-;_-@_-" sourceLinked="1"/>
        <c:majorTickMark val="out"/>
        <c:minorTickMark val="none"/>
        <c:tickLblPos val="nextTo"/>
        <c:crossAx val="126156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26156400"/>
        <c:axId val="126154832"/>
      </c:barChart>
      <c:catAx>
        <c:axId val="126156400"/>
        <c:scaling>
          <c:orientation val="minMax"/>
        </c:scaling>
        <c:delete val="0"/>
        <c:axPos val="b"/>
        <c:numFmt formatCode="General" sourceLinked="1"/>
        <c:majorTickMark val="out"/>
        <c:minorTickMark val="none"/>
        <c:tickLblPos val="nextTo"/>
        <c:crossAx val="126154832"/>
        <c:crosses val="autoZero"/>
        <c:auto val="1"/>
        <c:lblAlgn val="ctr"/>
        <c:lblOffset val="100"/>
        <c:noMultiLvlLbl val="0"/>
      </c:catAx>
      <c:valAx>
        <c:axId val="126154832"/>
        <c:scaling>
          <c:orientation val="minMax"/>
        </c:scaling>
        <c:delete val="0"/>
        <c:axPos val="l"/>
        <c:majorGridlines/>
        <c:numFmt formatCode="_-* #,##0\ [$€-C0A]_-;\-* #,##0\ [$€-C0A]_-;_-* &quot;-&quot;??\ [$€-C0A]_-;_-@_-" sourceLinked="1"/>
        <c:majorTickMark val="out"/>
        <c:minorTickMark val="none"/>
        <c:tickLblPos val="nextTo"/>
        <c:crossAx val="126156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6159144"/>
        <c:axId val="126159536"/>
      </c:barChart>
      <c:catAx>
        <c:axId val="126159144"/>
        <c:scaling>
          <c:orientation val="minMax"/>
        </c:scaling>
        <c:delete val="0"/>
        <c:axPos val="b"/>
        <c:numFmt formatCode="General" sourceLinked="1"/>
        <c:majorTickMark val="out"/>
        <c:minorTickMark val="none"/>
        <c:tickLblPos val="nextTo"/>
        <c:crossAx val="126159536"/>
        <c:crosses val="autoZero"/>
        <c:auto val="1"/>
        <c:lblAlgn val="ctr"/>
        <c:lblOffset val="100"/>
        <c:noMultiLvlLbl val="0"/>
      </c:catAx>
      <c:valAx>
        <c:axId val="126159536"/>
        <c:scaling>
          <c:orientation val="minMax"/>
        </c:scaling>
        <c:delete val="0"/>
        <c:axPos val="l"/>
        <c:majorGridlines/>
        <c:numFmt formatCode="_-* #,##0\ [$€-C0A]_-;\-* #,##0\ [$€-C0A]_-;_-* &quot;-&quot;??\ [$€-C0A]_-;_-@_-" sourceLinked="1"/>
        <c:majorTickMark val="out"/>
        <c:minorTickMark val="none"/>
        <c:tickLblPos val="nextTo"/>
        <c:crossAx val="126159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6160320"/>
        <c:axId val="126154440"/>
      </c:barChart>
      <c:catAx>
        <c:axId val="126160320"/>
        <c:scaling>
          <c:orientation val="minMax"/>
        </c:scaling>
        <c:delete val="0"/>
        <c:axPos val="b"/>
        <c:numFmt formatCode="General" sourceLinked="1"/>
        <c:majorTickMark val="out"/>
        <c:minorTickMark val="none"/>
        <c:tickLblPos val="nextTo"/>
        <c:crossAx val="126154440"/>
        <c:crosses val="autoZero"/>
        <c:auto val="1"/>
        <c:lblAlgn val="ctr"/>
        <c:lblOffset val="100"/>
        <c:noMultiLvlLbl val="0"/>
      </c:catAx>
      <c:valAx>
        <c:axId val="126154440"/>
        <c:scaling>
          <c:orientation val="minMax"/>
        </c:scaling>
        <c:delete val="0"/>
        <c:axPos val="l"/>
        <c:majorGridlines/>
        <c:numFmt formatCode="_-* #,##0\ [$€-C0A]_-;\-* #,##0\ [$€-C0A]_-;_-* &quot;-&quot;??\ [$€-C0A]_-;_-@_-" sourceLinked="1"/>
        <c:majorTickMark val="out"/>
        <c:minorTickMark val="none"/>
        <c:tickLblPos val="nextTo"/>
        <c:crossAx val="126160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7305720"/>
        <c:axId val="127308856"/>
      </c:barChart>
      <c:catAx>
        <c:axId val="127305720"/>
        <c:scaling>
          <c:orientation val="minMax"/>
        </c:scaling>
        <c:delete val="0"/>
        <c:axPos val="b"/>
        <c:numFmt formatCode="General" sourceLinked="1"/>
        <c:majorTickMark val="out"/>
        <c:minorTickMark val="none"/>
        <c:tickLblPos val="nextTo"/>
        <c:crossAx val="127308856"/>
        <c:crosses val="autoZero"/>
        <c:auto val="1"/>
        <c:lblAlgn val="ctr"/>
        <c:lblOffset val="100"/>
        <c:noMultiLvlLbl val="0"/>
      </c:catAx>
      <c:valAx>
        <c:axId val="127308856"/>
        <c:scaling>
          <c:orientation val="minMax"/>
        </c:scaling>
        <c:delete val="0"/>
        <c:axPos val="l"/>
        <c:majorGridlines/>
        <c:numFmt formatCode="_-* #,##0\ [$€-C0A]_-;\-* #,##0\ [$€-C0A]_-;_-* &quot;-&quot;??\ [$€-C0A]_-;_-@_-" sourceLinked="1"/>
        <c:majorTickMark val="out"/>
        <c:minorTickMark val="none"/>
        <c:tickLblPos val="nextTo"/>
        <c:crossAx val="127305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27303760"/>
        <c:axId val="127304936"/>
      </c:barChart>
      <c:catAx>
        <c:axId val="127303760"/>
        <c:scaling>
          <c:orientation val="minMax"/>
        </c:scaling>
        <c:delete val="0"/>
        <c:axPos val="b"/>
        <c:numFmt formatCode="General" sourceLinked="1"/>
        <c:majorTickMark val="out"/>
        <c:minorTickMark val="none"/>
        <c:tickLblPos val="nextTo"/>
        <c:crossAx val="127304936"/>
        <c:crosses val="autoZero"/>
        <c:auto val="1"/>
        <c:lblAlgn val="ctr"/>
        <c:lblOffset val="100"/>
        <c:noMultiLvlLbl val="0"/>
      </c:catAx>
      <c:valAx>
        <c:axId val="127304936"/>
        <c:scaling>
          <c:orientation val="minMax"/>
        </c:scaling>
        <c:delete val="0"/>
        <c:axPos val="l"/>
        <c:majorGridlines/>
        <c:numFmt formatCode="_-* #,##0\ [$€-C0A]_-;\-* #,##0\ [$€-C0A]_-;_-* &quot;-&quot;??\ [$€-C0A]_-;_-@_-" sourceLinked="1"/>
        <c:majorTickMark val="out"/>
        <c:minorTickMark val="none"/>
        <c:tickLblPos val="nextTo"/>
        <c:crossAx val="127303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766536"/>
        <c:axId val="277771240"/>
      </c:barChart>
      <c:catAx>
        <c:axId val="277766536"/>
        <c:scaling>
          <c:orientation val="minMax"/>
        </c:scaling>
        <c:delete val="0"/>
        <c:axPos val="b"/>
        <c:numFmt formatCode="General" sourceLinked="1"/>
        <c:majorTickMark val="out"/>
        <c:minorTickMark val="none"/>
        <c:tickLblPos val="nextTo"/>
        <c:crossAx val="277771240"/>
        <c:crosses val="autoZero"/>
        <c:auto val="1"/>
        <c:lblAlgn val="ctr"/>
        <c:lblOffset val="100"/>
        <c:noMultiLvlLbl val="0"/>
      </c:catAx>
      <c:valAx>
        <c:axId val="277771240"/>
        <c:scaling>
          <c:orientation val="minMax"/>
        </c:scaling>
        <c:delete val="0"/>
        <c:axPos val="l"/>
        <c:majorGridlines/>
        <c:numFmt formatCode="_-* #,##0\ [$€-C0A]_-;\-* #,##0\ [$€-C0A]_-;_-* &quot;-&quot;??\ [$€-C0A]_-;_-@_-" sourceLinked="1"/>
        <c:majorTickMark val="out"/>
        <c:minorTickMark val="none"/>
        <c:tickLblPos val="nextTo"/>
        <c:crossAx val="277766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7309248"/>
        <c:axId val="127311208"/>
      </c:barChart>
      <c:catAx>
        <c:axId val="127309248"/>
        <c:scaling>
          <c:orientation val="minMax"/>
        </c:scaling>
        <c:delete val="0"/>
        <c:axPos val="b"/>
        <c:numFmt formatCode="General" sourceLinked="1"/>
        <c:majorTickMark val="out"/>
        <c:minorTickMark val="none"/>
        <c:tickLblPos val="nextTo"/>
        <c:crossAx val="127311208"/>
        <c:crosses val="autoZero"/>
        <c:auto val="1"/>
        <c:lblAlgn val="ctr"/>
        <c:lblOffset val="100"/>
        <c:noMultiLvlLbl val="0"/>
      </c:catAx>
      <c:valAx>
        <c:axId val="127311208"/>
        <c:scaling>
          <c:orientation val="minMax"/>
        </c:scaling>
        <c:delete val="0"/>
        <c:axPos val="l"/>
        <c:majorGridlines/>
        <c:numFmt formatCode="_-* #,##0\ [$€-C0A]_-;\-* #,##0\ [$€-C0A]_-;_-* &quot;-&quot;??\ [$€-C0A]_-;_-@_-" sourceLinked="1"/>
        <c:majorTickMark val="out"/>
        <c:minorTickMark val="none"/>
        <c:tickLblPos val="nextTo"/>
        <c:crossAx val="127309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27308072"/>
        <c:axId val="127304152"/>
      </c:barChart>
      <c:catAx>
        <c:axId val="127308072"/>
        <c:scaling>
          <c:orientation val="minMax"/>
        </c:scaling>
        <c:delete val="0"/>
        <c:axPos val="b"/>
        <c:numFmt formatCode="General" sourceLinked="1"/>
        <c:majorTickMark val="out"/>
        <c:minorTickMark val="none"/>
        <c:tickLblPos val="nextTo"/>
        <c:crossAx val="127304152"/>
        <c:crosses val="autoZero"/>
        <c:auto val="1"/>
        <c:lblAlgn val="ctr"/>
        <c:lblOffset val="100"/>
        <c:noMultiLvlLbl val="0"/>
      </c:catAx>
      <c:valAx>
        <c:axId val="127304152"/>
        <c:scaling>
          <c:orientation val="minMax"/>
        </c:scaling>
        <c:delete val="0"/>
        <c:axPos val="l"/>
        <c:majorGridlines/>
        <c:numFmt formatCode="_-* #,##0\ [$€-C0A]_-;\-* #,##0\ [$€-C0A]_-;_-* &quot;-&quot;??\ [$€-C0A]_-;_-@_-" sourceLinked="1"/>
        <c:majorTickMark val="out"/>
        <c:minorTickMark val="none"/>
        <c:tickLblPos val="nextTo"/>
        <c:crossAx val="127308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7306896"/>
        <c:axId val="127309640"/>
      </c:barChart>
      <c:catAx>
        <c:axId val="127306896"/>
        <c:scaling>
          <c:orientation val="minMax"/>
        </c:scaling>
        <c:delete val="0"/>
        <c:axPos val="b"/>
        <c:numFmt formatCode="General" sourceLinked="1"/>
        <c:majorTickMark val="out"/>
        <c:minorTickMark val="none"/>
        <c:tickLblPos val="nextTo"/>
        <c:crossAx val="127309640"/>
        <c:crosses val="autoZero"/>
        <c:auto val="1"/>
        <c:lblAlgn val="ctr"/>
        <c:lblOffset val="100"/>
        <c:noMultiLvlLbl val="0"/>
      </c:catAx>
      <c:valAx>
        <c:axId val="127309640"/>
        <c:scaling>
          <c:orientation val="minMax"/>
        </c:scaling>
        <c:delete val="0"/>
        <c:axPos val="l"/>
        <c:majorGridlines/>
        <c:numFmt formatCode="_-* #,##0\ [$€-C0A]_-;\-* #,##0\ [$€-C0A]_-;_-* &quot;-&quot;??\ [$€-C0A]_-;_-@_-" sourceLinked="1"/>
        <c:majorTickMark val="out"/>
        <c:minorTickMark val="none"/>
        <c:tickLblPos val="nextTo"/>
        <c:crossAx val="127306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27310424"/>
        <c:axId val="127307288"/>
      </c:lineChart>
      <c:catAx>
        <c:axId val="127310424"/>
        <c:scaling>
          <c:orientation val="minMax"/>
        </c:scaling>
        <c:delete val="0"/>
        <c:axPos val="b"/>
        <c:numFmt formatCode="General" sourceLinked="0"/>
        <c:majorTickMark val="out"/>
        <c:minorTickMark val="none"/>
        <c:tickLblPos val="nextTo"/>
        <c:crossAx val="127307288"/>
        <c:crosses val="autoZero"/>
        <c:auto val="1"/>
        <c:lblAlgn val="ctr"/>
        <c:lblOffset val="100"/>
        <c:noMultiLvlLbl val="0"/>
      </c:catAx>
      <c:valAx>
        <c:axId val="127307288"/>
        <c:scaling>
          <c:orientation val="minMax"/>
          <c:min val="0"/>
        </c:scaling>
        <c:delete val="0"/>
        <c:axPos val="l"/>
        <c:majorGridlines/>
        <c:numFmt formatCode="General" sourceLinked="1"/>
        <c:majorTickMark val="out"/>
        <c:minorTickMark val="none"/>
        <c:tickLblPos val="nextTo"/>
        <c:crossAx val="12731042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768496"/>
        <c:axId val="277768888"/>
      </c:barChart>
      <c:catAx>
        <c:axId val="277768496"/>
        <c:scaling>
          <c:orientation val="minMax"/>
        </c:scaling>
        <c:delete val="0"/>
        <c:axPos val="b"/>
        <c:numFmt formatCode="General" sourceLinked="1"/>
        <c:majorTickMark val="out"/>
        <c:minorTickMark val="none"/>
        <c:tickLblPos val="nextTo"/>
        <c:crossAx val="277768888"/>
        <c:crosses val="autoZero"/>
        <c:auto val="1"/>
        <c:lblAlgn val="ctr"/>
        <c:lblOffset val="100"/>
        <c:noMultiLvlLbl val="0"/>
      </c:catAx>
      <c:valAx>
        <c:axId val="277768888"/>
        <c:scaling>
          <c:orientation val="minMax"/>
        </c:scaling>
        <c:delete val="0"/>
        <c:axPos val="l"/>
        <c:majorGridlines/>
        <c:numFmt formatCode="_-* #,##0\ [$€-C0A]_-;\-* #,##0\ [$€-C0A]_-;_-* &quot;-&quot;??\ [$€-C0A]_-;_-@_-" sourceLinked="1"/>
        <c:majorTickMark val="out"/>
        <c:minorTickMark val="none"/>
        <c:tickLblPos val="nextTo"/>
        <c:crossAx val="27776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772808"/>
        <c:axId val="277773200"/>
      </c:barChart>
      <c:catAx>
        <c:axId val="277772808"/>
        <c:scaling>
          <c:orientation val="minMax"/>
        </c:scaling>
        <c:delete val="0"/>
        <c:axPos val="b"/>
        <c:numFmt formatCode="General" sourceLinked="1"/>
        <c:majorTickMark val="out"/>
        <c:minorTickMark val="none"/>
        <c:tickLblPos val="nextTo"/>
        <c:crossAx val="277773200"/>
        <c:crosses val="autoZero"/>
        <c:auto val="1"/>
        <c:lblAlgn val="ctr"/>
        <c:lblOffset val="100"/>
        <c:noMultiLvlLbl val="0"/>
      </c:catAx>
      <c:valAx>
        <c:axId val="277773200"/>
        <c:scaling>
          <c:orientation val="minMax"/>
        </c:scaling>
        <c:delete val="0"/>
        <c:axPos val="l"/>
        <c:majorGridlines/>
        <c:numFmt formatCode="_-* #,##0\ [$€-C0A]_-;\-* #,##0\ [$€-C0A]_-;_-* &quot;-&quot;??\ [$€-C0A]_-;_-@_-" sourceLinked="1"/>
        <c:majorTickMark val="out"/>
        <c:minorTickMark val="none"/>
        <c:tickLblPos val="nextTo"/>
        <c:crossAx val="2777728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123215136"/>
        <c:axId val="123213568"/>
      </c:barChart>
      <c:catAx>
        <c:axId val="123215136"/>
        <c:scaling>
          <c:orientation val="minMax"/>
        </c:scaling>
        <c:delete val="0"/>
        <c:axPos val="b"/>
        <c:numFmt formatCode="General" sourceLinked="1"/>
        <c:majorTickMark val="out"/>
        <c:minorTickMark val="none"/>
        <c:tickLblPos val="nextTo"/>
        <c:crossAx val="123213568"/>
        <c:crosses val="autoZero"/>
        <c:auto val="1"/>
        <c:lblAlgn val="ctr"/>
        <c:lblOffset val="100"/>
        <c:noMultiLvlLbl val="0"/>
      </c:catAx>
      <c:valAx>
        <c:axId val="123213568"/>
        <c:scaling>
          <c:orientation val="minMax"/>
        </c:scaling>
        <c:delete val="0"/>
        <c:axPos val="l"/>
        <c:majorGridlines/>
        <c:numFmt formatCode="_-* #,##0\ [$€-C0A]_-;\-* #,##0\ [$€-C0A]_-;_-* &quot;-&quot;??\ [$€-C0A]_-;_-@_-" sourceLinked="1"/>
        <c:majorTickMark val="out"/>
        <c:minorTickMark val="none"/>
        <c:tickLblPos val="nextTo"/>
        <c:crossAx val="123215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3217096"/>
        <c:axId val="123213176"/>
      </c:barChart>
      <c:catAx>
        <c:axId val="123217096"/>
        <c:scaling>
          <c:orientation val="minMax"/>
        </c:scaling>
        <c:delete val="0"/>
        <c:axPos val="b"/>
        <c:numFmt formatCode="General" sourceLinked="1"/>
        <c:majorTickMark val="out"/>
        <c:minorTickMark val="none"/>
        <c:tickLblPos val="nextTo"/>
        <c:crossAx val="123213176"/>
        <c:crosses val="autoZero"/>
        <c:auto val="1"/>
        <c:lblAlgn val="ctr"/>
        <c:lblOffset val="100"/>
        <c:noMultiLvlLbl val="0"/>
      </c:catAx>
      <c:valAx>
        <c:axId val="123213176"/>
        <c:scaling>
          <c:orientation val="minMax"/>
        </c:scaling>
        <c:delete val="0"/>
        <c:axPos val="l"/>
        <c:majorGridlines/>
        <c:numFmt formatCode="_-* #,##0\ [$€-C0A]_-;\-* #,##0\ [$€-C0A]_-;_-* &quot;-&quot;??\ [$€-C0A]_-;_-@_-" sourceLinked="1"/>
        <c:majorTickMark val="out"/>
        <c:minorTickMark val="none"/>
        <c:tickLblPos val="nextTo"/>
        <c:crossAx val="123217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23215528"/>
        <c:axId val="123218272"/>
      </c:barChart>
      <c:catAx>
        <c:axId val="123215528"/>
        <c:scaling>
          <c:orientation val="minMax"/>
        </c:scaling>
        <c:delete val="0"/>
        <c:axPos val="b"/>
        <c:numFmt formatCode="General" sourceLinked="1"/>
        <c:majorTickMark val="out"/>
        <c:minorTickMark val="none"/>
        <c:tickLblPos val="nextTo"/>
        <c:crossAx val="123218272"/>
        <c:crosses val="autoZero"/>
        <c:auto val="1"/>
        <c:lblAlgn val="ctr"/>
        <c:lblOffset val="100"/>
        <c:noMultiLvlLbl val="0"/>
      </c:catAx>
      <c:valAx>
        <c:axId val="123218272"/>
        <c:scaling>
          <c:orientation val="minMax"/>
        </c:scaling>
        <c:delete val="0"/>
        <c:axPos val="l"/>
        <c:majorGridlines/>
        <c:numFmt formatCode="_-* #,##0\ [$€-C0A]_-;\-* #,##0\ [$€-C0A]_-;_-* &quot;-&quot;??\ [$€-C0A]_-;_-@_-" sourceLinked="1"/>
        <c:majorTickMark val="out"/>
        <c:minorTickMark val="none"/>
        <c:tickLblPos val="nextTo"/>
        <c:crossAx val="123215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23214352"/>
        <c:axId val="123214744"/>
      </c:barChart>
      <c:catAx>
        <c:axId val="123214352"/>
        <c:scaling>
          <c:orientation val="minMax"/>
        </c:scaling>
        <c:delete val="0"/>
        <c:axPos val="b"/>
        <c:numFmt formatCode="General" sourceLinked="1"/>
        <c:majorTickMark val="out"/>
        <c:minorTickMark val="none"/>
        <c:tickLblPos val="nextTo"/>
        <c:crossAx val="123214744"/>
        <c:crosses val="autoZero"/>
        <c:auto val="1"/>
        <c:lblAlgn val="ctr"/>
        <c:lblOffset val="100"/>
        <c:noMultiLvlLbl val="0"/>
      </c:catAx>
      <c:valAx>
        <c:axId val="123214744"/>
        <c:scaling>
          <c:orientation val="minMax"/>
        </c:scaling>
        <c:delete val="0"/>
        <c:axPos val="l"/>
        <c:majorGridlines/>
        <c:numFmt formatCode="_-* #,##0\ [$€-C0A]_-;\-* #,##0\ [$€-C0A]_-;_-* &quot;-&quot;??\ [$€-C0A]_-;_-@_-" sourceLinked="1"/>
        <c:majorTickMark val="out"/>
        <c:minorTickMark val="none"/>
        <c:tickLblPos val="nextTo"/>
        <c:crossAx val="123214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23215920"/>
        <c:axId val="123212392"/>
      </c:barChart>
      <c:catAx>
        <c:axId val="123215920"/>
        <c:scaling>
          <c:orientation val="minMax"/>
        </c:scaling>
        <c:delete val="0"/>
        <c:axPos val="b"/>
        <c:numFmt formatCode="General" sourceLinked="1"/>
        <c:majorTickMark val="out"/>
        <c:minorTickMark val="none"/>
        <c:tickLblPos val="nextTo"/>
        <c:crossAx val="123212392"/>
        <c:crosses val="autoZero"/>
        <c:auto val="1"/>
        <c:lblAlgn val="ctr"/>
        <c:lblOffset val="100"/>
        <c:noMultiLvlLbl val="0"/>
      </c:catAx>
      <c:valAx>
        <c:axId val="123212392"/>
        <c:scaling>
          <c:orientation val="minMax"/>
        </c:scaling>
        <c:delete val="0"/>
        <c:axPos val="l"/>
        <c:majorGridlines/>
        <c:numFmt formatCode="_-* #,##0\ [$€-C0A]_-;\-* #,##0\ [$€-C0A]_-;_-* &quot;-&quot;??\ [$€-C0A]_-;_-@_-" sourceLinked="1"/>
        <c:majorTickMark val="out"/>
        <c:minorTickMark val="none"/>
        <c:tickLblPos val="nextTo"/>
        <c:crossAx val="1232159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43187</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1787</v>
      </c>
      <c r="G5" s="592">
        <f ca="1">F5/112</f>
        <v>15.955357142857142</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1787</v>
      </c>
      <c r="G6" s="592">
        <f t="shared" ref="G6:G20" ca="1" si="1">F6/112</f>
        <v>15.955357142857142</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1668</v>
      </c>
      <c r="G7" s="592">
        <f t="shared" ca="1" si="1"/>
        <v>14.892857142857142</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1660</v>
      </c>
      <c r="G8" s="592">
        <f t="shared" ca="1" si="1"/>
        <v>14.821428571428571</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1648</v>
      </c>
      <c r="G9" s="592">
        <f t="shared" ca="1" si="1"/>
        <v>14.714285714285714</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1635</v>
      </c>
      <c r="G10" s="592">
        <f t="shared" ca="1" si="1"/>
        <v>14.598214285714286</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1604</v>
      </c>
      <c r="G11" s="592">
        <f t="shared" ca="1" si="1"/>
        <v>14.321428571428571</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1534</v>
      </c>
      <c r="G12" s="592">
        <f t="shared" ca="1" si="1"/>
        <v>13.696428571428571</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1523</v>
      </c>
      <c r="G13" s="592">
        <f t="shared" ca="1" si="1"/>
        <v>13.598214285714286</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1501</v>
      </c>
      <c r="G14" s="592">
        <f t="shared" ca="1" si="1"/>
        <v>13.401785714285714</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1465</v>
      </c>
      <c r="G15" s="592">
        <f t="shared" ca="1" si="1"/>
        <v>13.080357142857142</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1450</v>
      </c>
      <c r="G16" s="592">
        <f t="shared" ca="1" si="1"/>
        <v>12.946428571428571</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1440</v>
      </c>
      <c r="G17" s="592">
        <f t="shared" ca="1" si="1"/>
        <v>12.857142857142858</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1276</v>
      </c>
      <c r="G18" s="592">
        <f t="shared" ca="1" si="1"/>
        <v>11.392857142857142</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1214</v>
      </c>
      <c r="G19" s="592">
        <f t="shared" ca="1" si="1"/>
        <v>10.839285714285714</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1081</v>
      </c>
      <c r="G20" s="592">
        <f t="shared" ca="1" si="1"/>
        <v>9.6517857142857135</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43187</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0.20999999999999985</v>
      </c>
      <c r="BA2" s="436">
        <f>SUM(BA4:BA14)</f>
        <v>0.21499999999999986</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0.21799999999999992</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2.0267857142857144</v>
      </c>
      <c r="D4" s="294" t="str">
        <f>PLANTILLA!D5</f>
        <v>D. Gehmacher</v>
      </c>
      <c r="E4" s="387">
        <f>PLANTILLA!E5</f>
        <v>30</v>
      </c>
      <c r="F4" s="394">
        <f ca="1">PLANTILLA!F5</f>
        <v>109</v>
      </c>
      <c r="G4" s="388"/>
      <c r="H4" s="402">
        <v>7</v>
      </c>
      <c r="I4" s="308">
        <f>PLANTILLA!I5</f>
        <v>19.2</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30</v>
      </c>
      <c r="R4" s="411">
        <f t="shared" ref="R4:R23" ca="1" si="5">F4+7</f>
        <v>116</v>
      </c>
      <c r="S4" s="180"/>
      <c r="T4" s="180"/>
      <c r="U4" s="180"/>
      <c r="V4" s="180"/>
      <c r="W4" s="180"/>
      <c r="X4" s="180"/>
      <c r="Y4" s="180"/>
      <c r="Z4" s="180"/>
      <c r="AA4" s="296">
        <f t="shared" ref="AA4:AA23" si="6">I4+$AA$2</f>
        <v>19.2</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-2.0535714285714284</v>
      </c>
      <c r="D5" s="386" t="s">
        <v>267</v>
      </c>
      <c r="E5" s="387">
        <f>PLANTILLA!E6</f>
        <v>35</v>
      </c>
      <c r="F5" s="387">
        <f ca="1">PLANTILLA!F6</f>
        <v>6</v>
      </c>
      <c r="G5" s="388" t="s">
        <v>502</v>
      </c>
      <c r="H5" s="371">
        <v>4</v>
      </c>
      <c r="I5" s="308">
        <f>PLANTILLA!I6</f>
        <v>8.1</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35</v>
      </c>
      <c r="R5" s="411">
        <f t="shared" ca="1" si="5"/>
        <v>13</v>
      </c>
      <c r="S5" s="180"/>
      <c r="T5" s="180"/>
      <c r="U5" s="180"/>
      <c r="V5" s="180"/>
      <c r="W5" s="180"/>
      <c r="X5" s="180"/>
      <c r="Y5" s="180"/>
      <c r="Z5" s="180"/>
      <c r="AA5" s="296">
        <f t="shared" si="6"/>
        <v>8.1</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0.5178571428571429</v>
      </c>
      <c r="D7" s="294" t="s">
        <v>275</v>
      </c>
      <c r="E7" s="387">
        <f>PLANTILLA!E8</f>
        <v>32</v>
      </c>
      <c r="F7" s="387">
        <f ca="1">PLANTILLA!F8</f>
        <v>54</v>
      </c>
      <c r="G7" s="388" t="s">
        <v>502</v>
      </c>
      <c r="H7" s="393">
        <v>5</v>
      </c>
      <c r="I7" s="308">
        <f>PLANTILLA!I8</f>
        <v>7.9</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61</v>
      </c>
      <c r="S7" s="180"/>
      <c r="T7" s="180"/>
      <c r="U7" s="180"/>
      <c r="V7" s="180"/>
      <c r="W7" s="180"/>
      <c r="X7" s="180"/>
      <c r="Y7" s="180"/>
      <c r="Z7" s="180"/>
      <c r="AA7" s="296">
        <f t="shared" si="6"/>
        <v>7.9</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0.9285714285714286</v>
      </c>
      <c r="D8" s="386" t="s">
        <v>269</v>
      </c>
      <c r="E8" s="387">
        <f>PLANTILLA!E9</f>
        <v>32</v>
      </c>
      <c r="F8" s="387">
        <f ca="1">PLANTILLA!F9</f>
        <v>8</v>
      </c>
      <c r="G8" s="388"/>
      <c r="H8" s="393">
        <v>5</v>
      </c>
      <c r="I8" s="308">
        <f>PLANTILLA!I9</f>
        <v>13.4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17.177777777777774</v>
      </c>
      <c r="Q8" s="410">
        <f t="shared" si="4"/>
        <v>32</v>
      </c>
      <c r="R8" s="411">
        <f t="shared" ca="1" si="5"/>
        <v>15</v>
      </c>
      <c r="S8" s="180"/>
      <c r="T8" s="180"/>
      <c r="U8" s="180"/>
      <c r="V8" s="180"/>
      <c r="W8" s="180"/>
      <c r="X8" s="180"/>
      <c r="Y8" s="180"/>
      <c r="Z8" s="180"/>
      <c r="AA8" s="296">
        <f t="shared" si="6"/>
        <v>13.4</v>
      </c>
      <c r="AB8" s="505">
        <f t="shared" si="20"/>
        <v>0</v>
      </c>
      <c r="AC8" s="505">
        <f>K8+(T$2/11)</f>
        <v>12.200000000000005</v>
      </c>
      <c r="AD8" s="505">
        <f>L8+(U$2/29)</f>
        <v>13.261555555555553</v>
      </c>
      <c r="AE8" s="505">
        <f>M8+(V$2/13)</f>
        <v>9.8750000000000053</v>
      </c>
      <c r="AF8" s="505">
        <f>N8+(W$2/8)</f>
        <v>9.6</v>
      </c>
      <c r="AG8" s="505">
        <f>O8+(X$2/19)+(Y$2/6)</f>
        <v>3.6816666666666658</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1.0625</v>
      </c>
      <c r="D9" s="294" t="s">
        <v>273</v>
      </c>
      <c r="E9" s="387">
        <f>PLANTILLA!E10</f>
        <v>31</v>
      </c>
      <c r="F9" s="387">
        <f ca="1">PLANTILLA!F10</f>
        <v>105</v>
      </c>
      <c r="G9" s="388"/>
      <c r="H9" s="371">
        <v>4</v>
      </c>
      <c r="I9" s="308">
        <f>PLANTILLA!I10</f>
        <v>9.9</v>
      </c>
      <c r="J9" s="485">
        <f>PLANTILLA!X10</f>
        <v>0</v>
      </c>
      <c r="K9" s="485">
        <f>PLANTILLA!Y10</f>
        <v>11.95</v>
      </c>
      <c r="L9" s="485">
        <f>PLANTILLA!Z10</f>
        <v>7.0225000000000017</v>
      </c>
      <c r="M9" s="485">
        <f>PLANTILLA!AA10</f>
        <v>7.5000000000000018</v>
      </c>
      <c r="N9" s="485">
        <f>PLANTILLA!AB10</f>
        <v>8.99</v>
      </c>
      <c r="O9" s="485">
        <f>PLANTILLA!AC10</f>
        <v>4.6199999999999966</v>
      </c>
      <c r="P9" s="485">
        <f>PLANTILLA!AD10</f>
        <v>16</v>
      </c>
      <c r="Q9" s="410">
        <f t="shared" si="4"/>
        <v>31</v>
      </c>
      <c r="R9" s="411">
        <f t="shared" ca="1" si="5"/>
        <v>112</v>
      </c>
      <c r="S9" s="180"/>
      <c r="T9" s="180"/>
      <c r="U9" s="180"/>
      <c r="V9" s="180"/>
      <c r="W9" s="180"/>
      <c r="X9" s="180"/>
      <c r="Y9" s="180"/>
      <c r="Z9" s="180"/>
      <c r="AA9" s="296">
        <f t="shared" si="6"/>
        <v>9.9</v>
      </c>
      <c r="AB9" s="505">
        <f t="shared" si="20"/>
        <v>0</v>
      </c>
      <c r="AC9" s="505">
        <f>K9+(T$2/10)</f>
        <v>11.95</v>
      </c>
      <c r="AD9" s="505">
        <f>L9+(U$2/31)</f>
        <v>7.0225000000000017</v>
      </c>
      <c r="AE9" s="505">
        <f>M9+(V$2/6)</f>
        <v>7.5000000000000018</v>
      </c>
      <c r="AF9" s="505">
        <f>N9+(W$2/7)</f>
        <v>8.99</v>
      </c>
      <c r="AG9" s="505">
        <f>O9+(X$2/21)+(Y$2/7)</f>
        <v>4.6199999999999966</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4.8571428571428568</v>
      </c>
      <c r="D10" s="294" t="s">
        <v>567</v>
      </c>
      <c r="E10" s="387">
        <f>PLANTILLA!E11</f>
        <v>28</v>
      </c>
      <c r="F10" s="387">
        <f ca="1">PLANTILLA!F11</f>
        <v>16</v>
      </c>
      <c r="G10" s="388"/>
      <c r="H10" s="393">
        <v>5</v>
      </c>
      <c r="I10" s="308">
        <f>PLANTILLA!I11</f>
        <v>5</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28</v>
      </c>
      <c r="R10" s="411">
        <f t="shared" ca="1" si="5"/>
        <v>23</v>
      </c>
      <c r="S10" s="180"/>
      <c r="T10" s="180"/>
      <c r="U10" s="180"/>
      <c r="V10" s="180"/>
      <c r="W10" s="180"/>
      <c r="X10" s="180"/>
      <c r="Y10" s="180"/>
      <c r="Z10" s="180"/>
      <c r="AA10" s="296">
        <f t="shared" si="6"/>
        <v>5</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1.2678571428571428</v>
      </c>
      <c r="D11" s="386" t="s">
        <v>270</v>
      </c>
      <c r="E11" s="387">
        <f>PLANTILLA!E12</f>
        <v>31</v>
      </c>
      <c r="F11" s="387">
        <f ca="1">PLANTILLA!F12</f>
        <v>82</v>
      </c>
      <c r="G11" s="388" t="s">
        <v>271</v>
      </c>
      <c r="H11" s="371">
        <v>1</v>
      </c>
      <c r="I11" s="308">
        <f>PLANTILLA!I12</f>
        <v>13.1</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17.529999999999998</v>
      </c>
      <c r="Q11" s="410">
        <f t="shared" si="4"/>
        <v>31</v>
      </c>
      <c r="R11" s="411">
        <f t="shared" ca="1" si="5"/>
        <v>89</v>
      </c>
      <c r="S11" s="180"/>
      <c r="T11" s="180"/>
      <c r="U11" s="180"/>
      <c r="V11" s="180"/>
      <c r="W11" s="180"/>
      <c r="X11" s="180"/>
      <c r="Y11" s="180"/>
      <c r="Z11" s="180"/>
      <c r="AA11" s="296">
        <f t="shared" si="6"/>
        <v>13.1</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1.7410714285714286</v>
      </c>
      <c r="D12" s="386" t="s">
        <v>298</v>
      </c>
      <c r="E12" s="387">
        <f>PLANTILLA!E13</f>
        <v>31</v>
      </c>
      <c r="F12" s="387">
        <f ca="1">PLANTILLA!F13</f>
        <v>29</v>
      </c>
      <c r="G12" s="388" t="s">
        <v>268</v>
      </c>
      <c r="H12" s="371">
        <v>3</v>
      </c>
      <c r="I12" s="308">
        <f>PLANTILLA!I13</f>
        <v>10.7</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18</v>
      </c>
      <c r="Q12" s="410">
        <f t="shared" si="4"/>
        <v>31</v>
      </c>
      <c r="R12" s="411">
        <f t="shared" ca="1" si="5"/>
        <v>36</v>
      </c>
      <c r="S12" s="180"/>
      <c r="T12" s="180"/>
      <c r="U12" s="180"/>
      <c r="V12" s="180"/>
      <c r="W12" s="180"/>
      <c r="X12" s="180"/>
      <c r="Y12" s="180"/>
      <c r="Z12" s="180"/>
      <c r="AA12" s="296">
        <f t="shared" si="6"/>
        <v>10.7</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4.6071428571428568</v>
      </c>
      <c r="D13" s="386" t="s">
        <v>507</v>
      </c>
      <c r="E13" s="387">
        <f>PLANTILLA!E14</f>
        <v>28</v>
      </c>
      <c r="F13" s="387">
        <f ca="1">PLANTILLA!F14</f>
        <v>44</v>
      </c>
      <c r="G13" s="388" t="s">
        <v>502</v>
      </c>
      <c r="H13" s="371">
        <v>3</v>
      </c>
      <c r="I13" s="308">
        <f>PLANTILLA!I14</f>
        <v>9.6999999999999993</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16</v>
      </c>
      <c r="Q13" s="410">
        <f t="shared" si="4"/>
        <v>28</v>
      </c>
      <c r="R13" s="411">
        <f t="shared" ca="1" si="5"/>
        <v>51</v>
      </c>
      <c r="S13" s="180"/>
      <c r="T13" s="180"/>
      <c r="U13" s="180"/>
      <c r="V13" s="180"/>
      <c r="W13" s="180"/>
      <c r="X13" s="180"/>
      <c r="Y13" s="180"/>
      <c r="Z13" s="180"/>
      <c r="AA13" s="296">
        <f t="shared" si="6"/>
        <v>9.6999999999999993</v>
      </c>
      <c r="AB13" s="505">
        <f t="shared" si="20"/>
        <v>0</v>
      </c>
      <c r="AC13" s="505">
        <f>K13+(T$2/6.5)</f>
        <v>8.3599999999999977</v>
      </c>
      <c r="AD13" s="505">
        <f>L13+(U$2/8)</f>
        <v>12.253412698412699</v>
      </c>
      <c r="AE13" s="505">
        <f>M13+(V$2/6)</f>
        <v>12.36</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2.6339285714285716</v>
      </c>
      <c r="D14" s="294" t="s">
        <v>415</v>
      </c>
      <c r="E14" s="387">
        <f>PLANTILLA!E15</f>
        <v>30</v>
      </c>
      <c r="F14" s="387">
        <f ca="1">PLANTILLA!F15</f>
        <v>41</v>
      </c>
      <c r="G14" s="388" t="s">
        <v>268</v>
      </c>
      <c r="H14" s="371">
        <v>4</v>
      </c>
      <c r="I14" s="308">
        <f>PLANTILLA!I15</f>
        <v>11.4</v>
      </c>
      <c r="J14" s="485">
        <f>PLANTILLA!X15</f>
        <v>0</v>
      </c>
      <c r="K14" s="485">
        <f>PLANTILLA!Y15</f>
        <v>9.3036666666666648</v>
      </c>
      <c r="L14" s="485">
        <f>PLANTILLA!Z15</f>
        <v>14</v>
      </c>
      <c r="M14" s="485">
        <f>PLANTILLA!AA15</f>
        <v>12.945</v>
      </c>
      <c r="N14" s="485">
        <f>PLANTILLA!AB15</f>
        <v>9.6733333333333356</v>
      </c>
      <c r="O14" s="485">
        <f>PLANTILLA!AC15</f>
        <v>4.99</v>
      </c>
      <c r="P14" s="485">
        <f>PLANTILLA!AD15</f>
        <v>15.588888888888887</v>
      </c>
      <c r="Q14" s="410">
        <f t="shared" si="4"/>
        <v>30</v>
      </c>
      <c r="R14" s="411">
        <f t="shared" ca="1" si="5"/>
        <v>48</v>
      </c>
      <c r="S14" s="180"/>
      <c r="T14" s="180"/>
      <c r="U14" s="180"/>
      <c r="V14" s="180"/>
      <c r="W14" s="180"/>
      <c r="X14" s="180"/>
      <c r="Y14" s="180"/>
      <c r="Z14" s="180"/>
      <c r="AA14" s="296">
        <f t="shared" si="6"/>
        <v>11.4</v>
      </c>
      <c r="AB14" s="505">
        <f t="shared" si="20"/>
        <v>0</v>
      </c>
      <c r="AC14" s="505">
        <f>K14+(T$2/50)</f>
        <v>9.3036666666666648</v>
      </c>
      <c r="AD14" s="505">
        <f>L14+(U$2/10)</f>
        <v>14</v>
      </c>
      <c r="AE14" s="505">
        <f>M14+(V$2/15)</f>
        <v>12.945</v>
      </c>
      <c r="AF14" s="505">
        <f>N14+(W$2/7.5)</f>
        <v>9.6733333333333356</v>
      </c>
      <c r="AG14" s="505">
        <f>O14+(X$2/3.5)+(Y$2/6)</f>
        <v>4.99</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0.33035714285714285</v>
      </c>
      <c r="D15" s="386" t="s">
        <v>285</v>
      </c>
      <c r="E15" s="387">
        <f>PLANTILLA!E16</f>
        <v>32</v>
      </c>
      <c r="F15" s="387">
        <f ca="1">PLANTILLA!F16</f>
        <v>75</v>
      </c>
      <c r="G15" s="388" t="s">
        <v>268</v>
      </c>
      <c r="H15" s="393">
        <v>5</v>
      </c>
      <c r="I15" s="308">
        <f>PLANTILLA!I16</f>
        <v>11.8</v>
      </c>
      <c r="J15" s="485">
        <f>PLANTILLA!X16</f>
        <v>0</v>
      </c>
      <c r="K15" s="485">
        <f>PLANTILLA!Y16</f>
        <v>8.6275555555555581</v>
      </c>
      <c r="L15" s="485">
        <f>PLANTILLA!Z16</f>
        <v>14.333255555555548</v>
      </c>
      <c r="M15" s="485">
        <f>PLANTILLA!AA16</f>
        <v>9.99</v>
      </c>
      <c r="N15" s="485">
        <f>PLANTILLA!AB16</f>
        <v>9.99</v>
      </c>
      <c r="O15" s="485">
        <f>PLANTILLA!AC16</f>
        <v>3.99</v>
      </c>
      <c r="P15" s="485">
        <f>PLANTILLA!AD16</f>
        <v>17.144444444444439</v>
      </c>
      <c r="Q15" s="410">
        <f t="shared" si="4"/>
        <v>32</v>
      </c>
      <c r="R15" s="411">
        <f t="shared" ca="1" si="5"/>
        <v>82</v>
      </c>
      <c r="S15" s="180"/>
      <c r="T15" s="180"/>
      <c r="U15" s="180"/>
      <c r="V15" s="180"/>
      <c r="W15" s="180"/>
      <c r="X15" s="180"/>
      <c r="Y15" s="180"/>
      <c r="Z15" s="180"/>
      <c r="AA15" s="296">
        <f t="shared" si="6"/>
        <v>11.8</v>
      </c>
      <c r="AB15" s="505">
        <f t="shared" si="20"/>
        <v>0</v>
      </c>
      <c r="AC15" s="505">
        <f>K15+(T$2/50)</f>
        <v>8.6275555555555581</v>
      </c>
      <c r="AD15" s="505">
        <f>L15+(U$2/11)</f>
        <v>14.333255555555548</v>
      </c>
      <c r="AE15" s="505">
        <f>M15+(V$2/15)</f>
        <v>9.99</v>
      </c>
      <c r="AF15" s="505">
        <f>N15+(W$2/8)</f>
        <v>9.99</v>
      </c>
      <c r="AG15" s="505">
        <f>O15+(X$2/22)+(Y$2/7)</f>
        <v>3.99</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1.3839285714285714</v>
      </c>
      <c r="D16" s="386" t="s">
        <v>272</v>
      </c>
      <c r="E16" s="387">
        <f>PLANTILLA!E17</f>
        <v>31</v>
      </c>
      <c r="F16" s="387">
        <f ca="1">PLANTILLA!F17</f>
        <v>69</v>
      </c>
      <c r="G16" s="388"/>
      <c r="H16" s="371">
        <v>4</v>
      </c>
      <c r="I16" s="308">
        <f>PLANTILLA!I17</f>
        <v>10</v>
      </c>
      <c r="J16" s="485">
        <f>PLANTILLA!X17</f>
        <v>0</v>
      </c>
      <c r="K16" s="485">
        <f>PLANTILLA!Y17</f>
        <v>10.549999999999995</v>
      </c>
      <c r="L16" s="485">
        <f>PLANTILLA!Z17</f>
        <v>13</v>
      </c>
      <c r="M16" s="485">
        <f>PLANTILLA!AA17</f>
        <v>5.1399999999999979</v>
      </c>
      <c r="N16" s="485">
        <f>PLANTILLA!AB17</f>
        <v>9.24</v>
      </c>
      <c r="O16" s="485">
        <f>PLANTILLA!AC17</f>
        <v>2.98</v>
      </c>
      <c r="P16" s="485">
        <f>PLANTILLA!AD17</f>
        <v>17.459999999999997</v>
      </c>
      <c r="Q16" s="410">
        <f t="shared" si="4"/>
        <v>31</v>
      </c>
      <c r="R16" s="411">
        <f t="shared" ca="1" si="5"/>
        <v>76</v>
      </c>
      <c r="S16" s="180"/>
      <c r="T16" s="180"/>
      <c r="U16" s="180"/>
      <c r="V16" s="180"/>
      <c r="W16" s="180"/>
      <c r="X16" s="180"/>
      <c r="Y16" s="180"/>
      <c r="Z16" s="180"/>
      <c r="AA16" s="296">
        <f t="shared" si="6"/>
        <v>10</v>
      </c>
      <c r="AB16" s="505">
        <f t="shared" si="20"/>
        <v>0</v>
      </c>
      <c r="AC16" s="505">
        <f>K16+(T$2/7)</f>
        <v>10.549999999999995</v>
      </c>
      <c r="AD16" s="505">
        <f>L16+(U$2/11)</f>
        <v>13</v>
      </c>
      <c r="AE16" s="505">
        <f>M16+(V$2/19)</f>
        <v>5.1399999999999979</v>
      </c>
      <c r="AF16" s="505">
        <f>N16+(W$2/7)</f>
        <v>9.24</v>
      </c>
      <c r="AG16" s="505">
        <f>O16+(X$2/16)+(Y$2/5)</f>
        <v>2.98</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0.23599999999999993</v>
      </c>
      <c r="BA16" s="436">
        <f>SUM(BA18:BA28)</f>
        <v>0.24099999999999994</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0.20999999999999991</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1.6071428571428572</v>
      </c>
      <c r="D17" s="294" t="s">
        <v>400</v>
      </c>
      <c r="E17" s="387">
        <f>PLANTILLA!E18</f>
        <v>31</v>
      </c>
      <c r="F17" s="387">
        <f ca="1">PLANTILLA!F18</f>
        <v>44</v>
      </c>
      <c r="G17" s="388"/>
      <c r="H17" s="371">
        <v>1</v>
      </c>
      <c r="I17" s="308">
        <f>PLANTILLA!I18</f>
        <v>8.9</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16.669999999999998</v>
      </c>
      <c r="Q17" s="410">
        <f t="shared" si="4"/>
        <v>31</v>
      </c>
      <c r="R17" s="411">
        <f t="shared" ca="1" si="5"/>
        <v>51</v>
      </c>
      <c r="S17" s="180"/>
      <c r="T17" s="180"/>
      <c r="U17" s="180"/>
      <c r="V17" s="180"/>
      <c r="W17" s="180"/>
      <c r="X17" s="180"/>
      <c r="Y17" s="180"/>
      <c r="Z17" s="180"/>
      <c r="AA17" s="296">
        <f t="shared" si="6"/>
        <v>8.9</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17.069999999999997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3.0535714285714284</v>
      </c>
      <c r="D18" s="294" t="s">
        <v>414</v>
      </c>
      <c r="E18" s="387">
        <f>PLANTILLA!E19</f>
        <v>29</v>
      </c>
      <c r="F18" s="387">
        <f ca="1">PLANTILLA!F19</f>
        <v>106</v>
      </c>
      <c r="G18" s="388"/>
      <c r="H18" s="371">
        <v>3</v>
      </c>
      <c r="I18" s="308">
        <f>PLANTILLA!I19</f>
        <v>4.2</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12.847222222222223</v>
      </c>
      <c r="Q18" s="410">
        <f t="shared" si="4"/>
        <v>29</v>
      </c>
      <c r="R18" s="411">
        <f t="shared" ca="1" si="5"/>
        <v>113</v>
      </c>
      <c r="S18" s="180"/>
      <c r="T18" s="180"/>
      <c r="U18" s="180"/>
      <c r="V18" s="180"/>
      <c r="W18" s="180"/>
      <c r="X18" s="180"/>
      <c r="Y18" s="180"/>
      <c r="Z18" s="180"/>
      <c r="AA18" s="296">
        <f t="shared" si="6"/>
        <v>4.2</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1.9196428571428572</v>
      </c>
      <c r="D20" s="294" t="str">
        <f>PLANTILLA!D7</f>
        <v>B. Pinczehelyi</v>
      </c>
      <c r="E20" s="387">
        <f>PLANTILLA!E7</f>
        <v>31</v>
      </c>
      <c r="F20" s="394">
        <f ca="1">PLANTILLA!F7</f>
        <v>9</v>
      </c>
      <c r="G20" s="388" t="s">
        <v>502</v>
      </c>
      <c r="H20" s="371">
        <v>2</v>
      </c>
      <c r="I20" s="308">
        <f>PLANTILLA!I7</f>
        <v>15.1</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11</v>
      </c>
      <c r="Q20" s="410">
        <f t="shared" si="4"/>
        <v>31</v>
      </c>
      <c r="R20" s="411">
        <f t="shared" ca="1" si="5"/>
        <v>16</v>
      </c>
      <c r="S20" s="180"/>
      <c r="T20" s="180"/>
      <c r="U20" s="180"/>
      <c r="V20" s="180"/>
      <c r="W20" s="180"/>
      <c r="X20" s="180"/>
      <c r="Y20" s="180"/>
      <c r="Z20" s="180"/>
      <c r="AA20" s="296">
        <f t="shared" si="6"/>
        <v>15.1</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12</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2.2767857142857144</v>
      </c>
      <c r="D21" s="386" t="s">
        <v>287</v>
      </c>
      <c r="E21" s="387">
        <f>PLANTILLA!E21</f>
        <v>30</v>
      </c>
      <c r="F21" s="387">
        <f ca="1">PLANTILLA!F21</f>
        <v>81</v>
      </c>
      <c r="G21" s="388" t="s">
        <v>296</v>
      </c>
      <c r="H21" s="371">
        <v>4</v>
      </c>
      <c r="I21" s="308">
        <f>PLANTILLA!I21</f>
        <v>11</v>
      </c>
      <c r="J21" s="485">
        <f>PLANTILLA!X21</f>
        <v>0</v>
      </c>
      <c r="K21" s="485">
        <f>PLANTILLA!Y21</f>
        <v>6.8376190476190493</v>
      </c>
      <c r="L21" s="485">
        <f>PLANTILLA!Z21</f>
        <v>9</v>
      </c>
      <c r="M21" s="485">
        <f>PLANTILLA!AA21</f>
        <v>8.7399999999999967</v>
      </c>
      <c r="N21" s="485">
        <f>PLANTILLA!AB21</f>
        <v>9.6900000000000013</v>
      </c>
      <c r="O21" s="485">
        <f>PLANTILLA!AC21</f>
        <v>8.5625000000000018</v>
      </c>
      <c r="P21" s="485">
        <f>PLANTILLA!AD21</f>
        <v>18.999999999999993</v>
      </c>
      <c r="Q21" s="410">
        <f t="shared" si="4"/>
        <v>30</v>
      </c>
      <c r="R21" s="411">
        <f t="shared" ca="1" si="5"/>
        <v>88</v>
      </c>
      <c r="S21" s="180"/>
      <c r="T21" s="180"/>
      <c r="U21" s="180"/>
      <c r="V21" s="180"/>
      <c r="W21" s="180"/>
      <c r="X21" s="180"/>
      <c r="Y21" s="180"/>
      <c r="Z21" s="180"/>
      <c r="AA21" s="296">
        <f t="shared" si="6"/>
        <v>11</v>
      </c>
      <c r="AB21" s="505">
        <f t="shared" si="20"/>
        <v>0</v>
      </c>
      <c r="AC21" s="505">
        <f>K21+(T$2/32)</f>
        <v>6.8376190476190493</v>
      </c>
      <c r="AD21" s="505">
        <f>L21+(U$2/7)</f>
        <v>9</v>
      </c>
      <c r="AE21" s="505">
        <f>M21+(V$2/25)</f>
        <v>8.7399999999999967</v>
      </c>
      <c r="AF21" s="505">
        <f>N21+(W$2/8)</f>
        <v>9.6900000000000013</v>
      </c>
      <c r="AG21" s="505">
        <f>O21+(X$2/6)+(Y$2/5)/2</f>
        <v>8.5625000000000018</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1.6607142857142858</v>
      </c>
      <c r="D22" s="386" t="str">
        <f>PLANTILLA!D22</f>
        <v>L. Calosso</v>
      </c>
      <c r="E22" s="387">
        <f>PLANTILLA!E22</f>
        <v>31</v>
      </c>
      <c r="F22" s="387">
        <f ca="1">PLANTILLA!F22</f>
        <v>38</v>
      </c>
      <c r="G22" s="388"/>
      <c r="H22" s="371">
        <v>4</v>
      </c>
      <c r="I22" s="308">
        <f>PLANTILLA!I22</f>
        <v>11.4</v>
      </c>
      <c r="J22" s="485">
        <f>PLANTILLA!X22</f>
        <v>0</v>
      </c>
      <c r="K22" s="485">
        <f>PLANTILLA!Y22</f>
        <v>3.02</v>
      </c>
      <c r="L22" s="485">
        <f>PLANTILLA!Z22</f>
        <v>14.277609523809524</v>
      </c>
      <c r="M22" s="485">
        <f>PLANTILLA!AA22</f>
        <v>3.04</v>
      </c>
      <c r="N22" s="485">
        <f>PLANTILLA!AB22</f>
        <v>15.02</v>
      </c>
      <c r="O22" s="485">
        <f>PLANTILLA!AC22</f>
        <v>10</v>
      </c>
      <c r="P22" s="485">
        <f>PLANTILLA!AD22</f>
        <v>11</v>
      </c>
      <c r="Q22" s="410">
        <f t="shared" si="4"/>
        <v>31</v>
      </c>
      <c r="R22" s="411">
        <f t="shared" ca="1" si="5"/>
        <v>45</v>
      </c>
      <c r="S22" s="180"/>
      <c r="T22" s="180"/>
      <c r="U22" s="180"/>
      <c r="V22" s="180"/>
      <c r="W22" s="180"/>
      <c r="X22" s="180"/>
      <c r="Y22" s="180"/>
      <c r="Z22" s="180"/>
      <c r="AA22" s="296">
        <f t="shared" si="6"/>
        <v>11.4</v>
      </c>
      <c r="AB22" s="505">
        <f t="shared" si="20"/>
        <v>0</v>
      </c>
      <c r="AC22" s="505">
        <f>K22+(T$2/21)</f>
        <v>3.02</v>
      </c>
      <c r="AD22" s="505">
        <f>L22+(U$2/21)</f>
        <v>14.277609523809524</v>
      </c>
      <c r="AE22" s="505">
        <f>M22+(V$2/22)</f>
        <v>3.04</v>
      </c>
      <c r="AF22" s="505">
        <f>N22+(W$2/17)</f>
        <v>15.02</v>
      </c>
      <c r="AG22" s="505">
        <f>O22+(X$2/25)+(Y$2/8)</f>
        <v>10</v>
      </c>
      <c r="AH22" s="505">
        <f>P22+(Z$2/1)+(Y$2/10)</f>
        <v>12</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5</v>
      </c>
      <c r="D23" s="294" t="s">
        <v>541</v>
      </c>
      <c r="E23" s="387">
        <f>PLANTILLA!E23</f>
        <v>28</v>
      </c>
      <c r="F23" s="387">
        <f ca="1">PLANTILLA!F23</f>
        <v>0</v>
      </c>
      <c r="G23" s="388"/>
      <c r="H23" s="395">
        <v>6</v>
      </c>
      <c r="I23" s="308">
        <f>PLANTILLA!I23</f>
        <v>5.6</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28</v>
      </c>
      <c r="R23" s="411">
        <f t="shared" ca="1" si="5"/>
        <v>7</v>
      </c>
      <c r="S23" s="180"/>
      <c r="T23" s="180"/>
      <c r="U23" s="180"/>
      <c r="V23" s="180"/>
      <c r="W23" s="180"/>
      <c r="X23" s="180"/>
      <c r="Y23" s="180"/>
      <c r="Z23" s="180"/>
      <c r="AA23" s="296">
        <f t="shared" si="6"/>
        <v>5.6</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15.650997035805339</v>
      </c>
      <c r="P3" s="596">
        <f>Evaluacion!Y3</f>
        <v>23.067560277246141</v>
      </c>
      <c r="Q3" s="596">
        <f>Evaluacion!Z3</f>
        <v>15.650997035805339</v>
      </c>
      <c r="R3" s="596">
        <v>0</v>
      </c>
      <c r="S3" s="596">
        <v>0</v>
      </c>
      <c r="T3" s="596">
        <v>0</v>
      </c>
      <c r="U3" s="596">
        <v>0</v>
      </c>
      <c r="V3" s="596">
        <v>0</v>
      </c>
      <c r="W3" s="596">
        <f>Evaluacion!T3</f>
        <v>0.55302777777777778</v>
      </c>
      <c r="X3" s="596">
        <f>Evaluacion!U3</f>
        <v>1.0292223776223779</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17.177777777777774</v>
      </c>
      <c r="M4" t="s">
        <v>803</v>
      </c>
      <c r="N4" s="595">
        <v>1</v>
      </c>
      <c r="O4" s="596">
        <f>Evaluacion!AI6</f>
        <v>13.986581885994168</v>
      </c>
      <c r="P4" s="596">
        <f>Evaluacion!AJ6</f>
        <v>6.293961848697375</v>
      </c>
      <c r="Q4" s="596">
        <v>0</v>
      </c>
      <c r="R4" s="596">
        <f>Evaluacion!AK6</f>
        <v>2.7161484462136745</v>
      </c>
      <c r="S4" s="596">
        <f>Evaluacion!AL6</f>
        <v>7.5721501619180112</v>
      </c>
      <c r="T4" s="596">
        <v>0</v>
      </c>
      <c r="U4" s="596">
        <v>0</v>
      </c>
      <c r="V4" s="596">
        <f>Evaluacion!R6</f>
        <v>4.3000000000000007</v>
      </c>
      <c r="W4" s="596">
        <f>Evaluacion!T6</f>
        <v>0.69941666666666646</v>
      </c>
      <c r="X4" s="596">
        <f>Evaluacion!U6</f>
        <v>1.0033333333333334</v>
      </c>
    </row>
    <row r="5" spans="2:25" x14ac:dyDescent="0.25">
      <c r="B5" t="s">
        <v>804</v>
      </c>
      <c r="C5" t="str">
        <f>Evaluacion!A15</f>
        <v>E. Gross</v>
      </c>
      <c r="D5" s="635"/>
      <c r="E5" s="265">
        <f>Evaluacion!K15</f>
        <v>0</v>
      </c>
      <c r="F5" s="265">
        <f>Evaluacion!L15</f>
        <v>10.549999999999995</v>
      </c>
      <c r="G5" s="265">
        <f>Evaluacion!M15</f>
        <v>13</v>
      </c>
      <c r="H5" s="265">
        <f>Evaluacion!N15</f>
        <v>5.1399999999999979</v>
      </c>
      <c r="I5" s="265">
        <f>Evaluacion!O15</f>
        <v>9.24</v>
      </c>
      <c r="J5" s="265">
        <f>Evaluacion!P15</f>
        <v>2.98</v>
      </c>
      <c r="K5" s="265">
        <f>Evaluacion!Q15</f>
        <v>17.459999999999997</v>
      </c>
      <c r="M5" t="s">
        <v>804</v>
      </c>
      <c r="N5" s="595">
        <v>1</v>
      </c>
      <c r="O5" s="596">
        <f>(Evaluacion!AA15+Evaluacion!AC15)/2</f>
        <v>5.1793499999999986</v>
      </c>
      <c r="P5" s="596">
        <f>Evaluacion!AB15</f>
        <v>13.383333333333329</v>
      </c>
      <c r="Q5" s="596">
        <f>O5</f>
        <v>5.1793499999999986</v>
      </c>
      <c r="R5" s="596">
        <f>Evaluacion!AD15</f>
        <v>3.7683333333333331</v>
      </c>
      <c r="S5" s="596">
        <v>0</v>
      </c>
      <c r="T5" s="596">
        <v>0</v>
      </c>
      <c r="U5" s="596">
        <v>0</v>
      </c>
      <c r="V5" s="596">
        <f>Evaluacion!R15</f>
        <v>4.0037499999999993</v>
      </c>
      <c r="W5" s="596">
        <f>Evaluacion!T15</f>
        <v>0.67279999999999984</v>
      </c>
      <c r="X5" s="596">
        <f>Evaluacion!U15</f>
        <v>0.94579999999999964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11</v>
      </c>
      <c r="M6" t="s">
        <v>803</v>
      </c>
      <c r="N6" s="595">
        <v>1</v>
      </c>
      <c r="O6" s="596">
        <v>0</v>
      </c>
      <c r="P6" s="596">
        <f>Evaluacion!AJ9</f>
        <v>6.9849952749058319</v>
      </c>
      <c r="Q6" s="596">
        <f>Evaluacion!AI9</f>
        <v>15.52221172201296</v>
      </c>
      <c r="R6" s="596">
        <f>Evaluacion!AK9</f>
        <v>1.9958675335972795</v>
      </c>
      <c r="S6" s="596">
        <v>0</v>
      </c>
      <c r="T6" s="596">
        <f>0</f>
        <v>0</v>
      </c>
      <c r="U6" s="596">
        <f>Evaluacion!AL9</f>
        <v>9.9403179266778423</v>
      </c>
      <c r="V6" s="596">
        <f>Evaluacion!R9</f>
        <v>4.5175000000000001</v>
      </c>
      <c r="W6" s="596">
        <f>Evaluacion!T9</f>
        <v>0.38714285714285712</v>
      </c>
      <c r="X6" s="596">
        <f>Evaluacion!U9</f>
        <v>0.90200000000000036</v>
      </c>
    </row>
    <row r="7" spans="2:25" x14ac:dyDescent="0.25">
      <c r="B7" t="s">
        <v>503</v>
      </c>
      <c r="C7" t="str">
        <f>Evaluacion!A13</f>
        <v>S. Buschelman</v>
      </c>
      <c r="D7" s="635" t="str">
        <f>Evaluacion!D13</f>
        <v>TEC</v>
      </c>
      <c r="E7" s="265">
        <f>Evaluacion!K13</f>
        <v>0</v>
      </c>
      <c r="F7" s="265">
        <f>Evaluacion!L13</f>
        <v>9.3036666666666648</v>
      </c>
      <c r="G7" s="265">
        <f>Evaluacion!M13</f>
        <v>14</v>
      </c>
      <c r="H7" s="265">
        <f>Evaluacion!N13</f>
        <v>12.945</v>
      </c>
      <c r="I7" s="265">
        <f>Evaluacion!O13</f>
        <v>9.6733333333333356</v>
      </c>
      <c r="J7" s="265">
        <f>Evaluacion!P13</f>
        <v>4.99</v>
      </c>
      <c r="K7" s="265">
        <f>Evaluacion!Q13</f>
        <v>15.588888888888887</v>
      </c>
      <c r="M7" t="s">
        <v>503</v>
      </c>
      <c r="N7" s="595">
        <v>0.82499999999999996</v>
      </c>
      <c r="O7" s="596">
        <f>Evaluacion!BE13*N7</f>
        <v>2.9320055179128039</v>
      </c>
      <c r="P7" s="596">
        <f>Evaluacion!BF13*N7</f>
        <v>3.5063158770916005</v>
      </c>
      <c r="Q7" s="596">
        <v>0</v>
      </c>
      <c r="R7" s="596">
        <f>Evaluacion!BG13*N7</f>
        <v>12.290033991430175</v>
      </c>
      <c r="S7" s="596">
        <f>Evaluacion!BH13*N7</f>
        <v>10.777647004121937</v>
      </c>
      <c r="T7" s="596">
        <f>Evaluacion!BI13*N7</f>
        <v>2.5017234760892992</v>
      </c>
      <c r="U7" s="596">
        <v>0</v>
      </c>
      <c r="V7" s="596">
        <v>0</v>
      </c>
      <c r="W7" s="596">
        <f>Evaluacion!T13*N7</f>
        <v>0.59166249999999998</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16.669999999999998</v>
      </c>
      <c r="M8" t="s">
        <v>805</v>
      </c>
      <c r="N8" s="595">
        <v>0.82499999999999996</v>
      </c>
      <c r="O8" s="596">
        <f>((Evaluacion!AX16+Evaluacion!AZ16)/2)*N8</f>
        <v>0.96248188678610813</v>
      </c>
      <c r="P8" s="596">
        <f>Evaluacion!AY16*N8</f>
        <v>2.7159982695904286</v>
      </c>
      <c r="Q8" s="596">
        <f>O8</f>
        <v>0.96248188678610813</v>
      </c>
      <c r="R8" s="596">
        <f>Evaluacion!BA16*N8</f>
        <v>14.183812856515743</v>
      </c>
      <c r="S8" s="596">
        <f>((Evaluacion!BB16+Evaluacion!BD16)/2)*N8</f>
        <v>1.86378692913696</v>
      </c>
      <c r="T8" s="596">
        <f>Evaluacion!BC16*N8</f>
        <v>5.1161730330274828</v>
      </c>
      <c r="U8" s="596">
        <f>S8</f>
        <v>1.86378692913696</v>
      </c>
      <c r="V8" s="596">
        <v>0</v>
      </c>
      <c r="W8" s="596">
        <f>Evaluacion!T16*N8</f>
        <v>0.71914791666666655</v>
      </c>
      <c r="X8" s="596">
        <f>Evaluacion!U16*N8</f>
        <v>0.5929091666666666</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9.99</v>
      </c>
      <c r="J9" s="265">
        <f>Evaluacion!P14</f>
        <v>3.99</v>
      </c>
      <c r="K9" s="265">
        <f>Evaluacion!Q14</f>
        <v>17.144444444444439</v>
      </c>
      <c r="M9" t="s">
        <v>503</v>
      </c>
      <c r="N9" s="595">
        <v>0.82499999999999996</v>
      </c>
      <c r="O9" s="596">
        <v>0</v>
      </c>
      <c r="P9" s="596">
        <f>Evaluacion!BF14*N9</f>
        <v>3.3179376323967853</v>
      </c>
      <c r="Q9" s="596">
        <f>Evaluacion!BE14*N9</f>
        <v>2.7744823305386905</v>
      </c>
      <c r="R9" s="596">
        <f>Evaluacion!BG14*N9</f>
        <v>12.546766822447026</v>
      </c>
      <c r="S9" s="596">
        <v>0</v>
      </c>
      <c r="T9" s="596">
        <f>Evaluacion!BI14*N9</f>
        <v>2.5686551701368536</v>
      </c>
      <c r="U9" s="596">
        <f>Evaluacion!BH14*N9</f>
        <v>9.4752466649446596</v>
      </c>
      <c r="V9" s="596">
        <v>0</v>
      </c>
      <c r="W9" s="596">
        <f>Evaluacion!T14*N9</f>
        <v>0.58891249999999984</v>
      </c>
      <c r="X9" s="596">
        <f>Evaluacion!U14*N9</f>
        <v>0.70903433333333321</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17.529999999999998</v>
      </c>
      <c r="M10" t="s">
        <v>806</v>
      </c>
      <c r="N10" s="595">
        <v>1</v>
      </c>
      <c r="O10" s="596">
        <f>Evaluacion!BT10</f>
        <v>4.2744289528438708</v>
      </c>
      <c r="P10" s="596">
        <f>Evaluacion!BU10</f>
        <v>3.6723967059644527</v>
      </c>
      <c r="Q10" s="596">
        <v>0</v>
      </c>
      <c r="R10" s="596">
        <f>Evaluacion!BV10</f>
        <v>7.0997318082533871</v>
      </c>
      <c r="S10" s="596">
        <f>Evaluacion!BW10</f>
        <v>17.393822127448786</v>
      </c>
      <c r="T10" s="596">
        <f>Evaluacion!BX10</f>
        <v>1.6818631023657966</v>
      </c>
      <c r="U10" s="596">
        <v>0</v>
      </c>
      <c r="V10" s="596">
        <v>0</v>
      </c>
      <c r="W10" s="596">
        <f>Evaluacion!T10*N10</f>
        <v>0.91439999999999999</v>
      </c>
      <c r="X10" s="596">
        <f>Evaluacion!U10*N10</f>
        <v>1.0083444444444445</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18</v>
      </c>
      <c r="M11" t="s">
        <v>806</v>
      </c>
      <c r="N11" s="595">
        <v>1</v>
      </c>
      <c r="O11" s="596">
        <v>0</v>
      </c>
      <c r="P11" s="596">
        <f>Evaluacion!BU11</f>
        <v>2.4699667950675277</v>
      </c>
      <c r="Q11" s="596">
        <f>Evaluacion!BT11</f>
        <v>2.8748793844228597</v>
      </c>
      <c r="R11" s="596">
        <f>Evaluacion!BV11</f>
        <v>6.1299928251290297</v>
      </c>
      <c r="S11" s="596">
        <v>0</v>
      </c>
      <c r="T11" s="596">
        <f>Evaluacion!BX11</f>
        <v>1.6011339161332134</v>
      </c>
      <c r="U11" s="596">
        <f>Evaluacion!BW11</f>
        <v>17.350102967566951</v>
      </c>
      <c r="V11" s="596">
        <v>0</v>
      </c>
      <c r="W11" s="596">
        <f>Evaluacion!T11*N11</f>
        <v>0.81024999999999991</v>
      </c>
      <c r="X11" s="596">
        <f>Evaluacion!U11*N11</f>
        <v>0.8300121212121212</v>
      </c>
    </row>
    <row r="12" spans="2:25" x14ac:dyDescent="0.25">
      <c r="B12" t="s">
        <v>66</v>
      </c>
      <c r="C12" t="str">
        <f>Evaluacion!A19</f>
        <v>J. Limon</v>
      </c>
      <c r="D12" s="635" t="str">
        <f>Evaluacion!D19</f>
        <v>RAP</v>
      </c>
      <c r="E12" s="265">
        <f>Evaluacion!K19</f>
        <v>0</v>
      </c>
      <c r="F12" s="265">
        <f>Evaluacion!L19</f>
        <v>6.8376190476190493</v>
      </c>
      <c r="G12" s="265">
        <f>Evaluacion!M19</f>
        <v>9</v>
      </c>
      <c r="H12" s="265">
        <f>Evaluacion!N19</f>
        <v>8.7399999999999967</v>
      </c>
      <c r="I12" s="265">
        <f>Evaluacion!O19</f>
        <v>9.6900000000000013</v>
      </c>
      <c r="J12" s="265">
        <f>Evaluacion!P19</f>
        <v>8.5625000000000018</v>
      </c>
      <c r="K12" s="265">
        <f>Evaluacion!Q19</f>
        <v>18.999999999999993</v>
      </c>
      <c r="M12" t="s">
        <v>66</v>
      </c>
      <c r="N12" s="595">
        <v>0.94499999999999995</v>
      </c>
      <c r="O12" s="596">
        <v>0</v>
      </c>
      <c r="P12" s="596">
        <v>0</v>
      </c>
      <c r="Q12" s="596">
        <v>0</v>
      </c>
      <c r="R12" s="596">
        <f>N12*Evaluacion!CK19</f>
        <v>2.8086636958248405</v>
      </c>
      <c r="S12" s="596">
        <f>N12*Evaluacion!CH19</f>
        <v>6.8071375799955023</v>
      </c>
      <c r="T12" s="596">
        <f>N12*Evaluacion!CI19</f>
        <v>15.20741134833683</v>
      </c>
      <c r="U12" s="596">
        <f>S12</f>
        <v>6.8071375799955023</v>
      </c>
      <c r="V12" s="596">
        <v>0</v>
      </c>
      <c r="W12" s="596">
        <f>Evaluacion!T19*N12</f>
        <v>0.94322812499999986</v>
      </c>
      <c r="X12" s="596">
        <f>Evaluacion!U19*N12</f>
        <v>0.79711199999999982</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11</v>
      </c>
      <c r="M13" t="s">
        <v>602</v>
      </c>
      <c r="N13" s="595">
        <f>1-0.055</f>
        <v>0.94499999999999995</v>
      </c>
      <c r="O13" s="596">
        <v>0</v>
      </c>
      <c r="P13" s="596">
        <v>0</v>
      </c>
      <c r="Q13" s="596">
        <v>0</v>
      </c>
      <c r="R13" s="596">
        <f>N13*Evaluacion!CD20</f>
        <v>6.5940656917496865</v>
      </c>
      <c r="S13" s="596">
        <f>N13*Evaluacion!CE20</f>
        <v>7.8821628677230562</v>
      </c>
      <c r="T13" s="596">
        <f>N13*Evaluacion!CF20</f>
        <v>16.312237026882134</v>
      </c>
      <c r="U13" s="596">
        <f>S13</f>
        <v>7.8821628677230562</v>
      </c>
      <c r="V13" s="596">
        <v>0</v>
      </c>
      <c r="W13" s="596">
        <f>Evaluacion!T20*N13</f>
        <v>0.78434999999999999</v>
      </c>
      <c r="X13" s="596">
        <f>Evaluacion!U20*N13</f>
        <v>0.42600599999999994</v>
      </c>
    </row>
    <row r="14" spans="2:25" x14ac:dyDescent="0.25">
      <c r="M14" s="263"/>
      <c r="N14" s="443"/>
      <c r="O14" s="597">
        <f>SUM(O3:O13)</f>
        <v>42.985845279342293</v>
      </c>
      <c r="P14" s="597">
        <f t="shared" ref="P14:X14" si="0">SUM(P3:P13)</f>
        <v>65.412466014293472</v>
      </c>
      <c r="Q14" s="597">
        <f t="shared" si="0"/>
        <v>42.964402359565959</v>
      </c>
      <c r="R14" s="597">
        <f t="shared" si="0"/>
        <v>70.133417004494177</v>
      </c>
      <c r="S14" s="597">
        <f t="shared" si="0"/>
        <v>52.296706670344257</v>
      </c>
      <c r="T14" s="597">
        <f t="shared" si="0"/>
        <v>44.989197072971606</v>
      </c>
      <c r="U14" s="597">
        <f t="shared" si="0"/>
        <v>53.318754936044975</v>
      </c>
      <c r="V14" s="653">
        <f t="shared" si="0"/>
        <v>12.821250000000001</v>
      </c>
      <c r="W14" s="653">
        <f t="shared" si="0"/>
        <v>7.6643383432539673</v>
      </c>
      <c r="X14" s="653">
        <f t="shared" si="0"/>
        <v>8.936619776612277</v>
      </c>
    </row>
    <row r="15" spans="2:25" ht="15.75" x14ac:dyDescent="0.25">
      <c r="M15" s="263"/>
      <c r="N15" s="263" t="s">
        <v>811</v>
      </c>
      <c r="O15" s="599">
        <f>O14*0.34</f>
        <v>14.615187394976381</v>
      </c>
      <c r="P15" s="599">
        <f>P14*0.245</f>
        <v>16.026054173501901</v>
      </c>
      <c r="Q15" s="599">
        <f>Q14*0.34</f>
        <v>14.607896802252426</v>
      </c>
      <c r="R15" s="599">
        <f>R14*0.125</f>
        <v>8.7666771255617721</v>
      </c>
      <c r="S15" s="599">
        <f>S14*0.25</f>
        <v>13.074176667586064</v>
      </c>
      <c r="T15" s="599">
        <f>T14*0.19</f>
        <v>8.5479474438646061</v>
      </c>
      <c r="U15" s="599">
        <f>U14*0.25</f>
        <v>13.329688734011244</v>
      </c>
    </row>
    <row r="16" spans="2:25" ht="15.75" x14ac:dyDescent="0.25">
      <c r="M16" s="263"/>
      <c r="N16" s="263" t="s">
        <v>812</v>
      </c>
      <c r="O16" s="609">
        <f>O15*1.2/1.05</f>
        <v>16.703071308544434</v>
      </c>
      <c r="P16" s="609">
        <f t="shared" ref="P16:Q16" si="1">P15*1.2/1.05</f>
        <v>18.315490484002172</v>
      </c>
      <c r="Q16" s="609">
        <f t="shared" si="1"/>
        <v>16.694739202574198</v>
      </c>
      <c r="R16" s="609">
        <f>R15</f>
        <v>8.7666771255617721</v>
      </c>
      <c r="S16" s="609">
        <f>S15*0.925/1.05</f>
        <v>11.51772706430201</v>
      </c>
      <c r="T16" s="609">
        <f t="shared" ref="T16:U16" si="2">T15*0.925/1.05</f>
        <v>7.5303346529283433</v>
      </c>
      <c r="U16" s="609">
        <f t="shared" si="2"/>
        <v>11.742821027581334</v>
      </c>
    </row>
    <row r="17" spans="13:21" ht="15.75" x14ac:dyDescent="0.25">
      <c r="M17" s="263"/>
      <c r="N17" s="263" t="s">
        <v>813</v>
      </c>
      <c r="O17" s="609">
        <f>O15*0.925/1.05</f>
        <v>12.87528413366967</v>
      </c>
      <c r="P17" s="609">
        <f t="shared" ref="P17:Q17" si="3">P15*0.925/1.05</f>
        <v>14.118190581418343</v>
      </c>
      <c r="Q17" s="609">
        <f t="shared" si="3"/>
        <v>12.868861468650946</v>
      </c>
      <c r="R17" s="609">
        <f>R16</f>
        <v>8.7666771255617721</v>
      </c>
      <c r="S17" s="609">
        <f>S15*1.135/1.05</f>
        <v>14.132562397819221</v>
      </c>
      <c r="T17" s="609">
        <f t="shared" ref="T17:U17" si="4">T15*1.135/1.05</f>
        <v>9.2399241417012643</v>
      </c>
      <c r="U17" s="609">
        <f t="shared" si="4"/>
        <v>14.408758774383582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15.650997035805339</v>
      </c>
      <c r="O2" s="596">
        <f>Evaluacion!Y3</f>
        <v>23.067560277246141</v>
      </c>
      <c r="P2" s="596">
        <f>Evaluacion!Z3</f>
        <v>15.650997035805339</v>
      </c>
      <c r="Q2" s="596">
        <v>0</v>
      </c>
      <c r="R2" s="596">
        <v>0</v>
      </c>
      <c r="S2" s="596">
        <v>0</v>
      </c>
      <c r="T2" s="596">
        <v>0</v>
      </c>
      <c r="U2" s="596">
        <v>0</v>
      </c>
      <c r="V2" s="596">
        <f>Evaluacion!T3</f>
        <v>0.55302777777777778</v>
      </c>
      <c r="W2" s="596">
        <f>Evaluacion!U3</f>
        <v>1.0292223776223779</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11</v>
      </c>
      <c r="L3" t="str">
        <f t="shared" ref="L3:L12" si="0">A3</f>
        <v>LATN</v>
      </c>
      <c r="M3" s="595">
        <v>1</v>
      </c>
      <c r="N3" s="596">
        <f>Evaluacion!AI9</f>
        <v>15.52221172201296</v>
      </c>
      <c r="O3" s="596">
        <f>Evaluacion!AJ9</f>
        <v>6.9849952749058319</v>
      </c>
      <c r="P3" s="596">
        <v>0</v>
      </c>
      <c r="Q3" s="596">
        <f>Evaluacion!AK9</f>
        <v>1.9958675335972795</v>
      </c>
      <c r="R3" s="596">
        <f>Evaluacion!AL9</f>
        <v>9.9403179266778423</v>
      </c>
      <c r="S3" s="596">
        <v>0</v>
      </c>
      <c r="T3" s="596">
        <v>0</v>
      </c>
      <c r="U3" s="596">
        <f>Evaluacion!R9</f>
        <v>4.5175000000000001</v>
      </c>
      <c r="V3" s="596">
        <f>Evaluacion!T9</f>
        <v>0.38714285714285712</v>
      </c>
      <c r="W3" s="596">
        <f>Evaluacion!U9</f>
        <v>0.90200000000000036</v>
      </c>
      <c r="AA3" s="602"/>
    </row>
    <row r="4" spans="1:27" x14ac:dyDescent="0.25">
      <c r="A4" t="s">
        <v>815</v>
      </c>
      <c r="B4" t="str">
        <f>Evaluacion!A7</f>
        <v>B. Bartolache</v>
      </c>
      <c r="C4">
        <f>Evaluacion!D7</f>
        <v>0</v>
      </c>
      <c r="D4" s="265">
        <f>Evaluacion!K7</f>
        <v>0</v>
      </c>
      <c r="E4" s="265">
        <f>Evaluacion!L7</f>
        <v>11.95</v>
      </c>
      <c r="F4" s="265">
        <f>Evaluacion!M7</f>
        <v>7.0225000000000017</v>
      </c>
      <c r="G4" s="265">
        <f>Evaluacion!N7</f>
        <v>7.5000000000000018</v>
      </c>
      <c r="H4" s="265">
        <f>Evaluacion!O7</f>
        <v>8.99</v>
      </c>
      <c r="I4" s="265">
        <f>Evaluacion!P7</f>
        <v>4.6199999999999966</v>
      </c>
      <c r="J4" s="265">
        <f>Evaluacion!Q7</f>
        <v>16</v>
      </c>
      <c r="L4" t="str">
        <f t="shared" si="0"/>
        <v>DCHL</v>
      </c>
      <c r="M4" s="595">
        <v>0.9</v>
      </c>
      <c r="N4" s="596">
        <f>M4*Evaluacion!AM7</f>
        <v>10.028020724071864</v>
      </c>
      <c r="O4" s="596">
        <f>M4*Evaluacion!AN7</f>
        <v>9.4162316613300785</v>
      </c>
      <c r="P4" s="596">
        <v>0</v>
      </c>
      <c r="Q4" s="596">
        <f>M4*Evaluacion!AO7</f>
        <v>2.8297752929973492</v>
      </c>
      <c r="R4" s="596">
        <f>M4*Evaluacion!AP7</f>
        <v>1.7998235232529132</v>
      </c>
      <c r="S4" s="596">
        <v>0</v>
      </c>
      <c r="T4" s="596">
        <v>0</v>
      </c>
      <c r="U4" s="596">
        <f>Evaluacion!R7</f>
        <v>4.11625</v>
      </c>
      <c r="V4" s="596">
        <f>Evaluacion!T7*M4</f>
        <v>0.6398999999999998</v>
      </c>
      <c r="W4" s="596">
        <f>Evaluacion!U7*M4</f>
        <v>0.86219999999999997</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17.177777777777774</v>
      </c>
      <c r="L5" t="str">
        <f t="shared" si="0"/>
        <v>DCN</v>
      </c>
      <c r="M5" s="595">
        <v>0.9</v>
      </c>
      <c r="N5" s="596">
        <f>M5*(Evaluacion!AA6+Evaluacion!AC6)/2</f>
        <v>5.2951374683606174</v>
      </c>
      <c r="O5" s="596">
        <f>M5*Evaluacion!AB6</f>
        <v>13.682525758037773</v>
      </c>
      <c r="P5" s="596">
        <f>N5</f>
        <v>5.2951374683606174</v>
      </c>
      <c r="Q5" s="596">
        <f>M5*Evaluacion!AD6</f>
        <v>3.4838263304129882</v>
      </c>
      <c r="R5" s="596">
        <v>0</v>
      </c>
      <c r="S5" s="596">
        <f>0</f>
        <v>0</v>
      </c>
      <c r="T5" s="596">
        <v>0</v>
      </c>
      <c r="U5" s="596">
        <f>Evaluacion!R6</f>
        <v>4.3000000000000007</v>
      </c>
      <c r="V5" s="596">
        <f>Evaluacion!T6*M5</f>
        <v>0.62947499999999978</v>
      </c>
      <c r="W5" s="596">
        <f>Evaluacion!U6*M5</f>
        <v>0.90300000000000014</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8.7769007767603586</v>
      </c>
      <c r="P6" s="596">
        <f>M6*Evaluacion!AM5</f>
        <v>9.3471513921995903</v>
      </c>
      <c r="Q6" s="596">
        <f>M6*Evaluacion!AO5</f>
        <v>2.7481774690946041</v>
      </c>
      <c r="R6" s="596">
        <v>0</v>
      </c>
      <c r="S6" s="596">
        <v>0</v>
      </c>
      <c r="T6" s="596">
        <f>M6*Evaluacion!AP5</f>
        <v>1.6555615227499765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17.529999999999998</v>
      </c>
      <c r="L7" t="str">
        <f t="shared" si="0"/>
        <v>LATN</v>
      </c>
      <c r="M7" s="595">
        <v>1</v>
      </c>
      <c r="N7" s="596">
        <v>0</v>
      </c>
      <c r="O7" s="596">
        <f>Evaluacion!AJ10</f>
        <v>6.231033755201981</v>
      </c>
      <c r="P7" s="596">
        <f>Evaluacion!AI10</f>
        <v>13.846741678226625</v>
      </c>
      <c r="Q7" s="596">
        <f>Evaluacion!AK10</f>
        <v>2.6058356307215731</v>
      </c>
      <c r="R7" s="596">
        <v>0</v>
      </c>
      <c r="S7" s="596">
        <v>0</v>
      </c>
      <c r="T7" s="596">
        <f>Evaluacion!AL10</f>
        <v>9.5293406957941205</v>
      </c>
      <c r="U7" s="596">
        <f>Evaluacion!R10</f>
        <v>4.6101388888888888</v>
      </c>
      <c r="V7" s="596">
        <f>Evaluacion!T10</f>
        <v>0.91439999999999999</v>
      </c>
      <c r="W7" s="596">
        <f>Evaluacion!U10</f>
        <v>1.0083444444444445</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9.99</v>
      </c>
      <c r="I8" s="265">
        <f>Evaluacion!P14</f>
        <v>3.99</v>
      </c>
      <c r="J8" s="265">
        <f>Evaluacion!Q14</f>
        <v>17.144444444444439</v>
      </c>
      <c r="L8" t="str">
        <f t="shared" si="0"/>
        <v>IHL</v>
      </c>
      <c r="M8" s="595">
        <f>1-0.065</f>
        <v>0.93500000000000005</v>
      </c>
      <c r="N8" s="596">
        <f>M8*Evaluacion!BE14</f>
        <v>3.1444133079438497</v>
      </c>
      <c r="O8" s="596">
        <f>M8*Evaluacion!BF14</f>
        <v>3.7603293167163567</v>
      </c>
      <c r="P8" s="596">
        <v>0</v>
      </c>
      <c r="Q8" s="596">
        <f>Evaluacion!BG14*M8</f>
        <v>14.219669065439966</v>
      </c>
      <c r="R8" s="596">
        <f>Evaluacion!BH14*M8</f>
        <v>10.738612886937281</v>
      </c>
      <c r="S8" s="596">
        <f>Evaluacion!BI14*M8</f>
        <v>2.9111425261551007</v>
      </c>
      <c r="T8" s="596">
        <v>0</v>
      </c>
      <c r="U8" s="596">
        <v>0</v>
      </c>
      <c r="V8" s="596">
        <f>Evaluacion!T14*M8</f>
        <v>0.66743416666666655</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9.6733333333333356</v>
      </c>
      <c r="I9" s="265">
        <f>Evaluacion!P13</f>
        <v>4.99</v>
      </c>
      <c r="J9" s="265">
        <f>Evaluacion!Q13</f>
        <v>15.588888888888887</v>
      </c>
      <c r="L9" t="str">
        <f t="shared" si="0"/>
        <v>IHL</v>
      </c>
      <c r="M9" s="595">
        <f>1-0.065</f>
        <v>0.93500000000000005</v>
      </c>
      <c r="N9" s="596">
        <v>0</v>
      </c>
      <c r="O9" s="596">
        <f>M9*Evaluacion!BF13</f>
        <v>3.9738246607038148</v>
      </c>
      <c r="P9" s="596">
        <f>M9*Evaluacion!BE13</f>
        <v>3.3229395869678449</v>
      </c>
      <c r="Q9" s="596">
        <f>Evaluacion!BG13*M9</f>
        <v>13.928705190287534</v>
      </c>
      <c r="R9" s="596">
        <v>0</v>
      </c>
      <c r="S9" s="596">
        <f>Evaluacion!BI13*M9</f>
        <v>2.8352866062345394</v>
      </c>
      <c r="T9" s="596">
        <f>Evaluacion!BH13*M9</f>
        <v>12.214666604671528</v>
      </c>
      <c r="U9" s="596">
        <v>0</v>
      </c>
      <c r="V9" s="596">
        <f>Evaluacion!T13*M9</f>
        <v>0.67055083333333332</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18</v>
      </c>
      <c r="L10" t="str">
        <f t="shared" si="0"/>
        <v>EXTN</v>
      </c>
      <c r="M10" s="595">
        <v>1</v>
      </c>
      <c r="N10" s="596">
        <f>Evaluacion!BT11</f>
        <v>2.8748793844228597</v>
      </c>
      <c r="O10" s="596">
        <f>Evaluacion!BU11</f>
        <v>2.4699667950675277</v>
      </c>
      <c r="P10" s="596">
        <v>0</v>
      </c>
      <c r="Q10" s="596">
        <f>Evaluacion!BV11</f>
        <v>6.1299928251290297</v>
      </c>
      <c r="R10" s="596">
        <f>Evaluacion!BW11</f>
        <v>17.350102967566951</v>
      </c>
      <c r="S10" s="596">
        <f>Evaluacion!BX11</f>
        <v>1.6011339161332134</v>
      </c>
      <c r="T10" s="596">
        <v>0</v>
      </c>
      <c r="U10" s="596">
        <v>0</v>
      </c>
      <c r="V10" s="596">
        <f>Evaluacion!T11</f>
        <v>0.81024999999999991</v>
      </c>
      <c r="W10" s="596">
        <f>Evaluacion!U11</f>
        <v>0.8300121212121212</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16</v>
      </c>
      <c r="L11" t="str">
        <f t="shared" si="0"/>
        <v>EXTN</v>
      </c>
      <c r="M11" s="595">
        <v>1</v>
      </c>
      <c r="N11" s="596">
        <v>0</v>
      </c>
      <c r="O11" s="596">
        <f>Evaluacion!BU12</f>
        <v>2.7268697375479509</v>
      </c>
      <c r="P11" s="596">
        <f>Evaluacion!BT12</f>
        <v>3.1738975633754833</v>
      </c>
      <c r="Q11" s="596">
        <f>Evaluacion!BV12</f>
        <v>6.8564442965659662</v>
      </c>
      <c r="R11" s="596">
        <v>0</v>
      </c>
      <c r="S11" s="596">
        <f>Evaluacion!BX12</f>
        <v>1.5797391731282875</v>
      </c>
      <c r="T11" s="596">
        <f>Evaluacion!BW12</f>
        <v>16.297390775422663</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11</v>
      </c>
      <c r="L12" t="str">
        <f t="shared" si="0"/>
        <v>DD</v>
      </c>
      <c r="M12" s="595">
        <v>1</v>
      </c>
      <c r="N12" s="596">
        <v>0</v>
      </c>
      <c r="O12" s="596">
        <v>0</v>
      </c>
      <c r="P12" s="596">
        <v>0</v>
      </c>
      <c r="Q12" s="596">
        <f>M12*Evaluacion!CD20</f>
        <v>6.9778472928568114</v>
      </c>
      <c r="R12" s="596">
        <f>M12*Evaluacion!CE20</f>
        <v>8.3409130875376256</v>
      </c>
      <c r="S12" s="596">
        <f>M12*Evaluacion!CF20</f>
        <v>17.261626483473158</v>
      </c>
      <c r="T12" s="596">
        <f>R12</f>
        <v>8.3409130875376256</v>
      </c>
      <c r="U12" s="596">
        <v>0</v>
      </c>
      <c r="V12" s="596">
        <f>Evaluacion!T20*M12</f>
        <v>0.83000000000000007</v>
      </c>
      <c r="W12" s="596">
        <f>Evaluacion!U20*M12</f>
        <v>0.45079999999999998</v>
      </c>
      <c r="AA12" s="602"/>
    </row>
    <row r="13" spans="1:27" x14ac:dyDescent="0.25">
      <c r="L13" s="263"/>
      <c r="M13" s="443"/>
      <c r="N13" s="597">
        <f>SUM(N2:N12)</f>
        <v>52.515659642617493</v>
      </c>
      <c r="O13" s="597">
        <f t="shared" ref="O13:W13" si="1">SUM(O2:O12)</f>
        <v>81.090238013517819</v>
      </c>
      <c r="P13" s="597">
        <f t="shared" si="1"/>
        <v>50.636864724935499</v>
      </c>
      <c r="Q13" s="597">
        <f t="shared" si="1"/>
        <v>61.7761409271031</v>
      </c>
      <c r="R13" s="597">
        <f t="shared" si="1"/>
        <v>48.169770391972619</v>
      </c>
      <c r="S13" s="597">
        <f t="shared" si="1"/>
        <v>26.188928705124297</v>
      </c>
      <c r="T13" s="597">
        <f t="shared" si="1"/>
        <v>48.037872686175916</v>
      </c>
      <c r="U13" s="598">
        <f t="shared" si="1"/>
        <v>21.234250000000003</v>
      </c>
      <c r="V13" s="598">
        <f t="shared" si="1"/>
        <v>7.5565839682539675</v>
      </c>
      <c r="W13" s="598">
        <f t="shared" si="1"/>
        <v>9.2084306543900531</v>
      </c>
    </row>
    <row r="14" spans="1:27" ht="15.75" x14ac:dyDescent="0.25">
      <c r="L14" s="263"/>
      <c r="M14" s="263" t="s">
        <v>811</v>
      </c>
      <c r="N14" s="599">
        <f>N13*0.34</f>
        <v>17.855324278489949</v>
      </c>
      <c r="O14" s="599">
        <f>O13*0.245</f>
        <v>19.867108313311864</v>
      </c>
      <c r="P14" s="599">
        <f>P13*0.34</f>
        <v>17.216534006478071</v>
      </c>
      <c r="Q14" s="599">
        <f>Q13*0.125</f>
        <v>7.7220176158878875</v>
      </c>
      <c r="R14" s="599">
        <f>R13*0.25</f>
        <v>12.042442597993155</v>
      </c>
      <c r="S14" s="599">
        <f>S13*0.19</f>
        <v>4.9758964539736166</v>
      </c>
      <c r="T14" s="599">
        <f>T13*0.25</f>
        <v>12.009468171543979</v>
      </c>
    </row>
    <row r="15" spans="1:27" ht="15.75" x14ac:dyDescent="0.25">
      <c r="L15" s="263"/>
      <c r="M15" s="263" t="s">
        <v>812</v>
      </c>
      <c r="N15" s="609">
        <f>N14*1.2/1.05</f>
        <v>20.4060848897028</v>
      </c>
      <c r="O15" s="609">
        <f t="shared" ref="O15:P15" si="2">O14*1.2/1.05</f>
        <v>22.705266643784984</v>
      </c>
      <c r="P15" s="609">
        <f t="shared" si="2"/>
        <v>19.676038864546364</v>
      </c>
      <c r="Q15" s="609">
        <f>Q14</f>
        <v>7.7220176158878875</v>
      </c>
      <c r="R15" s="609">
        <f>R14*0.925/1.05</f>
        <v>10.608818479184446</v>
      </c>
      <c r="S15" s="609">
        <f t="shared" ref="S15:T15" si="3">S14*0.925/1.05</f>
        <v>4.3835278285005668</v>
      </c>
      <c r="T15" s="609">
        <f t="shared" si="3"/>
        <v>10.579769579693505</v>
      </c>
    </row>
    <row r="16" spans="1:27" ht="15.75" x14ac:dyDescent="0.25">
      <c r="L16" s="263"/>
      <c r="M16" s="263" t="s">
        <v>813</v>
      </c>
      <c r="N16" s="609">
        <f>N14*0.925/1.05</f>
        <v>15.729690435812575</v>
      </c>
      <c r="O16" s="609">
        <f t="shared" ref="O16:P16" si="4">O14*0.925/1.05</f>
        <v>17.501976371250926</v>
      </c>
      <c r="P16" s="609">
        <f t="shared" si="4"/>
        <v>15.166946624754491</v>
      </c>
      <c r="Q16" s="609">
        <f>Q15</f>
        <v>7.7220176158878875</v>
      </c>
      <c r="R16" s="609">
        <f>R14*1.135/1.05</f>
        <v>13.017306998783077</v>
      </c>
      <c r="S16" s="609">
        <f t="shared" ref="S16:T16" si="5">S14*1.135/1.05</f>
        <v>5.3787071192952896</v>
      </c>
      <c r="T16" s="609">
        <f t="shared" si="5"/>
        <v>12.981663214002301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69</v>
      </c>
      <c r="E4" s="163">
        <f>PLANTILLA!X17</f>
        <v>0</v>
      </c>
      <c r="F4" s="163">
        <f>PLANTILLA!Y17</f>
        <v>10.549999999999995</v>
      </c>
      <c r="G4" s="163">
        <f>PLANTILLA!Z17</f>
        <v>13</v>
      </c>
      <c r="H4" s="163">
        <f>PLANTILLA!AA17</f>
        <v>5.1399999999999979</v>
      </c>
      <c r="I4" s="163">
        <f>PLANTILLA!AB17</f>
        <v>9.24</v>
      </c>
      <c r="J4" s="163">
        <f>PLANTILLA!AC17</f>
        <v>2.98</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105</v>
      </c>
      <c r="E5" s="163">
        <f>PLANTILLA!X10</f>
        <v>0</v>
      </c>
      <c r="F5" s="163">
        <f>PLANTILLA!Y10</f>
        <v>11.95</v>
      </c>
      <c r="G5" s="163">
        <f>PLANTILLA!Z10</f>
        <v>7.0225000000000017</v>
      </c>
      <c r="H5" s="163">
        <f>PLANTILLA!AA10</f>
        <v>7.5000000000000018</v>
      </c>
      <c r="I5" s="163">
        <f>PLANTILLA!AB10</f>
        <v>8.99</v>
      </c>
      <c r="J5" s="163">
        <f>PLANTILLA!AC10</f>
        <v>4.6199999999999966</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54</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32</v>
      </c>
      <c r="D7" s="5">
        <f ca="1">PLANTILLA!F9</f>
        <v>8</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82</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71</v>
      </c>
      <c r="E9" s="163">
        <f>PLANTILLA!X20</f>
        <v>0</v>
      </c>
      <c r="F9" s="163">
        <f>PLANTILLA!Y20</f>
        <v>3</v>
      </c>
      <c r="G9" s="163">
        <f>PLANTILLA!Z20</f>
        <v>15.07</v>
      </c>
      <c r="H9" s="163">
        <f>PLANTILLA!AA20</f>
        <v>12.02</v>
      </c>
      <c r="I9" s="163">
        <f>PLANTILLA!AB20</f>
        <v>12</v>
      </c>
      <c r="J9" s="163">
        <f>PLANTILLA!AC20</f>
        <v>8</v>
      </c>
      <c r="K9" s="163">
        <f>PLANTILLA!AD20</f>
        <v>5</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31</v>
      </c>
      <c r="D10" s="5">
        <f ca="1">PLANTILLA!F7</f>
        <v>9</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11</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109</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31</v>
      </c>
      <c r="D12" s="5">
        <f ca="1">PLANTILLA!F18</f>
        <v>44</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16.669999999999998</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31</v>
      </c>
      <c r="D13" s="5">
        <f ca="1">PLANTILLA!F13</f>
        <v>29</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28</v>
      </c>
      <c r="D14" s="5">
        <f ca="1">PLANTILLA!F14</f>
        <v>44</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30</v>
      </c>
      <c r="D15" s="5">
        <f ca="1">PLANTILLA!F15</f>
        <v>41</v>
      </c>
      <c r="E15" s="163">
        <f>PLANTILLA!X15</f>
        <v>0</v>
      </c>
      <c r="F15" s="163">
        <f>PLANTILLA!Y15</f>
        <v>9.3036666666666648</v>
      </c>
      <c r="G15" s="163">
        <f>PLANTILLA!Z15</f>
        <v>14</v>
      </c>
      <c r="H15" s="163">
        <f>PLANTILLA!AA15</f>
        <v>12.945</v>
      </c>
      <c r="I15" s="163">
        <f>PLANTILLA!AB15</f>
        <v>9.6733333333333356</v>
      </c>
      <c r="J15" s="163">
        <f>PLANTILLA!AC15</f>
        <v>4.99</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75</v>
      </c>
      <c r="E16" s="163">
        <f>PLANTILLA!X16</f>
        <v>0</v>
      </c>
      <c r="F16" s="163">
        <f>PLANTILLA!Y16</f>
        <v>8.6275555555555581</v>
      </c>
      <c r="G16" s="163">
        <f>PLANTILLA!Z16</f>
        <v>14.333255555555548</v>
      </c>
      <c r="H16" s="163">
        <f>PLANTILLA!AA16</f>
        <v>9.99</v>
      </c>
      <c r="I16" s="163">
        <f>PLANTILLA!AB16</f>
        <v>9.99</v>
      </c>
      <c r="J16" s="163">
        <f>PLANTILLA!AC16</f>
        <v>3.99</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81</v>
      </c>
      <c r="E17" s="163">
        <f>PLANTILLA!X21</f>
        <v>0</v>
      </c>
      <c r="F17" s="163">
        <f>PLANTILLA!Y21</f>
        <v>6.8376190476190493</v>
      </c>
      <c r="G17" s="163">
        <f>PLANTILLA!Z21</f>
        <v>9</v>
      </c>
      <c r="H17" s="163">
        <f>PLANTILLA!AA21</f>
        <v>8.7399999999999967</v>
      </c>
      <c r="I17" s="163">
        <f>PLANTILLA!AB21</f>
        <v>9.6900000000000013</v>
      </c>
      <c r="J17" s="163">
        <f>PLANTILLA!AC21</f>
        <v>8.5625000000000018</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28</v>
      </c>
      <c r="D18" s="5">
        <f ca="1">PLANTILLA!F23</f>
        <v>0</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31</v>
      </c>
      <c r="D19" s="5">
        <f ca="1">PLANTILLA!F22</f>
        <v>38</v>
      </c>
      <c r="E19" s="163">
        <f>PLANTILLA!X22</f>
        <v>0</v>
      </c>
      <c r="F19" s="163">
        <f>PLANTILLA!Y22</f>
        <v>3.02</v>
      </c>
      <c r="G19" s="163">
        <f>PLANTILLA!Z22</f>
        <v>14.277609523809524</v>
      </c>
      <c r="H19" s="163">
        <f>PLANTILLA!AA22</f>
        <v>3.04</v>
      </c>
      <c r="I19" s="163">
        <f>PLANTILLA!AB22</f>
        <v>15.02</v>
      </c>
      <c r="J19" s="163">
        <f>PLANTILLA!AC22</f>
        <v>10</v>
      </c>
      <c r="K19" s="163">
        <f>PLANTILLA!AD22</f>
        <v>11</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28</v>
      </c>
      <c r="D20" s="5">
        <f ca="1">PLANTILLA!F11</f>
        <v>16</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106</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35</v>
      </c>
      <c r="D22" s="5">
        <f ca="1">PLANTILLA!F6</f>
        <v>6</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30</v>
      </c>
      <c r="D4" s="287">
        <f ca="1">PLANTILLA!F15</f>
        <v>41</v>
      </c>
      <c r="E4" s="163">
        <f>PLANTILLA!X15</f>
        <v>0</v>
      </c>
      <c r="F4" s="163">
        <f>PLANTILLA!Y15</f>
        <v>9.3036666666666648</v>
      </c>
      <c r="G4" s="163">
        <f>PLANTILLA!Z15</f>
        <v>14</v>
      </c>
      <c r="H4" s="163">
        <f>PLANTILLA!AA15</f>
        <v>12.945</v>
      </c>
      <c r="I4" s="163">
        <f>PLANTILLA!AB15</f>
        <v>9.6733333333333356</v>
      </c>
      <c r="J4" s="163">
        <f>PLANTILLA!AC15</f>
        <v>4.99</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31</v>
      </c>
      <c r="D5" s="287">
        <f ca="1">PLANTILLA!F18</f>
        <v>44</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81</v>
      </c>
      <c r="E6" s="163">
        <f>PLANTILLA!X21</f>
        <v>0</v>
      </c>
      <c r="F6" s="163">
        <f>PLANTILLA!Y21</f>
        <v>6.8376190476190493</v>
      </c>
      <c r="G6" s="163">
        <f>PLANTILLA!Z21</f>
        <v>9</v>
      </c>
      <c r="H6" s="163">
        <f>PLANTILLA!AA21</f>
        <v>8.7399999999999967</v>
      </c>
      <c r="I6" s="163">
        <f>PLANTILLA!AB21</f>
        <v>9.6900000000000013</v>
      </c>
      <c r="J6" s="163">
        <f>PLANTILLA!AC21</f>
        <v>8.5625000000000018</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71</v>
      </c>
      <c r="E7" s="163">
        <f>PLANTILLA!X20</f>
        <v>0</v>
      </c>
      <c r="F7" s="163">
        <f>PLANTILLA!Y20</f>
        <v>3</v>
      </c>
      <c r="G7" s="163">
        <f>PLANTILLA!Z20</f>
        <v>15.07</v>
      </c>
      <c r="H7" s="163">
        <f>PLANTILLA!AA20</f>
        <v>12.02</v>
      </c>
      <c r="I7" s="163">
        <f>PLANTILLA!AB20</f>
        <v>12</v>
      </c>
      <c r="J7" s="163">
        <f>PLANTILLA!AC20</f>
        <v>8</v>
      </c>
      <c r="K7" s="163">
        <f>PLANTILLA!AD20</f>
        <v>5</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31</v>
      </c>
      <c r="D8" s="287">
        <f ca="1">PLANTILLA!F13</f>
        <v>29</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75</v>
      </c>
      <c r="E9" s="163">
        <f>PLANTILLA!X16</f>
        <v>0</v>
      </c>
      <c r="F9" s="163">
        <f>PLANTILLA!Y16</f>
        <v>8.6275555555555581</v>
      </c>
      <c r="G9" s="163">
        <f>PLANTILLA!Z16</f>
        <v>14.333255555555548</v>
      </c>
      <c r="H9" s="163">
        <f>PLANTILLA!AA16</f>
        <v>9.99</v>
      </c>
      <c r="I9" s="163">
        <f>PLANTILLA!AB16</f>
        <v>9.99</v>
      </c>
      <c r="J9" s="163">
        <f>PLANTILLA!AC16</f>
        <v>3.99</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28</v>
      </c>
      <c r="D10" s="287">
        <f ca="1">PLANTILLA!F14</f>
        <v>44</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82</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54</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105</v>
      </c>
      <c r="E13" s="163">
        <f>PLANTILLA!X10</f>
        <v>0</v>
      </c>
      <c r="F13" s="163">
        <f>PLANTILLA!Y10</f>
        <v>11.95</v>
      </c>
      <c r="G13" s="163">
        <f>PLANTILLA!Z10</f>
        <v>7.0225000000000017</v>
      </c>
      <c r="H13" s="163">
        <f>PLANTILLA!AA10</f>
        <v>7.5000000000000018</v>
      </c>
      <c r="I13" s="163">
        <f>PLANTILLA!AB10</f>
        <v>8.99</v>
      </c>
      <c r="J13" s="163">
        <f>PLANTILLA!AC10</f>
        <v>4.6199999999999966</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32</v>
      </c>
      <c r="D14" s="287">
        <f ca="1">PLANTILLA!F9</f>
        <v>8</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31</v>
      </c>
      <c r="D15" s="287">
        <f ca="1">PLANTILLA!F22</f>
        <v>38</v>
      </c>
      <c r="E15" s="163">
        <f>PLANTILLA!X22</f>
        <v>0</v>
      </c>
      <c r="F15" s="163">
        <f>PLANTILLA!Y22</f>
        <v>3.02</v>
      </c>
      <c r="G15" s="163">
        <f>PLANTILLA!Z22</f>
        <v>14.277609523809524</v>
      </c>
      <c r="H15" s="163">
        <f>PLANTILLA!AA22</f>
        <v>3.04</v>
      </c>
      <c r="I15" s="163">
        <f>PLANTILLA!AB22</f>
        <v>15.02</v>
      </c>
      <c r="J15" s="163">
        <f>PLANTILLA!AC22</f>
        <v>10</v>
      </c>
      <c r="K15" s="163">
        <f>PLANTILLA!AD22</f>
        <v>11</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69</v>
      </c>
      <c r="E16" s="163">
        <f>PLANTILLA!X17</f>
        <v>0</v>
      </c>
      <c r="F16" s="163">
        <f>PLANTILLA!Y17</f>
        <v>10.549999999999995</v>
      </c>
      <c r="G16" s="163">
        <f>PLANTILLA!Z17</f>
        <v>13</v>
      </c>
      <c r="H16" s="163">
        <f>PLANTILLA!AA17</f>
        <v>5.1399999999999979</v>
      </c>
      <c r="I16" s="163">
        <f>PLANTILLA!AB17</f>
        <v>9.24</v>
      </c>
      <c r="J16" s="163">
        <f>PLANTILLA!AC17</f>
        <v>2.98</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31</v>
      </c>
      <c r="D17" s="287">
        <f ca="1">PLANTILLA!F7</f>
        <v>9</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11</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28</v>
      </c>
      <c r="D18" s="287">
        <f ca="1">PLANTILLA!F23</f>
        <v>0</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109</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35</v>
      </c>
      <c r="D20" s="287">
        <f ca="1">PLANTILLA!F6</f>
        <v>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28</v>
      </c>
      <c r="D21" s="287">
        <f ca="1">PLANTILLA!F11</f>
        <v>16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106</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81</v>
      </c>
      <c r="E4" s="163">
        <f>PLANTILLA!X21</f>
        <v>0</v>
      </c>
      <c r="F4" s="163">
        <f>PLANTILLA!Y21</f>
        <v>6.8376190476190493</v>
      </c>
      <c r="G4" s="163">
        <f>PLANTILLA!Z21</f>
        <v>9</v>
      </c>
      <c r="H4" s="163">
        <f>PLANTILLA!AA21</f>
        <v>8.7399999999999967</v>
      </c>
      <c r="I4" s="163">
        <f>PLANTILLA!AB21</f>
        <v>9.6900000000000013</v>
      </c>
      <c r="J4" s="163">
        <f>PLANTILLA!AC21</f>
        <v>8.5625000000000018</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31</v>
      </c>
      <c r="D5" s="287">
        <f ca="1">PLANTILLA!F18</f>
        <v>44</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30</v>
      </c>
      <c r="D6" s="287">
        <f ca="1">PLANTILLA!F15</f>
        <v>41</v>
      </c>
      <c r="E6" s="163">
        <f>PLANTILLA!X15</f>
        <v>0</v>
      </c>
      <c r="F6" s="163">
        <f>PLANTILLA!Y15</f>
        <v>9.3036666666666648</v>
      </c>
      <c r="G6" s="163">
        <f>PLANTILLA!Z15</f>
        <v>14</v>
      </c>
      <c r="H6" s="163">
        <f>PLANTILLA!AA15</f>
        <v>12.945</v>
      </c>
      <c r="I6" s="163">
        <f>PLANTILLA!AB15</f>
        <v>9.6733333333333356</v>
      </c>
      <c r="J6" s="163">
        <f>PLANTILLA!AC15</f>
        <v>4.99</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71</v>
      </c>
      <c r="E7" s="163">
        <f>PLANTILLA!X20</f>
        <v>0</v>
      </c>
      <c r="F7" s="163">
        <f>PLANTILLA!Y20</f>
        <v>3</v>
      </c>
      <c r="G7" s="163">
        <f>PLANTILLA!Z20</f>
        <v>15.07</v>
      </c>
      <c r="H7" s="163">
        <f>PLANTILLA!AA20</f>
        <v>12.02</v>
      </c>
      <c r="I7" s="163">
        <f>PLANTILLA!AB20</f>
        <v>12</v>
      </c>
      <c r="J7" s="163">
        <f>PLANTILLA!AC20</f>
        <v>8</v>
      </c>
      <c r="K7" s="163">
        <f>PLANTILLA!AD20</f>
        <v>5</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75</v>
      </c>
      <c r="E8" s="163">
        <f>PLANTILLA!X16</f>
        <v>0</v>
      </c>
      <c r="F8" s="163">
        <f>PLANTILLA!Y16</f>
        <v>8.6275555555555581</v>
      </c>
      <c r="G8" s="163">
        <f>PLANTILLA!Z16</f>
        <v>14.333255555555548</v>
      </c>
      <c r="H8" s="163">
        <f>PLANTILLA!AA16</f>
        <v>9.99</v>
      </c>
      <c r="I8" s="163">
        <f>PLANTILLA!AB16</f>
        <v>9.99</v>
      </c>
      <c r="J8" s="163">
        <f>PLANTILLA!AC16</f>
        <v>3.99</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31</v>
      </c>
      <c r="D9" s="287">
        <f ca="1">PLANTILLA!F13</f>
        <v>29</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28</v>
      </c>
      <c r="D10" s="287">
        <f ca="1">PLANTILLA!F14</f>
        <v>44</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82</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31</v>
      </c>
      <c r="D12" s="287">
        <f ca="1">PLANTILLA!F22</f>
        <v>38</v>
      </c>
      <c r="E12" s="163">
        <f>PLANTILLA!X22</f>
        <v>0</v>
      </c>
      <c r="F12" s="163">
        <f>PLANTILLA!Y22</f>
        <v>3.02</v>
      </c>
      <c r="G12" s="163">
        <f>PLANTILLA!Z22</f>
        <v>14.277609523809524</v>
      </c>
      <c r="H12" s="163">
        <f>PLANTILLA!AA22</f>
        <v>3.04</v>
      </c>
      <c r="I12" s="163">
        <f>PLANTILLA!AB22</f>
        <v>15.02</v>
      </c>
      <c r="J12" s="163">
        <f>PLANTILLA!AC22</f>
        <v>10</v>
      </c>
      <c r="K12" s="163">
        <f>PLANTILLA!AD22</f>
        <v>11</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28</v>
      </c>
      <c r="D13" s="287">
        <f ca="1">PLANTILLA!F23</f>
        <v>0</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109</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31</v>
      </c>
      <c r="D15" s="287">
        <f ca="1">PLANTILLA!F7</f>
        <v>9</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54</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32</v>
      </c>
      <c r="D17" s="287">
        <f ca="1">PLANTILLA!F9</f>
        <v>8</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69</v>
      </c>
      <c r="E18" s="163">
        <f>PLANTILLA!X17</f>
        <v>0</v>
      </c>
      <c r="F18" s="163">
        <f>PLANTILLA!Y17</f>
        <v>10.549999999999995</v>
      </c>
      <c r="G18" s="163">
        <f>PLANTILLA!Z17</f>
        <v>13</v>
      </c>
      <c r="H18" s="163">
        <f>PLANTILLA!AA17</f>
        <v>5.1399999999999979</v>
      </c>
      <c r="I18" s="163">
        <f>PLANTILLA!AB17</f>
        <v>9.24</v>
      </c>
      <c r="J18" s="163">
        <f>PLANTILLA!AC17</f>
        <v>2.98</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105</v>
      </c>
      <c r="E19" s="163">
        <f>PLANTILLA!X10</f>
        <v>0</v>
      </c>
      <c r="F19" s="163">
        <f>PLANTILLA!Y10</f>
        <v>11.95</v>
      </c>
      <c r="G19" s="163">
        <f>PLANTILLA!Z10</f>
        <v>7.0225000000000017</v>
      </c>
      <c r="H19" s="163">
        <f>PLANTILLA!AA10</f>
        <v>7.5000000000000018</v>
      </c>
      <c r="I19" s="163">
        <f>PLANTILLA!AB10</f>
        <v>8.99</v>
      </c>
      <c r="J19" s="163">
        <f>PLANTILLA!AC10</f>
        <v>4.6199999999999966</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35</v>
      </c>
      <c r="D20" s="287">
        <f ca="1">PLANTILLA!F6</f>
        <v>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28</v>
      </c>
      <c r="D21" s="287">
        <f ca="1">PLANTILLA!F11</f>
        <v>16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106</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54</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105</v>
      </c>
      <c r="E5" s="163">
        <f>PLANTILLA!X10</f>
        <v>0</v>
      </c>
      <c r="F5" s="163">
        <f>PLANTILLA!Y10</f>
        <v>11.95</v>
      </c>
      <c r="G5" s="163">
        <f>PLANTILLA!Z10</f>
        <v>7.0225000000000017</v>
      </c>
      <c r="H5" s="163">
        <f>PLANTILLA!AA10</f>
        <v>7.5000000000000018</v>
      </c>
      <c r="I5" s="163">
        <f>PLANTILLA!AB10</f>
        <v>8.99</v>
      </c>
      <c r="J5" s="163">
        <f>PLANTILLA!AC10</f>
        <v>4.6199999999999966</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28</v>
      </c>
      <c r="D6" s="287">
        <f ca="1">PLANTILLA!F14</f>
        <v>44</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32</v>
      </c>
      <c r="D7" s="287">
        <f ca="1">PLANTILLA!F9</f>
        <v>8</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82</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31</v>
      </c>
      <c r="D9" s="287">
        <f ca="1">PLANTILLA!F13</f>
        <v>29</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75</v>
      </c>
      <c r="E10" s="163">
        <f>PLANTILLA!X16</f>
        <v>0</v>
      </c>
      <c r="F10" s="163">
        <f>PLANTILLA!Y16</f>
        <v>8.6275555555555581</v>
      </c>
      <c r="G10" s="163">
        <f>PLANTILLA!Z16</f>
        <v>14.333255555555548</v>
      </c>
      <c r="H10" s="163">
        <f>PLANTILLA!AA16</f>
        <v>9.99</v>
      </c>
      <c r="I10" s="163">
        <f>PLANTILLA!AB16</f>
        <v>9.99</v>
      </c>
      <c r="J10" s="163">
        <f>PLANTILLA!AC16</f>
        <v>3.99</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30</v>
      </c>
      <c r="D11" s="287">
        <f ca="1">PLANTILLA!F15</f>
        <v>41</v>
      </c>
      <c r="E11" s="163">
        <f>PLANTILLA!X15</f>
        <v>0</v>
      </c>
      <c r="F11" s="163">
        <f>PLANTILLA!Y15</f>
        <v>9.3036666666666648</v>
      </c>
      <c r="G11" s="163">
        <f>PLANTILLA!Z15</f>
        <v>14</v>
      </c>
      <c r="H11" s="163">
        <f>PLANTILLA!AA15</f>
        <v>12.945</v>
      </c>
      <c r="I11" s="163">
        <f>PLANTILLA!AB15</f>
        <v>9.6733333333333356</v>
      </c>
      <c r="J11" s="163">
        <f>PLANTILLA!AC15</f>
        <v>4.99</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71</v>
      </c>
      <c r="E12" s="163">
        <f>PLANTILLA!X20</f>
        <v>0</v>
      </c>
      <c r="F12" s="163">
        <f>PLANTILLA!Y20</f>
        <v>3</v>
      </c>
      <c r="G12" s="163">
        <f>PLANTILLA!Z20</f>
        <v>15.07</v>
      </c>
      <c r="H12" s="163">
        <f>PLANTILLA!AA20</f>
        <v>12.02</v>
      </c>
      <c r="I12" s="163">
        <f>PLANTILLA!AB20</f>
        <v>12</v>
      </c>
      <c r="J12" s="163">
        <f>PLANTILLA!AC20</f>
        <v>8</v>
      </c>
      <c r="K12" s="163">
        <f>PLANTILLA!AD20</f>
        <v>5</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31</v>
      </c>
      <c r="D13" s="287">
        <f ca="1">PLANTILLA!F22</f>
        <v>38</v>
      </c>
      <c r="E13" s="163">
        <f>PLANTILLA!X22</f>
        <v>0</v>
      </c>
      <c r="F13" s="163">
        <f>PLANTILLA!Y22</f>
        <v>3.02</v>
      </c>
      <c r="G13" s="163">
        <f>PLANTILLA!Z22</f>
        <v>14.277609523809524</v>
      </c>
      <c r="H13" s="163">
        <f>PLANTILLA!AA22</f>
        <v>3.04</v>
      </c>
      <c r="I13" s="163">
        <f>PLANTILLA!AB22</f>
        <v>15.02</v>
      </c>
      <c r="J13" s="163">
        <f>PLANTILLA!AC22</f>
        <v>10</v>
      </c>
      <c r="K13" s="163">
        <f>PLANTILLA!AD22</f>
        <v>11</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31</v>
      </c>
      <c r="D14" s="287">
        <f ca="1">PLANTILLA!F18</f>
        <v>44</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16.669999999999998</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31</v>
      </c>
      <c r="D15" s="287">
        <f ca="1">PLANTILLA!F7</f>
        <v>9</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81</v>
      </c>
      <c r="E16" s="163">
        <f>PLANTILLA!X21</f>
        <v>0</v>
      </c>
      <c r="F16" s="163">
        <f>PLANTILLA!Y21</f>
        <v>6.8376190476190493</v>
      </c>
      <c r="G16" s="163">
        <f>PLANTILLA!Z21</f>
        <v>9</v>
      </c>
      <c r="H16" s="163">
        <f>PLANTILLA!AA21</f>
        <v>8.7399999999999967</v>
      </c>
      <c r="I16" s="163">
        <f>PLANTILLA!AB21</f>
        <v>9.6900000000000013</v>
      </c>
      <c r="J16" s="163">
        <f>PLANTILLA!AC21</f>
        <v>8.5625000000000018</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28</v>
      </c>
      <c r="D17" s="287">
        <f ca="1">PLANTILLA!F23</f>
        <v>0</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109</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69</v>
      </c>
      <c r="E19" s="163">
        <f>PLANTILLA!X17</f>
        <v>0</v>
      </c>
      <c r="F19" s="163">
        <f>PLANTILLA!Y17</f>
        <v>10.549999999999995</v>
      </c>
      <c r="G19" s="163">
        <f>PLANTILLA!Z17</f>
        <v>13</v>
      </c>
      <c r="H19" s="163">
        <f>PLANTILLA!AA17</f>
        <v>5.1399999999999979</v>
      </c>
      <c r="I19" s="163">
        <f>PLANTILLA!AB17</f>
        <v>9.24</v>
      </c>
      <c r="J19" s="163">
        <f>PLANTILLA!AC17</f>
        <v>2.98</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35</v>
      </c>
      <c r="D20" s="287">
        <f ca="1">PLANTILLA!F6</f>
        <v>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28</v>
      </c>
      <c r="D21" s="287">
        <f ca="1">PLANTILLA!F11</f>
        <v>16</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106</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tabSelected="1" zoomScale="90" zoomScaleNormal="90" workbookViewId="0">
      <selection activeCell="R27" sqref="R2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43187</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61</v>
      </c>
      <c r="H3" t="s">
        <v>783</v>
      </c>
      <c r="I3" t="s">
        <v>1</v>
      </c>
      <c r="K3" s="619">
        <v>1</v>
      </c>
      <c r="L3" s="3">
        <v>293</v>
      </c>
      <c r="M3" t="s">
        <v>473</v>
      </c>
      <c r="N3" s="290" t="s">
        <v>439</v>
      </c>
      <c r="O3" s="370">
        <f>L3/$G$22</f>
        <v>0.87462686567164183</v>
      </c>
      <c r="Q3" s="619">
        <v>1</v>
      </c>
      <c r="R3" s="3">
        <v>208</v>
      </c>
      <c r="S3" t="s">
        <v>447</v>
      </c>
      <c r="T3" t="s">
        <v>212</v>
      </c>
      <c r="U3" s="159">
        <f>R3/L7</f>
        <v>0.87394957983193278</v>
      </c>
      <c r="V3" s="47">
        <f>R3/$R$33</f>
        <v>0.18407079646017699</v>
      </c>
    </row>
    <row r="4" spans="1:24" s="291" customFormat="1" ht="18.75" x14ac:dyDescent="0.3">
      <c r="A4" s="291" t="s">
        <v>441</v>
      </c>
      <c r="F4">
        <v>2</v>
      </c>
      <c r="G4" s="3">
        <v>58</v>
      </c>
      <c r="H4" t="s">
        <v>206</v>
      </c>
      <c r="I4" s="290" t="s">
        <v>1</v>
      </c>
      <c r="J4"/>
      <c r="K4" s="619">
        <v>2</v>
      </c>
      <c r="L4" s="3">
        <v>292</v>
      </c>
      <c r="M4" t="s">
        <v>460</v>
      </c>
      <c r="N4" t="s">
        <v>459</v>
      </c>
      <c r="O4" s="370">
        <f t="shared" ref="O4:O23" si="0">L4/$G$22</f>
        <v>0.87164179104477613</v>
      </c>
      <c r="P4"/>
      <c r="Q4" s="619">
        <v>2</v>
      </c>
      <c r="R4" s="3">
        <v>98</v>
      </c>
      <c r="S4" t="s">
        <v>547</v>
      </c>
      <c r="T4" t="s">
        <v>65</v>
      </c>
      <c r="U4" s="159">
        <f>R4/L11</f>
        <v>0.48514851485148514</v>
      </c>
      <c r="V4" s="47">
        <f>R4/$R$33</f>
        <v>8.6725663716814158E-2</v>
      </c>
      <c r="W4"/>
      <c r="X4"/>
    </row>
    <row r="5" spans="1:24" x14ac:dyDescent="0.25">
      <c r="A5" s="179" t="s">
        <v>442</v>
      </c>
      <c r="B5" s="491" t="s">
        <v>875</v>
      </c>
      <c r="C5" s="290">
        <v>43066</v>
      </c>
      <c r="D5" t="s">
        <v>876</v>
      </c>
      <c r="F5">
        <v>3</v>
      </c>
      <c r="G5" s="664">
        <v>46</v>
      </c>
      <c r="H5" s="662" t="s">
        <v>204</v>
      </c>
      <c r="I5" s="663" t="s">
        <v>1</v>
      </c>
      <c r="K5" s="631">
        <v>3</v>
      </c>
      <c r="L5" s="3">
        <v>260</v>
      </c>
      <c r="M5" t="s">
        <v>449</v>
      </c>
      <c r="N5" s="290" t="s">
        <v>64</v>
      </c>
      <c r="O5" s="370">
        <f t="shared" si="0"/>
        <v>0.77611940298507465</v>
      </c>
      <c r="Q5" s="619">
        <v>3</v>
      </c>
      <c r="R5" s="3">
        <v>84</v>
      </c>
      <c r="S5" t="s">
        <v>449</v>
      </c>
      <c r="T5" t="s">
        <v>64</v>
      </c>
      <c r="U5" s="159">
        <f>R5/L5</f>
        <v>0.32307692307692309</v>
      </c>
      <c r="V5" s="47">
        <f>R5/$R$33</f>
        <v>7.4336283185840707E-2</v>
      </c>
    </row>
    <row r="6" spans="1:24" ht="18.75" x14ac:dyDescent="0.3">
      <c r="A6" s="179" t="s">
        <v>862</v>
      </c>
      <c r="B6" s="366" t="s">
        <v>868</v>
      </c>
      <c r="C6" s="290">
        <v>43055</v>
      </c>
      <c r="D6" t="s">
        <v>869</v>
      </c>
      <c r="F6">
        <v>4</v>
      </c>
      <c r="G6" s="664">
        <v>2</v>
      </c>
      <c r="H6" s="662" t="s">
        <v>200</v>
      </c>
      <c r="I6" s="662" t="s">
        <v>1</v>
      </c>
      <c r="J6" s="291"/>
      <c r="K6" s="631">
        <v>4</v>
      </c>
      <c r="L6" s="342">
        <v>245</v>
      </c>
      <c r="M6" t="s">
        <v>498</v>
      </c>
      <c r="N6" s="290" t="s">
        <v>64</v>
      </c>
      <c r="O6" s="370">
        <f t="shared" si="0"/>
        <v>0.73134328358208955</v>
      </c>
      <c r="P6" s="291"/>
      <c r="Q6" s="619">
        <v>4</v>
      </c>
      <c r="R6" s="321">
        <v>78</v>
      </c>
      <c r="S6" t="s">
        <v>460</v>
      </c>
      <c r="T6" t="s">
        <v>459</v>
      </c>
      <c r="U6" s="159">
        <f>R6/L4</f>
        <v>0.26712328767123289</v>
      </c>
      <c r="V6" s="47">
        <f>R6/$R$33</f>
        <v>6.9026548672566371E-2</v>
      </c>
      <c r="X6" s="291"/>
    </row>
    <row r="7" spans="1:24" ht="18.75" x14ac:dyDescent="0.3">
      <c r="F7">
        <v>5</v>
      </c>
      <c r="G7" s="3">
        <v>1</v>
      </c>
      <c r="H7" t="s">
        <v>448</v>
      </c>
      <c r="I7" t="s">
        <v>2</v>
      </c>
      <c r="K7" s="631">
        <v>5</v>
      </c>
      <c r="L7" s="342">
        <v>238</v>
      </c>
      <c r="M7" t="s">
        <v>496</v>
      </c>
      <c r="N7" s="290" t="s">
        <v>212</v>
      </c>
      <c r="O7" s="370">
        <f t="shared" si="0"/>
        <v>0.71044776119402986</v>
      </c>
      <c r="Q7" s="619">
        <v>5</v>
      </c>
      <c r="R7" s="380">
        <v>65</v>
      </c>
      <c r="S7" t="s">
        <v>497</v>
      </c>
      <c r="T7" s="290" t="s">
        <v>65</v>
      </c>
      <c r="U7" s="159">
        <f>R7/L10</f>
        <v>0.29411764705882354</v>
      </c>
      <c r="V7" s="47">
        <f>R7/$R$33</f>
        <v>5.7522123893805309E-2</v>
      </c>
      <c r="W7" s="291"/>
    </row>
    <row r="8" spans="1:24" s="291" customFormat="1" ht="18.75" x14ac:dyDescent="0.3">
      <c r="A8" s="702" t="s">
        <v>863</v>
      </c>
      <c r="B8" s="702"/>
      <c r="F8">
        <v>5</v>
      </c>
      <c r="G8" s="664">
        <v>1</v>
      </c>
      <c r="H8" s="662" t="s">
        <v>462</v>
      </c>
      <c r="I8" s="662" t="s">
        <v>439</v>
      </c>
      <c r="J8"/>
      <c r="K8" s="631">
        <v>6</v>
      </c>
      <c r="L8" s="317">
        <v>234</v>
      </c>
      <c r="M8" t="s">
        <v>457</v>
      </c>
      <c r="N8" s="290" t="s">
        <v>64</v>
      </c>
      <c r="O8" s="370">
        <f t="shared" si="0"/>
        <v>0.69850746268656716</v>
      </c>
      <c r="P8"/>
      <c r="Q8" s="619">
        <v>6</v>
      </c>
      <c r="R8" s="317">
        <v>64</v>
      </c>
      <c r="S8" t="s">
        <v>498</v>
      </c>
      <c r="T8" s="290" t="s">
        <v>64</v>
      </c>
      <c r="U8" s="159">
        <f>R8/L6</f>
        <v>0.26122448979591839</v>
      </c>
      <c r="V8" s="47">
        <f>R8/$R$33</f>
        <v>5.663716814159292E-2</v>
      </c>
      <c r="X8"/>
    </row>
    <row r="9" spans="1:24" x14ac:dyDescent="0.25">
      <c r="A9" s="659" t="s">
        <v>879</v>
      </c>
      <c r="B9" t="s">
        <v>860</v>
      </c>
      <c r="C9" s="290" t="s">
        <v>66</v>
      </c>
      <c r="K9" s="631">
        <v>7</v>
      </c>
      <c r="L9" s="317">
        <v>228</v>
      </c>
      <c r="M9" t="s">
        <v>461</v>
      </c>
      <c r="N9" s="290" t="s">
        <v>439</v>
      </c>
      <c r="O9" s="370">
        <f t="shared" si="0"/>
        <v>0.68059701492537317</v>
      </c>
      <c r="Q9" s="619">
        <v>7</v>
      </c>
      <c r="R9" s="321">
        <v>60</v>
      </c>
      <c r="S9" t="s">
        <v>473</v>
      </c>
      <c r="T9" s="290" t="s">
        <v>439</v>
      </c>
      <c r="U9" s="159">
        <f>R9/L3</f>
        <v>0.20477815699658702</v>
      </c>
      <c r="V9" s="47">
        <f>R9/$R$33</f>
        <v>5.3097345132743362E-2</v>
      </c>
    </row>
    <row r="10" spans="1:24" ht="18.75" x14ac:dyDescent="0.3">
      <c r="A10" s="567" t="s">
        <v>866</v>
      </c>
      <c r="B10" t="s">
        <v>783</v>
      </c>
      <c r="C10" t="s">
        <v>1</v>
      </c>
      <c r="F10" s="291"/>
      <c r="G10" s="702" t="s">
        <v>445</v>
      </c>
      <c r="H10" s="702"/>
      <c r="J10" s="291"/>
      <c r="K10" s="631">
        <v>8</v>
      </c>
      <c r="L10" s="342">
        <v>221</v>
      </c>
      <c r="M10" t="s">
        <v>497</v>
      </c>
      <c r="N10" s="290" t="s">
        <v>65</v>
      </c>
      <c r="O10" s="370">
        <f t="shared" si="0"/>
        <v>0.65970149253731347</v>
      </c>
      <c r="P10" s="291"/>
      <c r="Q10" s="619">
        <v>8</v>
      </c>
      <c r="R10" s="360">
        <v>59</v>
      </c>
      <c r="S10" t="s">
        <v>476</v>
      </c>
      <c r="T10" s="290" t="s">
        <v>64</v>
      </c>
      <c r="U10" s="159">
        <f>R10/L12</f>
        <v>0.29353233830845771</v>
      </c>
      <c r="V10" s="47">
        <f>R10/$R$33</f>
        <v>5.2212389380530973E-2</v>
      </c>
      <c r="X10" s="291"/>
    </row>
    <row r="11" spans="1:24" x14ac:dyDescent="0.25">
      <c r="A11" s="382" t="s">
        <v>866</v>
      </c>
      <c r="B11" t="s">
        <v>460</v>
      </c>
      <c r="C11" t="s">
        <v>459</v>
      </c>
      <c r="F11">
        <v>1</v>
      </c>
      <c r="G11" s="443">
        <v>126</v>
      </c>
      <c r="H11" t="s">
        <v>783</v>
      </c>
      <c r="I11" t="s">
        <v>1</v>
      </c>
      <c r="K11" s="631">
        <v>9</v>
      </c>
      <c r="L11" s="443">
        <v>202</v>
      </c>
      <c r="M11" t="s">
        <v>547</v>
      </c>
      <c r="N11" t="s">
        <v>65</v>
      </c>
      <c r="O11" s="370">
        <f>L11/$G$22</f>
        <v>0.60298507462686568</v>
      </c>
      <c r="Q11" s="619">
        <v>8</v>
      </c>
      <c r="R11" s="321">
        <v>56</v>
      </c>
      <c r="S11" t="s">
        <v>461</v>
      </c>
      <c r="T11" s="290" t="s">
        <v>439</v>
      </c>
      <c r="U11" s="159">
        <f>R11/L9</f>
        <v>0.24561403508771928</v>
      </c>
      <c r="V11" s="47">
        <f>R11/$R$33</f>
        <v>4.9557522123893805E-2</v>
      </c>
    </row>
    <row r="12" spans="1:24" s="291" customFormat="1" ht="18.75" x14ac:dyDescent="0.3">
      <c r="A12" s="382" t="s">
        <v>866</v>
      </c>
      <c r="B12" t="s">
        <v>498</v>
      </c>
      <c r="C12" s="290" t="s">
        <v>64</v>
      </c>
      <c r="F12">
        <v>2</v>
      </c>
      <c r="G12" s="664">
        <v>88</v>
      </c>
      <c r="H12" s="662" t="s">
        <v>204</v>
      </c>
      <c r="I12" s="663" t="s">
        <v>1</v>
      </c>
      <c r="J12"/>
      <c r="K12" s="631">
        <v>10</v>
      </c>
      <c r="L12" s="317">
        <v>201</v>
      </c>
      <c r="M12" t="s">
        <v>476</v>
      </c>
      <c r="N12" s="290" t="s">
        <v>64</v>
      </c>
      <c r="O12" s="370">
        <f t="shared" si="0"/>
        <v>0.6</v>
      </c>
      <c r="P12"/>
      <c r="Q12" s="619">
        <v>10</v>
      </c>
      <c r="R12" s="381">
        <v>52</v>
      </c>
      <c r="S12" t="s">
        <v>550</v>
      </c>
      <c r="T12" s="290" t="s">
        <v>212</v>
      </c>
      <c r="U12" s="159">
        <f>R12/L17</f>
        <v>0.46846846846846846</v>
      </c>
      <c r="V12" s="47">
        <f>R12/$R$33</f>
        <v>4.6017699115044247E-2</v>
      </c>
      <c r="W12"/>
      <c r="X12"/>
    </row>
    <row r="13" spans="1:24" x14ac:dyDescent="0.25">
      <c r="A13" s="655" t="s">
        <v>791</v>
      </c>
      <c r="B13" t="s">
        <v>857</v>
      </c>
      <c r="C13" t="s">
        <v>2</v>
      </c>
      <c r="F13">
        <v>3</v>
      </c>
      <c r="G13" s="317">
        <v>73</v>
      </c>
      <c r="H13" t="s">
        <v>473</v>
      </c>
      <c r="I13" s="290" t="s">
        <v>439</v>
      </c>
      <c r="K13" s="631">
        <v>11</v>
      </c>
      <c r="L13" s="321">
        <v>190</v>
      </c>
      <c r="M13" t="s">
        <v>206</v>
      </c>
      <c r="N13" s="290" t="s">
        <v>1</v>
      </c>
      <c r="O13" s="370">
        <f t="shared" si="0"/>
        <v>0.56716417910447758</v>
      </c>
      <c r="Q13" s="619">
        <v>11</v>
      </c>
      <c r="R13" s="317">
        <v>49</v>
      </c>
      <c r="S13" t="s">
        <v>448</v>
      </c>
      <c r="T13" t="s">
        <v>2</v>
      </c>
      <c r="U13" s="159">
        <f>R13/L14</f>
        <v>0.28488372093023256</v>
      </c>
      <c r="V13" s="47">
        <f>R13/$R$33</f>
        <v>4.3362831858407079E-2</v>
      </c>
    </row>
    <row r="14" spans="1:24" x14ac:dyDescent="0.25">
      <c r="A14" s="382" t="s">
        <v>791</v>
      </c>
      <c r="B14" t="s">
        <v>449</v>
      </c>
      <c r="C14" s="290" t="s">
        <v>64</v>
      </c>
      <c r="F14">
        <v>4</v>
      </c>
      <c r="G14" s="661">
        <v>21</v>
      </c>
      <c r="H14" s="662" t="s">
        <v>190</v>
      </c>
      <c r="I14" s="662" t="s">
        <v>65</v>
      </c>
      <c r="K14" s="631">
        <v>12</v>
      </c>
      <c r="L14" s="317">
        <v>172</v>
      </c>
      <c r="M14" t="s">
        <v>448</v>
      </c>
      <c r="N14" s="290" t="s">
        <v>439</v>
      </c>
      <c r="O14" s="370">
        <f t="shared" si="0"/>
        <v>0.51343283582089549</v>
      </c>
      <c r="Q14" s="619">
        <v>12</v>
      </c>
      <c r="R14" s="443">
        <v>45</v>
      </c>
      <c r="S14" s="246" t="s">
        <v>860</v>
      </c>
      <c r="T14" s="246" t="s">
        <v>66</v>
      </c>
      <c r="U14" s="159">
        <f>R14/L22</f>
        <v>0.69230769230769229</v>
      </c>
      <c r="V14" s="47">
        <f>R14/$R$33</f>
        <v>3.9823008849557522E-2</v>
      </c>
      <c r="W14">
        <v>121</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0"/>
        <v>0.43582089552238806</v>
      </c>
      <c r="Q15" s="619">
        <v>13</v>
      </c>
      <c r="R15" s="321">
        <v>42</v>
      </c>
      <c r="S15" t="s">
        <v>457</v>
      </c>
      <c r="T15" t="s">
        <v>64</v>
      </c>
      <c r="U15" s="159">
        <f>R15/L8</f>
        <v>0.17948717948717949</v>
      </c>
      <c r="V15" s="47">
        <f>R15/$R$33</f>
        <v>3.7168141592920353E-2</v>
      </c>
    </row>
    <row r="16" spans="1:24" x14ac:dyDescent="0.25">
      <c r="A16" s="380" t="s">
        <v>880</v>
      </c>
      <c r="B16" t="s">
        <v>547</v>
      </c>
      <c r="C16" s="290" t="s">
        <v>65</v>
      </c>
      <c r="F16">
        <v>6</v>
      </c>
      <c r="G16" s="661">
        <v>6</v>
      </c>
      <c r="H16" s="662" t="s">
        <v>194</v>
      </c>
      <c r="I16" s="663" t="s">
        <v>64</v>
      </c>
      <c r="K16" s="631">
        <v>14</v>
      </c>
      <c r="L16" s="443">
        <v>142</v>
      </c>
      <c r="M16" t="s">
        <v>783</v>
      </c>
      <c r="N16" t="s">
        <v>1</v>
      </c>
      <c r="O16" s="370">
        <f t="shared" si="0"/>
        <v>0.42388059701492536</v>
      </c>
      <c r="Q16" s="619">
        <v>14</v>
      </c>
      <c r="R16" s="317">
        <v>21</v>
      </c>
      <c r="S16" t="s">
        <v>513</v>
      </c>
      <c r="T16" t="s">
        <v>64</v>
      </c>
      <c r="U16" s="159">
        <f>R16/L18</f>
        <v>0.21</v>
      </c>
      <c r="V16" s="47">
        <f>R16/$R$33</f>
        <v>1.8584070796460177E-2</v>
      </c>
    </row>
    <row r="17" spans="1:23" x14ac:dyDescent="0.25">
      <c r="A17" s="382" t="s">
        <v>819</v>
      </c>
      <c r="B17" t="s">
        <v>497</v>
      </c>
      <c r="C17" s="290" t="s">
        <v>65</v>
      </c>
      <c r="F17">
        <v>7</v>
      </c>
      <c r="G17" s="664">
        <v>5</v>
      </c>
      <c r="H17" s="662" t="s">
        <v>193</v>
      </c>
      <c r="I17" s="663" t="s">
        <v>64</v>
      </c>
      <c r="K17" s="631">
        <v>15</v>
      </c>
      <c r="L17" s="443">
        <v>111</v>
      </c>
      <c r="M17" s="246" t="s">
        <v>627</v>
      </c>
      <c r="N17" s="452" t="s">
        <v>212</v>
      </c>
      <c r="O17" s="370">
        <f t="shared" si="0"/>
        <v>0.33134328358208953</v>
      </c>
      <c r="Q17" s="619">
        <v>15</v>
      </c>
      <c r="R17" s="661">
        <v>19</v>
      </c>
      <c r="S17" s="662" t="s">
        <v>205</v>
      </c>
      <c r="T17" s="663" t="s">
        <v>451</v>
      </c>
      <c r="U17" s="159"/>
      <c r="V17" s="47"/>
    </row>
    <row r="18" spans="1:23" x14ac:dyDescent="0.25">
      <c r="A18" s="382" t="s">
        <v>819</v>
      </c>
      <c r="B18" t="s">
        <v>476</v>
      </c>
      <c r="C18" s="290" t="s">
        <v>64</v>
      </c>
      <c r="F18">
        <v>8</v>
      </c>
      <c r="G18" s="661">
        <v>4</v>
      </c>
      <c r="H18" s="662" t="s">
        <v>387</v>
      </c>
      <c r="I18" s="663" t="s">
        <v>212</v>
      </c>
      <c r="K18" s="631">
        <v>16</v>
      </c>
      <c r="L18" s="443">
        <v>100</v>
      </c>
      <c r="M18" t="s">
        <v>513</v>
      </c>
      <c r="N18" t="s">
        <v>64</v>
      </c>
      <c r="O18" s="370">
        <f t="shared" si="0"/>
        <v>0.29850746268656714</v>
      </c>
      <c r="Q18" s="619">
        <v>16</v>
      </c>
      <c r="R18" s="661">
        <v>15</v>
      </c>
      <c r="S18" s="662" t="s">
        <v>193</v>
      </c>
      <c r="T18" s="663" t="s">
        <v>64</v>
      </c>
      <c r="U18" s="159"/>
      <c r="V18" s="47"/>
    </row>
    <row r="19" spans="1:23" x14ac:dyDescent="0.25">
      <c r="A19" s="382" t="s">
        <v>819</v>
      </c>
      <c r="B19" t="s">
        <v>457</v>
      </c>
      <c r="C19" s="290" t="s">
        <v>64</v>
      </c>
      <c r="F19">
        <v>9</v>
      </c>
      <c r="G19" s="604">
        <v>2</v>
      </c>
      <c r="H19" t="s">
        <v>206</v>
      </c>
      <c r="I19" s="290" t="s">
        <v>1</v>
      </c>
      <c r="K19" s="631">
        <v>17</v>
      </c>
      <c r="L19" s="443">
        <v>91</v>
      </c>
      <c r="M19" t="s">
        <v>857</v>
      </c>
      <c r="N19" t="s">
        <v>2</v>
      </c>
      <c r="O19" s="370">
        <f>L19/$G$22</f>
        <v>0.27164179104477609</v>
      </c>
      <c r="Q19" s="619">
        <v>17</v>
      </c>
      <c r="R19" s="593">
        <v>15</v>
      </c>
      <c r="S19" t="s">
        <v>857</v>
      </c>
      <c r="T19" t="s">
        <v>2</v>
      </c>
      <c r="U19" s="159">
        <f>R19/L22</f>
        <v>0.23076923076923078</v>
      </c>
      <c r="V19" s="47">
        <f>R19/$R$33</f>
        <v>1.3274336283185841E-2</v>
      </c>
      <c r="W19">
        <v>61</v>
      </c>
    </row>
    <row r="20" spans="1:23" x14ac:dyDescent="0.25">
      <c r="A20" s="380" t="s">
        <v>819</v>
      </c>
      <c r="B20" t="s">
        <v>496</v>
      </c>
      <c r="C20" s="290" t="s">
        <v>212</v>
      </c>
      <c r="F20">
        <v>10</v>
      </c>
      <c r="G20" s="664">
        <v>1</v>
      </c>
      <c r="H20" s="662" t="s">
        <v>205</v>
      </c>
      <c r="I20" s="663" t="s">
        <v>451</v>
      </c>
      <c r="K20" s="631">
        <v>18</v>
      </c>
      <c r="L20" s="661">
        <v>89</v>
      </c>
      <c r="M20" s="662" t="s">
        <v>462</v>
      </c>
      <c r="N20" s="663" t="s">
        <v>439</v>
      </c>
      <c r="O20" s="665">
        <f t="shared" si="0"/>
        <v>0.2656716417910448</v>
      </c>
      <c r="Q20" s="619">
        <v>18</v>
      </c>
      <c r="R20" s="661">
        <v>12</v>
      </c>
      <c r="S20" s="662" t="s">
        <v>533</v>
      </c>
      <c r="T20" s="663" t="s">
        <v>212</v>
      </c>
      <c r="U20" s="159"/>
      <c r="V20" s="47"/>
    </row>
    <row r="21" spans="1:23" x14ac:dyDescent="0.25">
      <c r="A21" s="382" t="s">
        <v>713</v>
      </c>
      <c r="B21" t="s">
        <v>550</v>
      </c>
      <c r="C21" s="290" t="s">
        <v>212</v>
      </c>
      <c r="F21">
        <v>10</v>
      </c>
      <c r="G21" s="3">
        <v>1</v>
      </c>
      <c r="H21" t="s">
        <v>448</v>
      </c>
      <c r="I21" t="s">
        <v>2</v>
      </c>
      <c r="K21" s="631">
        <v>19</v>
      </c>
      <c r="L21" s="604">
        <v>67</v>
      </c>
      <c r="M21" t="s">
        <v>630</v>
      </c>
      <c r="N21" t="s">
        <v>439</v>
      </c>
      <c r="O21" s="370">
        <f t="shared" si="0"/>
        <v>0.2</v>
      </c>
      <c r="Q21" s="619">
        <v>19</v>
      </c>
      <c r="R21" s="317">
        <v>12</v>
      </c>
      <c r="S21" t="s">
        <v>630</v>
      </c>
      <c r="T21" t="s">
        <v>2</v>
      </c>
      <c r="U21" s="159">
        <f>R21/L21</f>
        <v>0.17910447761194029</v>
      </c>
      <c r="V21" s="47">
        <f>R21/$R$33</f>
        <v>1.0619469026548672E-2</v>
      </c>
    </row>
    <row r="22" spans="1:23" x14ac:dyDescent="0.25">
      <c r="A22" s="326" t="s">
        <v>867</v>
      </c>
      <c r="B22" t="s">
        <v>461</v>
      </c>
      <c r="C22" s="290" t="s">
        <v>439</v>
      </c>
      <c r="G22" s="666">
        <f>SUM(G11:G21)</f>
        <v>335</v>
      </c>
      <c r="K22" s="631">
        <v>20</v>
      </c>
      <c r="L22" s="443">
        <v>65</v>
      </c>
      <c r="M22" t="s">
        <v>860</v>
      </c>
      <c r="N22" t="s">
        <v>66</v>
      </c>
      <c r="O22" s="370">
        <f t="shared" ref="O22" si="1">L22/$G$22</f>
        <v>0.19402985074626866</v>
      </c>
      <c r="Q22" s="619">
        <v>20</v>
      </c>
      <c r="R22" s="321">
        <v>11</v>
      </c>
      <c r="S22" t="s">
        <v>206</v>
      </c>
      <c r="T22" s="290" t="s">
        <v>1</v>
      </c>
      <c r="U22" s="159">
        <f>R22/L13</f>
        <v>5.7894736842105263E-2</v>
      </c>
      <c r="V22" s="47">
        <f>R22/$R$33</f>
        <v>9.7345132743362831E-3</v>
      </c>
    </row>
    <row r="23" spans="1:23" x14ac:dyDescent="0.25">
      <c r="A23" s="679" t="s">
        <v>867</v>
      </c>
      <c r="B23" s="246" t="s">
        <v>877</v>
      </c>
      <c r="C23" s="246" t="s">
        <v>66</v>
      </c>
      <c r="K23" s="631">
        <v>21</v>
      </c>
      <c r="L23" s="661">
        <v>55</v>
      </c>
      <c r="M23" s="662" t="s">
        <v>205</v>
      </c>
      <c r="N23" s="663" t="s">
        <v>451</v>
      </c>
      <c r="O23" s="665">
        <f t="shared" si="0"/>
        <v>0.16417910447761194</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14</v>
      </c>
      <c r="M25" s="246" t="s">
        <v>877</v>
      </c>
      <c r="N25" s="246" t="s">
        <v>66</v>
      </c>
      <c r="O25" s="370">
        <f>L25/$G$22</f>
        <v>4.1791044776119404E-2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5</v>
      </c>
      <c r="S29" s="246" t="s">
        <v>877</v>
      </c>
      <c r="T29" s="246" t="s">
        <v>66</v>
      </c>
      <c r="U29" s="675"/>
      <c r="V29" s="676"/>
      <c r="W29" s="246">
        <v>62</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1130</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2"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3"/>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4">
        <f>C13</f>
        <v>1504841</v>
      </c>
      <c r="AA14" s="715"/>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6" t="s">
        <v>93</v>
      </c>
      <c r="B26" s="71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7" t="s">
        <v>94</v>
      </c>
      <c r="B27" s="70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8" t="s">
        <v>95</v>
      </c>
      <c r="B28" s="70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6" t="s">
        <v>96</v>
      </c>
      <c r="B29" s="71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7" t="s">
        <v>97</v>
      </c>
      <c r="B30" s="70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8" t="s">
        <v>98</v>
      </c>
      <c r="B31" s="70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7"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9">
        <f>C23</f>
        <v>1482625</v>
      </c>
      <c r="AA33" s="710"/>
    </row>
    <row r="34" spans="1:27" x14ac:dyDescent="0.25">
      <c r="A34" s="57"/>
      <c r="B34" s="717"/>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7"/>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7"/>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7"/>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7"/>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1"/>
      <c r="I40" s="711"/>
      <c r="J40" s="711"/>
      <c r="K40" s="71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6"/>
      <c r="I49" s="706"/>
      <c r="J49" s="706"/>
      <c r="K49" s="706"/>
    </row>
    <row r="50" spans="8:11" x14ac:dyDescent="0.25">
      <c r="H50" s="103"/>
      <c r="I50" s="103"/>
      <c r="J50" s="103"/>
      <c r="K50" s="103"/>
    </row>
    <row r="51" spans="8:11" x14ac:dyDescent="0.25">
      <c r="H51" s="706"/>
      <c r="I51" s="706"/>
      <c r="J51" s="706"/>
      <c r="K51" s="706"/>
    </row>
    <row r="52" spans="8:11" ht="15" customHeight="1" x14ac:dyDescent="0.25">
      <c r="H52" s="706"/>
      <c r="I52" s="706"/>
      <c r="J52" s="706"/>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4">
        <f>C13</f>
        <v>2257672</v>
      </c>
      <c r="Z14" s="715"/>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6" t="s">
        <v>93</v>
      </c>
      <c r="B26" s="71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7" t="s">
        <v>94</v>
      </c>
      <c r="B27" s="70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8" t="s">
        <v>95</v>
      </c>
      <c r="B28" s="70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6" t="s">
        <v>96</v>
      </c>
      <c r="B29" s="71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7" t="s">
        <v>97</v>
      </c>
      <c r="B30" s="70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8" t="s">
        <v>98</v>
      </c>
      <c r="B31" s="70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v>49820</v>
      </c>
      <c r="Y33" s="709">
        <f>C23</f>
        <v>2470257</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7"/>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7"/>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7"/>
      <c r="C37" s="173" t="s">
        <v>211</v>
      </c>
      <c r="D37" s="176"/>
      <c r="E37" s="176"/>
      <c r="F37" s="176"/>
      <c r="G37" s="176"/>
      <c r="H37" s="176"/>
      <c r="I37" s="176"/>
      <c r="J37" s="176"/>
      <c r="K37" s="176"/>
      <c r="L37" s="176"/>
      <c r="M37" s="176"/>
      <c r="N37" s="176"/>
      <c r="O37" s="176"/>
      <c r="P37" s="176"/>
      <c r="Q37" s="176"/>
      <c r="R37" s="176"/>
      <c r="S37" s="176" t="s">
        <v>393</v>
      </c>
    </row>
    <row r="38" spans="1:26" x14ac:dyDescent="0.25">
      <c r="B38" s="717"/>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1"/>
      <c r="H40" s="711"/>
      <c r="I40" s="711"/>
      <c r="J40" s="711"/>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6"/>
      <c r="H49" s="706"/>
      <c r="I49" s="706"/>
      <c r="J49" s="706"/>
    </row>
    <row r="50" spans="7:10" x14ac:dyDescent="0.25">
      <c r="G50" s="216"/>
      <c r="H50" s="216"/>
      <c r="I50" s="216"/>
      <c r="J50" s="216"/>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2"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3"/>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4">
        <f>C13</f>
        <v>3165941</v>
      </c>
      <c r="Z14" s="715"/>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6" t="s">
        <v>93</v>
      </c>
      <c r="B26" s="71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7" t="s">
        <v>94</v>
      </c>
      <c r="B27" s="70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8" t="s">
        <v>95</v>
      </c>
      <c r="B28" s="70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6" t="s">
        <v>96</v>
      </c>
      <c r="B29" s="71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7" t="s">
        <v>97</v>
      </c>
      <c r="B30" s="70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8" t="s">
        <v>98</v>
      </c>
      <c r="B31" s="70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259</v>
      </c>
      <c r="C33" s="173" t="s">
        <v>181</v>
      </c>
      <c r="D33" s="174"/>
      <c r="E33" s="174"/>
      <c r="F33" s="174"/>
      <c r="G33" s="174"/>
      <c r="H33" s="174"/>
      <c r="I33" s="174"/>
      <c r="J33" s="174"/>
      <c r="K33" s="174"/>
      <c r="L33" s="174"/>
      <c r="M33" s="174"/>
      <c r="N33" s="174"/>
      <c r="O33" s="174"/>
      <c r="P33" s="174"/>
      <c r="Q33" s="174"/>
      <c r="R33" s="174"/>
      <c r="S33" s="174"/>
      <c r="Y33" s="709">
        <f>C23</f>
        <v>1505104</v>
      </c>
      <c r="Z33" s="710"/>
    </row>
    <row r="34" spans="1:26" x14ac:dyDescent="0.25">
      <c r="A34" s="57"/>
      <c r="B34" s="717"/>
      <c r="C34" s="173" t="s">
        <v>104</v>
      </c>
      <c r="D34" s="174"/>
      <c r="E34" s="174"/>
      <c r="F34" s="174"/>
      <c r="G34" s="174"/>
      <c r="H34" s="174"/>
      <c r="I34" s="174"/>
      <c r="J34" s="174"/>
      <c r="K34" s="174"/>
      <c r="L34" s="174"/>
      <c r="M34" s="174"/>
      <c r="N34" s="174"/>
      <c r="O34" s="174"/>
      <c r="P34" s="174"/>
      <c r="Q34" s="174"/>
      <c r="R34" s="174"/>
      <c r="S34" s="174"/>
    </row>
    <row r="35" spans="1:26" x14ac:dyDescent="0.25">
      <c r="A35" s="57"/>
      <c r="B35" s="717"/>
      <c r="C35" s="173" t="s">
        <v>61</v>
      </c>
      <c r="D35" s="175"/>
      <c r="E35" s="175"/>
      <c r="F35" s="175"/>
      <c r="G35" s="175"/>
      <c r="H35" s="175"/>
      <c r="I35" s="175"/>
      <c r="J35" s="175"/>
      <c r="K35" s="175"/>
      <c r="L35" s="175"/>
      <c r="M35" s="175"/>
      <c r="N35" s="175"/>
      <c r="O35" s="175"/>
      <c r="P35" s="175"/>
      <c r="Q35" s="175"/>
      <c r="R35" s="175"/>
      <c r="S35" s="175"/>
    </row>
    <row r="36" spans="1:26" x14ac:dyDescent="0.25">
      <c r="A36" s="57"/>
      <c r="B36" s="717"/>
      <c r="C36" s="173" t="s">
        <v>210</v>
      </c>
      <c r="D36" s="176"/>
      <c r="E36" s="176"/>
      <c r="F36" s="176"/>
      <c r="G36" s="176"/>
      <c r="H36" s="176"/>
      <c r="I36" s="176"/>
      <c r="J36" s="176"/>
      <c r="K36" s="176"/>
      <c r="L36" s="176"/>
      <c r="M36" s="176"/>
      <c r="N36" s="176"/>
      <c r="O36" s="176"/>
      <c r="P36" s="176"/>
      <c r="Q36" s="176"/>
      <c r="R36" s="176"/>
      <c r="S36" s="176"/>
    </row>
    <row r="37" spans="1:26" x14ac:dyDescent="0.25">
      <c r="B37" s="717"/>
      <c r="C37" s="173" t="s">
        <v>211</v>
      </c>
      <c r="D37" s="176"/>
      <c r="E37" s="176"/>
      <c r="F37" s="176"/>
      <c r="G37" s="176"/>
      <c r="H37" s="176"/>
      <c r="I37" s="176"/>
      <c r="J37" s="176"/>
      <c r="K37" s="176"/>
      <c r="L37" s="176"/>
      <c r="M37" s="176"/>
      <c r="N37" s="176"/>
      <c r="O37" s="176"/>
      <c r="P37" s="176"/>
      <c r="Q37" s="176"/>
      <c r="R37" s="176"/>
      <c r="S37" s="176"/>
    </row>
    <row r="38" spans="1:26" x14ac:dyDescent="0.25">
      <c r="B38" s="717"/>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1"/>
      <c r="H40" s="711"/>
      <c r="I40" s="711"/>
      <c r="J40" s="711"/>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6"/>
      <c r="H49" s="706"/>
      <c r="I49" s="706"/>
      <c r="J49" s="706"/>
    </row>
    <row r="50" spans="7:10" x14ac:dyDescent="0.25">
      <c r="G50" s="243"/>
      <c r="H50" s="243"/>
      <c r="I50" s="243"/>
      <c r="J50" s="243"/>
    </row>
    <row r="51" spans="7:10" x14ac:dyDescent="0.25">
      <c r="G51" s="706"/>
      <c r="H51" s="706"/>
      <c r="I51" s="706"/>
      <c r="J51" s="706"/>
    </row>
    <row r="52" spans="7:10" ht="15" customHeight="1" x14ac:dyDescent="0.25">
      <c r="G52" s="706"/>
      <c r="H52" s="706"/>
      <c r="I52" s="706"/>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2"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3"/>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4">
        <f>C13</f>
        <v>3470401</v>
      </c>
      <c r="Z14" s="715"/>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6" t="s">
        <v>93</v>
      </c>
      <c r="B26" s="71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7" t="s">
        <v>94</v>
      </c>
      <c r="B27" s="70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8" t="s">
        <v>95</v>
      </c>
      <c r="B28" s="70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6" t="s">
        <v>96</v>
      </c>
      <c r="B29" s="71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7" t="s">
        <v>97</v>
      </c>
      <c r="B30" s="70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8" t="s">
        <v>98</v>
      </c>
      <c r="B31" s="70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7"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9">
        <f>C23</f>
        <v>4347517</v>
      </c>
      <c r="Z33" s="710"/>
    </row>
    <row r="34" spans="1:26" x14ac:dyDescent="0.25">
      <c r="A34" s="57"/>
      <c r="B34" s="717"/>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7"/>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7"/>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7"/>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7"/>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1"/>
      <c r="H40" s="711"/>
      <c r="I40" s="711"/>
      <c r="J40" s="711"/>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6"/>
      <c r="H49" s="706"/>
      <c r="I49" s="706"/>
      <c r="J49" s="706"/>
    </row>
    <row r="50" spans="7:10" x14ac:dyDescent="0.25">
      <c r="G50" s="258"/>
      <c r="H50" s="258"/>
      <c r="I50" s="258"/>
      <c r="J50" s="258"/>
    </row>
    <row r="51" spans="7:10" x14ac:dyDescent="0.25">
      <c r="G51" s="706"/>
      <c r="H51" s="706"/>
      <c r="I51" s="706"/>
      <c r="J51" s="706"/>
    </row>
    <row r="52" spans="7:10" ht="15" customHeight="1" x14ac:dyDescent="0.25">
      <c r="G52" s="706"/>
      <c r="H52" s="706"/>
      <c r="I52" s="70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2"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3"/>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4">
        <f>C13</f>
        <v>3901063</v>
      </c>
      <c r="Z14" s="715"/>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6" t="s">
        <v>93</v>
      </c>
      <c r="B26" s="71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7" t="s">
        <v>94</v>
      </c>
      <c r="B27" s="70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8" t="s">
        <v>95</v>
      </c>
      <c r="B28" s="70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6" t="s">
        <v>96</v>
      </c>
      <c r="B29" s="71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7" t="s">
        <v>97</v>
      </c>
      <c r="B30" s="70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8" t="s">
        <v>98</v>
      </c>
      <c r="B31" s="70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7"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9">
        <f>C23</f>
        <v>2535782</v>
      </c>
      <c r="Z34" s="710"/>
    </row>
    <row r="35" spans="1:26" x14ac:dyDescent="0.25">
      <c r="A35" s="57"/>
      <c r="B35" s="717"/>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7"/>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7"/>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7"/>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7"/>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1"/>
      <c r="H41" s="711"/>
      <c r="I41" s="711"/>
      <c r="J41" s="711"/>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6"/>
      <c r="H46" s="706"/>
      <c r="I46" s="706"/>
      <c r="J46" s="706"/>
    </row>
    <row r="47" spans="1:26" x14ac:dyDescent="0.25">
      <c r="G47" s="329"/>
      <c r="H47" s="329"/>
      <c r="I47" s="329"/>
      <c r="J47" s="329"/>
    </row>
    <row r="48" spans="1:26" x14ac:dyDescent="0.25">
      <c r="G48" s="706"/>
      <c r="H48" s="706"/>
      <c r="I48" s="706"/>
      <c r="J48" s="706"/>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17.409101168042472</v>
      </c>
      <c r="C2" s="159">
        <f>PLANTILLA!AB7+1.5+PLANTILLA!J7</f>
        <v>12.529101168042464</v>
      </c>
      <c r="D2" s="357">
        <f t="shared" ref="D2:D20" si="0">(C2*2+B2)/8</f>
        <v>5.3084129380159251</v>
      </c>
      <c r="E2" s="159">
        <f>D2*PLANTILLA!R7</f>
        <v>4.9146353959078066</v>
      </c>
      <c r="F2" s="159">
        <f>E2*PLANTILLA!S7</f>
        <v>4.9111236874237427</v>
      </c>
      <c r="H2" t="str">
        <f>A2</f>
        <v>B. Pinczehelyi</v>
      </c>
      <c r="I2" s="159">
        <f>D2</f>
        <v>5.3084129380159251</v>
      </c>
      <c r="J2" s="159">
        <f t="shared" ref="J2:K2" si="1">E2</f>
        <v>4.9146353959078066</v>
      </c>
      <c r="K2" s="159">
        <f t="shared" si="1"/>
        <v>4.9111236874237427</v>
      </c>
      <c r="M2" t="str">
        <f>A2</f>
        <v>B. Pinczehelyi</v>
      </c>
      <c r="N2" s="159">
        <f>D2</f>
        <v>5.3084129380159251</v>
      </c>
      <c r="O2" s="159">
        <f t="shared" ref="O2:P2" si="2">E2</f>
        <v>4.9146353959078066</v>
      </c>
      <c r="P2" s="159">
        <f t="shared" si="2"/>
        <v>4.9111236874237427</v>
      </c>
    </row>
    <row r="3" spans="1:16" x14ac:dyDescent="0.25">
      <c r="A3" t="str">
        <f>PLANTILLA!D16</f>
        <v>C. Rojas</v>
      </c>
      <c r="B3" s="159">
        <f>PLANTILLA!Y16+1.5+PLANTILLA!J16</f>
        <v>11.603835515086049</v>
      </c>
      <c r="C3" s="159">
        <f>PLANTILLA!AB16+1.5+PLANTILLA!J16</f>
        <v>12.966279959530491</v>
      </c>
      <c r="D3" s="357">
        <f>(C3*2+B3)/8</f>
        <v>4.692049429268379</v>
      </c>
      <c r="E3" s="159">
        <f>D3*PLANTILLA!R16</f>
        <v>4.692049429268379</v>
      </c>
      <c r="F3" s="159">
        <f>E3*PLANTILLA!S16</f>
        <v>4.692049429268379</v>
      </c>
      <c r="H3" s="159" t="str">
        <f>A7</f>
        <v>E. Toney</v>
      </c>
      <c r="I3" s="159">
        <f>D7</f>
        <v>5.0666812460476258</v>
      </c>
      <c r="J3" s="159">
        <f t="shared" ref="J3:K3" si="3">E7</f>
        <v>4.6908353367315279</v>
      </c>
      <c r="K3" s="159">
        <f t="shared" si="3"/>
        <v>4.6874835425652579</v>
      </c>
      <c r="M3" t="str">
        <f>A7</f>
        <v>E. Toney</v>
      </c>
      <c r="N3" s="159">
        <f>D7</f>
        <v>5.0666812460476258</v>
      </c>
      <c r="O3" s="159">
        <f t="shared" ref="O3:P3" si="4">E7</f>
        <v>4.6908353367315279</v>
      </c>
      <c r="P3" s="159">
        <f t="shared" si="4"/>
        <v>4.6874835425652579</v>
      </c>
    </row>
    <row r="4" spans="1:16" x14ac:dyDescent="0.25">
      <c r="A4" t="str">
        <f>PLANTILLA!D12</f>
        <v>E. Romweber</v>
      </c>
      <c r="B4" s="159">
        <f>PLANTILLA!Y12+1.5+PLANTILLA!J12</f>
        <v>15.093403261318283</v>
      </c>
      <c r="C4" s="159">
        <f>PLANTILLA!AB12+1.5+PLANTILLA!J12</f>
        <v>13.942292150207173</v>
      </c>
      <c r="D4" s="357">
        <f t="shared" si="0"/>
        <v>5.3722484452165791</v>
      </c>
      <c r="E4" s="159">
        <f>D4*PLANTILLA!R12</f>
        <v>4.0610381049418489</v>
      </c>
      <c r="F4" s="159">
        <f>E4*PLANTILLA!S12</f>
        <v>3.428769711553163</v>
      </c>
      <c r="H4" t="str">
        <f t="shared" ref="H4:H6" si="5">A4</f>
        <v>E. Romweber</v>
      </c>
      <c r="I4" s="159">
        <f t="shared" ref="I4:I6" si="6">D4</f>
        <v>5.3722484452165791</v>
      </c>
      <c r="J4" s="159">
        <f t="shared" ref="J4" si="7">E4</f>
        <v>4.0610381049418489</v>
      </c>
      <c r="K4" s="159">
        <f t="shared" ref="K4" si="8">F4</f>
        <v>3.428769711553163</v>
      </c>
      <c r="M4" t="str">
        <f t="shared" ref="M4" si="9">A4</f>
        <v>E. Romweber</v>
      </c>
      <c r="N4" s="159">
        <f t="shared" ref="N4" si="10">D4</f>
        <v>5.3722484452165791</v>
      </c>
      <c r="O4" s="159">
        <f t="shared" ref="O4" si="11">E4</f>
        <v>4.0610381049418489</v>
      </c>
      <c r="P4" s="159">
        <f t="shared" ref="P4" si="12">F4</f>
        <v>3.428769711553163</v>
      </c>
    </row>
    <row r="5" spans="1:16" x14ac:dyDescent="0.25">
      <c r="A5" t="str">
        <f>PLANTILLA!D8</f>
        <v>D. Toh</v>
      </c>
      <c r="B5" s="159">
        <f>PLANTILLA!Y8+1.5+PLANTILLA!J8</f>
        <v>13.843186675526551</v>
      </c>
      <c r="C5" s="159">
        <f>PLANTILLA!AB8+1.5+PLANTILLA!J8</f>
        <v>10.488631119970997</v>
      </c>
      <c r="D5" s="357">
        <f t="shared" si="0"/>
        <v>4.3525561144335683</v>
      </c>
      <c r="E5" s="159">
        <f>D5*PLANTILLA!R8</f>
        <v>2.3265391052740636</v>
      </c>
      <c r="F5" s="159">
        <f>E5*PLANTILLA!S8</f>
        <v>1.5205367841195625</v>
      </c>
      <c r="H5" s="159" t="str">
        <f>A12</f>
        <v>B. Bartolache</v>
      </c>
      <c r="I5" s="159">
        <f>D12</f>
        <v>4.8224632489703119</v>
      </c>
      <c r="J5" s="159">
        <f t="shared" ref="J5:K5" si="13">E12</f>
        <v>4.8224632489703119</v>
      </c>
      <c r="K5" s="159">
        <f t="shared" si="13"/>
        <v>4.8224632489703119</v>
      </c>
      <c r="M5" s="159" t="str">
        <f>H5</f>
        <v>B. Bartolache</v>
      </c>
      <c r="N5" s="159">
        <f t="shared" ref="N5:P5" si="14">I5</f>
        <v>4.8224632489703119</v>
      </c>
      <c r="O5" s="159">
        <f t="shared" si="14"/>
        <v>4.8224632489703119</v>
      </c>
      <c r="P5" s="159">
        <f t="shared" si="14"/>
        <v>4.8224632489703119</v>
      </c>
    </row>
    <row r="6" spans="1:16" x14ac:dyDescent="0.25">
      <c r="A6" t="str">
        <f>PLANTILLA!D17</f>
        <v>E. Gross</v>
      </c>
      <c r="B6" s="159">
        <f>PLANTILLA!Y17+1.5+PLANTILLA!J17</f>
        <v>13.438523580210962</v>
      </c>
      <c r="C6" s="159">
        <f>PLANTILLA!AB17+1.5+PLANTILLA!J17</f>
        <v>12.128523580210967</v>
      </c>
      <c r="D6" s="357">
        <f t="shared" si="0"/>
        <v>4.7119463425791119</v>
      </c>
      <c r="E6" s="159">
        <f>D6*PLANTILLA!R17</f>
        <v>4.3624146330095019</v>
      </c>
      <c r="F6" s="159">
        <f>E6*PLANTILLA!S17</f>
        <v>4.3592975089008652</v>
      </c>
      <c r="H6" t="str">
        <f t="shared" si="5"/>
        <v>E. Gross</v>
      </c>
      <c r="I6" s="159">
        <f t="shared" si="6"/>
        <v>4.7119463425791119</v>
      </c>
      <c r="J6" s="159">
        <f t="shared" ref="J6" si="15">E6</f>
        <v>4.3624146330095019</v>
      </c>
      <c r="K6" s="159">
        <f t="shared" ref="K6" si="16">F6</f>
        <v>4.3592975089008652</v>
      </c>
      <c r="N6" s="405"/>
      <c r="O6" s="405"/>
      <c r="P6" s="405"/>
    </row>
    <row r="7" spans="1:16" x14ac:dyDescent="0.25">
      <c r="A7" t="str">
        <f>PLANTILLA!D9</f>
        <v>E. Toney</v>
      </c>
      <c r="B7" s="159">
        <f>PLANTILLA!Y9+1.5+PLANTILLA!J9</f>
        <v>15.244483322793672</v>
      </c>
      <c r="C7" s="159">
        <f>PLANTILLA!AB9+1.5+PLANTILLA!J9</f>
        <v>12.644483322793667</v>
      </c>
      <c r="D7" s="357">
        <f t="shared" si="0"/>
        <v>5.0666812460476258</v>
      </c>
      <c r="E7" s="159">
        <f>D7*PLANTILLA!R9</f>
        <v>4.6908353367315279</v>
      </c>
      <c r="F7" s="159">
        <f>E7*PLANTILLA!S9</f>
        <v>4.6874835425652579</v>
      </c>
      <c r="I7" s="422">
        <f>SUM(I2:I6)</f>
        <v>25.281752220829553</v>
      </c>
      <c r="J7" s="422">
        <f t="shared" ref="J7:K7" si="17">SUM(J2:J6)</f>
        <v>22.851386719560999</v>
      </c>
      <c r="K7" s="422">
        <f t="shared" si="17"/>
        <v>22.20913769941334</v>
      </c>
      <c r="L7" s="422"/>
      <c r="M7" s="422"/>
      <c r="N7" s="422">
        <f>SUM(N2:N6)</f>
        <v>20.569805878250442</v>
      </c>
      <c r="O7" s="422">
        <f t="shared" ref="O7:P7" si="18">SUM(O2:O6)</f>
        <v>18.488972086551495</v>
      </c>
      <c r="P7" s="422">
        <f t="shared" si="18"/>
        <v>17.849840190512474</v>
      </c>
    </row>
    <row r="8" spans="1:16" x14ac:dyDescent="0.25">
      <c r="A8" t="str">
        <f>PLANTILLA!D23</f>
        <v>P .Trivadi</v>
      </c>
      <c r="B8" s="159">
        <f>PLANTILLA!Y23+1.5+PLANTILLA!J23</f>
        <v>6.6127252473891573</v>
      </c>
      <c r="C8" s="159">
        <f>PLANTILLA!AB23+1.5+PLANTILLA!J23</f>
        <v>13.392725247389157</v>
      </c>
      <c r="D8" s="357">
        <f t="shared" si="0"/>
        <v>4.1747719677709334</v>
      </c>
      <c r="E8" s="159">
        <f>D8*PLANTILLA!R23</f>
        <v>3.1558309734644707</v>
      </c>
      <c r="F8" s="159">
        <f>E8*PLANTILLA!S23</f>
        <v>2.6644954755358676</v>
      </c>
    </row>
    <row r="9" spans="1:16" x14ac:dyDescent="0.25">
      <c r="A9" t="str">
        <f>PLANTILLA!D13</f>
        <v>K. Helms</v>
      </c>
      <c r="B9" s="159">
        <f>PLANTILLA!Y13+1.5+PLANTILLA!J13</f>
        <v>10.174550845964578</v>
      </c>
      <c r="C9" s="159">
        <f>PLANTILLA!AB13+1.5+PLANTILLA!J13</f>
        <v>13.284247815661546</v>
      </c>
      <c r="D9" s="357">
        <f t="shared" si="0"/>
        <v>4.5928808096609588</v>
      </c>
      <c r="E9" s="159">
        <f>D9*PLANTILLA!R13</f>
        <v>3.0067462811687724</v>
      </c>
      <c r="F9" s="159">
        <f>E9*PLANTILLA!S13</f>
        <v>2.2700436611690269</v>
      </c>
    </row>
    <row r="10" spans="1:16" x14ac:dyDescent="0.25">
      <c r="A10" t="str">
        <f>PLANTILLA!D21</f>
        <v>J. Limon</v>
      </c>
      <c r="B10" s="159">
        <f>PLANTILLA!Y21+1.5+PLANTILLA!J21</f>
        <v>9.7765273756825497</v>
      </c>
      <c r="C10" s="159">
        <f>PLANTILLA!AB21+1.5+PLANTILLA!J21</f>
        <v>12.628908328063501</v>
      </c>
      <c r="D10" s="357">
        <f t="shared" si="0"/>
        <v>4.3792930039761941</v>
      </c>
      <c r="E10" s="159">
        <f>D10*PLANTILLA!R21</f>
        <v>3.701178115013307</v>
      </c>
      <c r="F10" s="159">
        <f>E10*PLANTILLA!S21</f>
        <v>3.4237683800149257</v>
      </c>
      <c r="H10" s="159"/>
    </row>
    <row r="11" spans="1:16" x14ac:dyDescent="0.25">
      <c r="A11" t="str">
        <f>PLANTILLA!D22</f>
        <v>L. Calosso</v>
      </c>
      <c r="B11" s="159">
        <f>PLANTILLA!Y22+1.5+PLANTILLA!J22</f>
        <v>5.9778955802163134</v>
      </c>
      <c r="C11" s="159">
        <f>PLANTILLA!AB22+1.5+PLANTILLA!J22</f>
        <v>17.977895580216313</v>
      </c>
      <c r="D11" s="357">
        <f t="shared" si="0"/>
        <v>5.2417108425811172</v>
      </c>
      <c r="E11" s="159">
        <f>D11*PLANTILLA!R22</f>
        <v>5.2417108425811172</v>
      </c>
      <c r="F11" s="159">
        <f>E11*PLANTILLA!S22</f>
        <v>5.2417108425811172</v>
      </c>
    </row>
    <row r="12" spans="1:16" x14ac:dyDescent="0.25">
      <c r="A12" t="str">
        <f>PLANTILLA!D10</f>
        <v>B. Bartolache</v>
      </c>
      <c r="B12" s="159">
        <f>PLANTILLA!Y10+1.5+PLANTILLA!J10</f>
        <v>14.833235330587497</v>
      </c>
      <c r="C12" s="159">
        <f>PLANTILLA!AB10+1.5+PLANTILLA!J10</f>
        <v>11.873235330587498</v>
      </c>
      <c r="D12" s="357">
        <f t="shared" si="0"/>
        <v>4.8224632489703119</v>
      </c>
      <c r="E12" s="159">
        <f>D12*PLANTILLA!R10</f>
        <v>4.8224632489703119</v>
      </c>
      <c r="F12" s="159">
        <f>E12*PLANTILLA!S10</f>
        <v>4.8224632489703119</v>
      </c>
    </row>
    <row r="13" spans="1:16" x14ac:dyDescent="0.25">
      <c r="A13" t="str">
        <f>PLANTILLA!D14</f>
        <v>S. Zobbe</v>
      </c>
      <c r="B13" s="159">
        <f>PLANTILLA!Y14+1.5+PLANTILLA!J14</f>
        <v>11.232511703580277</v>
      </c>
      <c r="C13" s="159">
        <f>PLANTILLA!AB14+1.5+PLANTILLA!J14</f>
        <v>13.11251170358028</v>
      </c>
      <c r="D13" s="357">
        <f t="shared" si="0"/>
        <v>4.6821918888426044</v>
      </c>
      <c r="E13" s="159">
        <f>D13*PLANTILLA!R14</f>
        <v>4.6821918888426044</v>
      </c>
      <c r="F13" s="159">
        <f>E13*PLANTILLA!S14</f>
        <v>4.6821918888426044</v>
      </c>
    </row>
    <row r="14" spans="1:16" x14ac:dyDescent="0.25">
      <c r="A14" t="str">
        <f>PLANTILLA!D15</f>
        <v>S. Buschelman</v>
      </c>
      <c r="B14" s="159">
        <f>PLANTILLA!Y15+1.5+PLANTILLA!J15</f>
        <v>12.261562246882978</v>
      </c>
      <c r="C14" s="159">
        <f>PLANTILLA!AB15+1.5+PLANTILLA!J15</f>
        <v>12.631228913549648</v>
      </c>
      <c r="D14" s="357">
        <f t="shared" si="0"/>
        <v>4.6905025092477839</v>
      </c>
      <c r="E14" s="159">
        <f>D14*PLANTILLA!R15</f>
        <v>4.3425615010951857</v>
      </c>
      <c r="F14" s="159">
        <f>E14*PLANTILLA!S15</f>
        <v>4.3394585628632543</v>
      </c>
    </row>
    <row r="15" spans="1:16" x14ac:dyDescent="0.25">
      <c r="A15" t="str">
        <f>PLANTILLA!D6</f>
        <v>T. Hammond</v>
      </c>
      <c r="B15" s="159">
        <f>PLANTILLA!Y6+1.5+PLANTILLA!J6</f>
        <v>13.593721856428122</v>
      </c>
      <c r="C15" s="159">
        <f>PLANTILLA!AB6+1.5+PLANTILLA!J6</f>
        <v>8.7687218564281242</v>
      </c>
      <c r="D15" s="357">
        <f t="shared" si="0"/>
        <v>3.8913956961605463</v>
      </c>
      <c r="E15" s="159">
        <f>D15*PLANTILLA!R6</f>
        <v>3.6027323516738341</v>
      </c>
      <c r="F15" s="159">
        <f>E15*PLANTILLA!S6</f>
        <v>3.6001580517012015</v>
      </c>
    </row>
    <row r="16" spans="1:16" x14ac:dyDescent="0.25">
      <c r="A16" t="str">
        <f>PLANTILLA!D11</f>
        <v>F. Lasprilla</v>
      </c>
      <c r="B16" s="159">
        <f>PLANTILLA!Y11+1.5+PLANTILLA!J11</f>
        <v>12.142201667178192</v>
      </c>
      <c r="C16" s="159">
        <f>PLANTILLA!AB11+1.5+PLANTILLA!J11</f>
        <v>11.400868333844857</v>
      </c>
      <c r="D16" s="357">
        <f t="shared" si="0"/>
        <v>4.3679922918584886</v>
      </c>
      <c r="E16" s="159">
        <f>D16*PLANTILLA!R11</f>
        <v>2.8595221874893091</v>
      </c>
      <c r="F16" s="159">
        <f>E16*PLANTILLA!S11</f>
        <v>2.1588919079527527</v>
      </c>
    </row>
    <row r="17" spans="1:6" x14ac:dyDescent="0.25">
      <c r="A17" t="str">
        <f>PLANTILLA!D18</f>
        <v>L. Bauman</v>
      </c>
      <c r="B17" s="159">
        <f>PLANTILLA!Y18+1.5+PLANTILLA!J18</f>
        <v>8.2919580372411783</v>
      </c>
      <c r="C17" s="159">
        <f>PLANTILLA!AB18+1.5+PLANTILLA!J18</f>
        <v>11.967513592796738</v>
      </c>
      <c r="D17" s="357">
        <f t="shared" si="0"/>
        <v>4.0283731528543321</v>
      </c>
      <c r="E17" s="159">
        <f>D17*PLANTILLA!R18</f>
        <v>3.7295488342966654</v>
      </c>
      <c r="F17" s="159">
        <f>E17*PLANTILLA!S18</f>
        <v>3.7268839187478875</v>
      </c>
    </row>
    <row r="18" spans="1:6" x14ac:dyDescent="0.25">
      <c r="A18" t="str">
        <f>PLANTILLA!D19</f>
        <v>W. Gelifini</v>
      </c>
      <c r="B18" s="159">
        <f>PLANTILLA!Y19+1.5+PLANTILLA!J19</f>
        <v>8.1062266804019512</v>
      </c>
      <c r="C18" s="159">
        <f>PLANTILLA!AB19+1.5+PLANTILLA!J19</f>
        <v>11.721337791513063</v>
      </c>
      <c r="D18" s="357">
        <f t="shared" si="0"/>
        <v>3.9436127829285095</v>
      </c>
      <c r="E18" s="159">
        <f>D18*PLANTILLA!R19</f>
        <v>2.5817005841950498</v>
      </c>
      <c r="F18" s="159">
        <f>E18*PLANTILLA!S19</f>
        <v>1.9491411972114399</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15.321027933154943</v>
      </c>
      <c r="C20" s="159">
        <f>PLANTILLA!AB5+1.5+PLANTILLA!J5</f>
        <v>4.2804684925954986</v>
      </c>
      <c r="D20" s="357">
        <f t="shared" si="0"/>
        <v>2.9852456147932425</v>
      </c>
      <c r="E20" s="159">
        <f>D20*PLANTILLA!R5</f>
        <v>2.7638003929334514</v>
      </c>
      <c r="F20" s="159">
        <f>E20*PLANTILLA!S5</f>
        <v>2.7618255442404629</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2"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3"/>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4">
        <f>C13</f>
        <v>5218072</v>
      </c>
      <c r="Z14" s="715"/>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6" t="s">
        <v>93</v>
      </c>
      <c r="B26" s="71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7" t="s">
        <v>94</v>
      </c>
      <c r="B27" s="70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8" t="s">
        <v>95</v>
      </c>
      <c r="B28" s="70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6" t="s">
        <v>96</v>
      </c>
      <c r="B29" s="71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7" t="s">
        <v>97</v>
      </c>
      <c r="B30" s="70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8" t="s">
        <v>98</v>
      </c>
      <c r="B31" s="70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7"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9">
        <f>C23</f>
        <v>4415274</v>
      </c>
      <c r="Z34" s="710"/>
    </row>
    <row r="35" spans="1:26" x14ac:dyDescent="0.25">
      <c r="A35" s="57"/>
      <c r="B35" s="717"/>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7"/>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7"/>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7"/>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7"/>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1"/>
      <c r="H41" s="711"/>
      <c r="I41" s="711"/>
      <c r="J41" s="711"/>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63"/>
      <c r="H47" s="363"/>
      <c r="I47" s="363"/>
      <c r="J47" s="363"/>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2"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3"/>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4">
        <f>C13</f>
        <v>6564204.3711659508</v>
      </c>
      <c r="Z14" s="715"/>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6" t="s">
        <v>93</v>
      </c>
      <c r="B26" s="71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7" t="s">
        <v>94</v>
      </c>
      <c r="B27" s="70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8" t="s">
        <v>95</v>
      </c>
      <c r="B28" s="70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6" t="s">
        <v>96</v>
      </c>
      <c r="B29" s="71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7" t="s">
        <v>97</v>
      </c>
      <c r="B30" s="70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8" t="s">
        <v>98</v>
      </c>
      <c r="B31" s="70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7"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9">
        <f>C23</f>
        <v>4502296</v>
      </c>
      <c r="Z34" s="710"/>
    </row>
    <row r="35" spans="1:26" x14ac:dyDescent="0.25">
      <c r="A35" s="57"/>
      <c r="B35" s="717"/>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7"/>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7"/>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7"/>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7"/>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1"/>
      <c r="H41" s="711"/>
      <c r="I41" s="711"/>
      <c r="J41" s="711"/>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row>
    <row r="47" spans="1:26" x14ac:dyDescent="0.25">
      <c r="G47" s="392"/>
      <c r="H47" s="392"/>
      <c r="I47" s="392"/>
      <c r="J47" s="392"/>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2"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3"/>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4">
        <f>C13</f>
        <v>6907309.643589247</v>
      </c>
      <c r="Z14" s="715"/>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6" t="s">
        <v>93</v>
      </c>
      <c r="B26" s="71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7" t="s">
        <v>94</v>
      </c>
      <c r="B27" s="70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8" t="s">
        <v>95</v>
      </c>
      <c r="B28" s="70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6" t="s">
        <v>96</v>
      </c>
      <c r="B29" s="71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7" t="s">
        <v>97</v>
      </c>
      <c r="B30" s="70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8" t="s">
        <v>98</v>
      </c>
      <c r="B31" s="70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7"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9">
        <f>C23</f>
        <v>4106107</v>
      </c>
      <c r="Z34" s="710"/>
    </row>
    <row r="35" spans="1:26" x14ac:dyDescent="0.25">
      <c r="A35" s="57"/>
      <c r="B35" s="717"/>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7"/>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7"/>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7"/>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7"/>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1"/>
      <c r="H41" s="711"/>
      <c r="I41" s="711"/>
      <c r="J41" s="711"/>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450"/>
      <c r="H47" s="450"/>
      <c r="I47" s="450"/>
      <c r="J47" s="450"/>
    </row>
    <row r="48" spans="1:26" x14ac:dyDescent="0.25">
      <c r="G48" s="706"/>
      <c r="H48" s="706"/>
      <c r="I48" s="706"/>
      <c r="J48" s="706"/>
      <c r="P48" s="383"/>
    </row>
    <row r="49" spans="7:10" ht="15" customHeight="1" x14ac:dyDescent="0.25">
      <c r="G49" s="706"/>
      <c r="H49" s="706"/>
      <c r="I49" s="70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2"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3"/>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4">
        <f>C13</f>
        <v>7216225</v>
      </c>
      <c r="Z14" s="715"/>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6" t="s">
        <v>93</v>
      </c>
      <c r="B26" s="71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7" t="s">
        <v>94</v>
      </c>
      <c r="B27" s="70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8" t="s">
        <v>95</v>
      </c>
      <c r="B28" s="70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6" t="s">
        <v>96</v>
      </c>
      <c r="B29" s="71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7" t="s">
        <v>97</v>
      </c>
      <c r="B30" s="70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8" t="s">
        <v>98</v>
      </c>
      <c r="B31" s="70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7"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9">
        <f>C23</f>
        <v>5755973</v>
      </c>
      <c r="Z34" s="710"/>
    </row>
    <row r="35" spans="1:26" x14ac:dyDescent="0.25">
      <c r="A35" s="57"/>
      <c r="B35" s="717"/>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7"/>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7"/>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7"/>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7"/>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7"/>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7"/>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1"/>
      <c r="H43" s="711"/>
      <c r="I43" s="711"/>
      <c r="J43" s="711"/>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6"/>
      <c r="H48" s="706"/>
      <c r="I48" s="706"/>
      <c r="J48" s="706"/>
      <c r="M48" s="383"/>
    </row>
    <row r="49" spans="5:16" x14ac:dyDescent="0.25">
      <c r="E49" s="106"/>
      <c r="G49" s="465"/>
      <c r="H49" s="465"/>
      <c r="I49" s="465"/>
      <c r="J49" s="465"/>
    </row>
    <row r="50" spans="5:16" x14ac:dyDescent="0.25">
      <c r="G50" s="706"/>
      <c r="H50" s="706"/>
      <c r="I50" s="706"/>
      <c r="J50" s="706"/>
      <c r="P50" s="383"/>
    </row>
    <row r="51" spans="5:16" ht="15" customHeight="1" x14ac:dyDescent="0.25">
      <c r="G51" s="706"/>
      <c r="H51" s="706"/>
      <c r="I51" s="706"/>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2"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3"/>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4">
        <f>C13</f>
        <v>9688435</v>
      </c>
      <c r="Z14" s="715"/>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6" t="s">
        <v>93</v>
      </c>
      <c r="B26" s="71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7" t="s">
        <v>94</v>
      </c>
      <c r="B27" s="70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8" t="s">
        <v>95</v>
      </c>
      <c r="B28" s="70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6" t="s">
        <v>96</v>
      </c>
      <c r="B29" s="71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7" t="s">
        <v>97</v>
      </c>
      <c r="B30" s="70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8" t="s">
        <v>98</v>
      </c>
      <c r="B31" s="70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7"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9">
        <f>C23</f>
        <v>16032490</v>
      </c>
      <c r="Z34" s="710"/>
    </row>
    <row r="35" spans="1:26" x14ac:dyDescent="0.25">
      <c r="A35" s="57"/>
      <c r="B35" s="717"/>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7"/>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7"/>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7"/>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7"/>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7"/>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7"/>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60"/>
      <c r="H47" s="560"/>
      <c r="I47" s="560"/>
      <c r="J47" s="560"/>
    </row>
    <row r="48" spans="1:26" x14ac:dyDescent="0.25">
      <c r="G48" s="706"/>
      <c r="H48" s="706"/>
      <c r="I48" s="706"/>
      <c r="J48" s="706"/>
      <c r="P48" s="383"/>
    </row>
    <row r="49" spans="7:10" ht="15" customHeight="1" x14ac:dyDescent="0.25">
      <c r="G49" s="706"/>
      <c r="H49" s="706"/>
      <c r="I49" s="706"/>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1.4389083280634998</v>
      </c>
      <c r="C2" s="265">
        <f>PLANTILLA!AC21</f>
        <v>8.5625000000000018</v>
      </c>
      <c r="D2" s="265">
        <f>PLANTILLA!AD21</f>
        <v>18.999999999999993</v>
      </c>
      <c r="E2" s="159">
        <f>PLANTILLA!AI21</f>
        <v>19.910767153884784</v>
      </c>
      <c r="F2" s="159">
        <f>PLANTILLA!AJ21</f>
        <v>15.895372457443083</v>
      </c>
      <c r="G2" s="159">
        <f>PLANTILLA!AK21</f>
        <v>1.2332376662450799</v>
      </c>
      <c r="H2" s="159">
        <f>PLANTILLA!AL21</f>
        <v>1.0492283448692068</v>
      </c>
      <c r="K2" t="str">
        <f>A4</f>
        <v>L. Calosso</v>
      </c>
      <c r="L2" s="405">
        <f>B2</f>
        <v>1.4389083280634998</v>
      </c>
      <c r="M2" s="405">
        <f t="shared" ref="M2:N2" si="0">C2</f>
        <v>8.5625000000000018</v>
      </c>
      <c r="N2" s="405">
        <f t="shared" si="0"/>
        <v>18.999999999999993</v>
      </c>
      <c r="O2" s="405"/>
    </row>
    <row r="3" spans="1:15" x14ac:dyDescent="0.25">
      <c r="A3" t="str">
        <f>PLANTILLA!D12</f>
        <v>E. Romweber</v>
      </c>
      <c r="B3" s="159">
        <f>PLANTILLA!J12</f>
        <v>1.5322921502071731</v>
      </c>
      <c r="C3" s="265">
        <f>PLANTILLA!AC12</f>
        <v>7.7700000000000005</v>
      </c>
      <c r="D3" s="265">
        <f>PLANTILLA!AD12</f>
        <v>17.529999999999998</v>
      </c>
      <c r="E3" s="159">
        <f>PLANTILLA!AI12</f>
        <v>16.359107949000673</v>
      </c>
      <c r="F3" s="159">
        <f>PLANTILLA!AJ12</f>
        <v>13.33027187888761</v>
      </c>
      <c r="G3" s="159">
        <f>PLANTILLA!AK12</f>
        <v>1.1569833720165736</v>
      </c>
      <c r="H3" s="159">
        <f>PLANTILLA!AL12</f>
        <v>1.2206048949589463</v>
      </c>
      <c r="K3" t="str">
        <f>A5</f>
        <v>L. Bauman</v>
      </c>
      <c r="L3" s="405">
        <f t="shared" ref="L3:L11" si="1">B3</f>
        <v>1.5322921502071731</v>
      </c>
      <c r="M3" s="405">
        <f t="shared" ref="M3:M11" si="2">C3</f>
        <v>7.7700000000000005</v>
      </c>
      <c r="N3" s="405">
        <f t="shared" ref="N3:N11" si="3">D3</f>
        <v>17.529999999999998</v>
      </c>
      <c r="O3" s="405"/>
    </row>
    <row r="4" spans="1:15" x14ac:dyDescent="0.25">
      <c r="A4" t="str">
        <f>PLANTILLA!D22</f>
        <v>L. Calosso</v>
      </c>
      <c r="B4" s="159">
        <f>PLANTILLA!J22</f>
        <v>1.4578955802163136</v>
      </c>
      <c r="C4" s="265">
        <f>PLANTILLA!AC22</f>
        <v>10</v>
      </c>
      <c r="D4" s="265">
        <f>PLANTILLA!AD22</f>
        <v>11</v>
      </c>
      <c r="E4" s="159">
        <f ca="1">PLANTILLA!AI22</f>
        <v>20.405428824352832</v>
      </c>
      <c r="F4" s="159">
        <f ca="1">PLANTILLA!AJ22</f>
        <v>13.123270961245625</v>
      </c>
      <c r="G4" s="159">
        <f ca="1">PLANTILLA!AK22</f>
        <v>1.02386167689965</v>
      </c>
      <c r="H4" s="159">
        <f ca="1">PLANTILLA!AL22</f>
        <v>0.62042896728719388</v>
      </c>
      <c r="K4" t="str">
        <f>A6</f>
        <v>P .Trivadi</v>
      </c>
      <c r="L4" s="405">
        <f t="shared" si="1"/>
        <v>1.4578955802163136</v>
      </c>
      <c r="M4" s="405">
        <f t="shared" si="2"/>
        <v>10</v>
      </c>
      <c r="N4" s="405">
        <f t="shared" si="3"/>
        <v>11</v>
      </c>
      <c r="O4" s="405"/>
    </row>
    <row r="5" spans="1:15" x14ac:dyDescent="0.25">
      <c r="A5" t="str">
        <f>PLANTILLA!D18</f>
        <v>L. Bauman</v>
      </c>
      <c r="B5" s="159">
        <f>PLANTILLA!J18</f>
        <v>1.3275135927967332</v>
      </c>
      <c r="C5" s="265">
        <f>PLANTILLA!AC18</f>
        <v>7.4318888888888894</v>
      </c>
      <c r="D5" s="265">
        <f>PLANTILLA!AD18</f>
        <v>16.669999999999998</v>
      </c>
      <c r="E5" s="159">
        <f>PLANTILLA!AI18</f>
        <v>18.659201039092036</v>
      </c>
      <c r="F5" s="159">
        <f>PLANTILLA!AJ18</f>
        <v>15.485341294620106</v>
      </c>
      <c r="G5" s="159">
        <f>PLANTILLA!AK18</f>
        <v>1.0978955318681831</v>
      </c>
      <c r="H5" s="159">
        <f>PLANTILLA!AL18</f>
        <v>0.91660372927354916</v>
      </c>
      <c r="K5" t="str">
        <f>A14</f>
        <v>D. Toh</v>
      </c>
      <c r="L5" s="405">
        <f t="shared" si="1"/>
        <v>1.3275135927967332</v>
      </c>
      <c r="M5" s="405">
        <f t="shared" si="2"/>
        <v>7.4318888888888894</v>
      </c>
      <c r="N5" s="405">
        <f t="shared" si="3"/>
        <v>16.669999999999998</v>
      </c>
      <c r="O5" s="405"/>
    </row>
    <row r="6" spans="1:15" x14ac:dyDescent="0.25">
      <c r="A6" t="str">
        <f>PLANTILLA!D23</f>
        <v>P .Trivadi</v>
      </c>
      <c r="B6" s="159">
        <f>PLANTILLA!J23</f>
        <v>1.0927252473891582</v>
      </c>
      <c r="C6" s="265">
        <f>PLANTILLA!AC23</f>
        <v>8.384500000000001</v>
      </c>
      <c r="D6" s="265">
        <f>PLANTILLA!AD23</f>
        <v>13.566666666666668</v>
      </c>
      <c r="E6" s="159">
        <f>PLANTILLA!AI23</f>
        <v>14.748067501133642</v>
      </c>
      <c r="F6" s="159">
        <f>PLANTILLA!AJ23</f>
        <v>11.040147161963763</v>
      </c>
      <c r="G6" s="159">
        <f>PLANTILLA!AK23</f>
        <v>1.0336430197911326</v>
      </c>
      <c r="H6" s="159">
        <f>PLANTILLA!AL23</f>
        <v>0.74929076731724109</v>
      </c>
      <c r="K6" t="str">
        <f>A18</f>
        <v>D. Gehmacher</v>
      </c>
      <c r="L6" s="405">
        <f t="shared" si="1"/>
        <v>1.0927252473891582</v>
      </c>
      <c r="M6" s="405">
        <f t="shared" si="2"/>
        <v>8.384500000000001</v>
      </c>
      <c r="N6" s="405">
        <f t="shared" si="3"/>
        <v>13.566666666666668</v>
      </c>
      <c r="O6" s="405"/>
    </row>
    <row r="7" spans="1:15" x14ac:dyDescent="0.25">
      <c r="A7" t="str">
        <f>PLANTILLA!D14</f>
        <v>S. Zobbe</v>
      </c>
      <c r="B7" s="159">
        <f>PLANTILLA!J14</f>
        <v>1.3725117035802796</v>
      </c>
      <c r="C7" s="265">
        <f>PLANTILLA!AC14</f>
        <v>7.4766666666666666</v>
      </c>
      <c r="D7" s="265">
        <f>PLANTILLA!AD14</f>
        <v>16</v>
      </c>
      <c r="E7" s="159">
        <f>PLANTILLA!AI14</f>
        <v>19.959517531579081</v>
      </c>
      <c r="F7" s="159">
        <f>PLANTILLA!AJ14</f>
        <v>16.315511703580277</v>
      </c>
      <c r="G7" s="159">
        <f>PLANTILLA!AK14</f>
        <v>1.0836342696197556</v>
      </c>
      <c r="H7" s="159">
        <f>PLANTILLA!AL14</f>
        <v>1.0154758192506192</v>
      </c>
      <c r="K7" t="str">
        <f>A13</f>
        <v>E. Toney</v>
      </c>
      <c r="L7" s="405">
        <f t="shared" si="1"/>
        <v>1.3725117035802796</v>
      </c>
      <c r="M7" s="405">
        <f t="shared" si="2"/>
        <v>7.4766666666666666</v>
      </c>
      <c r="N7" s="405">
        <f t="shared" si="3"/>
        <v>16</v>
      </c>
      <c r="O7" s="405"/>
    </row>
    <row r="8" spans="1:15" x14ac:dyDescent="0.25">
      <c r="A8" t="str">
        <f>PLANTILLA!D13</f>
        <v>K. Helms</v>
      </c>
      <c r="B8" s="159">
        <f>PLANTILLA!J13</f>
        <v>1.424247815661549</v>
      </c>
      <c r="C8" s="265">
        <f>PLANTILLA!AC13</f>
        <v>5.4050000000000002</v>
      </c>
      <c r="D8" s="265">
        <f>PLANTILLA!AD13</f>
        <v>18</v>
      </c>
      <c r="E8" s="159">
        <f>PLANTILLA!AI13</f>
        <v>11.610209314469115</v>
      </c>
      <c r="F8" s="159">
        <f>PLANTILLA!AJ13</f>
        <v>11.224526744556112</v>
      </c>
      <c r="G8" s="159">
        <f>PLANTILLA!AK13</f>
        <v>1.0441898252529238</v>
      </c>
      <c r="H8" s="159">
        <f>PLANTILLA!AL13</f>
        <v>1.0347094683084297</v>
      </c>
      <c r="K8" t="str">
        <f>A14</f>
        <v>D. Toh</v>
      </c>
      <c r="L8" s="405">
        <f t="shared" si="1"/>
        <v>1.424247815661549</v>
      </c>
      <c r="M8" s="405">
        <f t="shared" si="2"/>
        <v>5.4050000000000002</v>
      </c>
      <c r="N8" s="405">
        <f t="shared" si="3"/>
        <v>18</v>
      </c>
      <c r="O8" s="405"/>
    </row>
    <row r="9" spans="1:15" x14ac:dyDescent="0.25">
      <c r="A9" t="str">
        <f>PLANTILLA!D15</f>
        <v>S. Buschelman</v>
      </c>
      <c r="B9" s="159">
        <f>PLANTILLA!J15</f>
        <v>1.4578955802163136</v>
      </c>
      <c r="C9" s="265">
        <f>PLANTILLA!AC15</f>
        <v>4.99</v>
      </c>
      <c r="D9" s="265">
        <f>PLANTILLA!AD15</f>
        <v>15.588888888888887</v>
      </c>
      <c r="E9" s="159">
        <f>PLANTILLA!AI15</f>
        <v>14.622623113170214</v>
      </c>
      <c r="F9" s="159">
        <f>PLANTILLA!AJ15</f>
        <v>14.227186537070196</v>
      </c>
      <c r="G9" s="159">
        <f>PLANTILLA!AK15</f>
        <v>0.95379831308397167</v>
      </c>
      <c r="H9" s="159">
        <f>PLANTILLA!AL15</f>
        <v>1.0468660239484753</v>
      </c>
      <c r="K9" t="str">
        <f>A9</f>
        <v>S. Buschelman</v>
      </c>
      <c r="L9" s="405">
        <f t="shared" si="1"/>
        <v>1.4578955802163136</v>
      </c>
      <c r="M9" s="405">
        <f t="shared" si="2"/>
        <v>4.99</v>
      </c>
      <c r="N9" s="405">
        <f t="shared" si="3"/>
        <v>15.588888888888887</v>
      </c>
      <c r="O9" s="405"/>
    </row>
    <row r="10" spans="1:15" x14ac:dyDescent="0.25">
      <c r="A10" t="str">
        <f>PLANTILLA!D16</f>
        <v>C. Rojas</v>
      </c>
      <c r="B10" s="159">
        <f>PLANTILLA!J16</f>
        <v>1.4762799595304912</v>
      </c>
      <c r="C10" s="265">
        <f>PLANTILLA!AC16</f>
        <v>3.99</v>
      </c>
      <c r="D10" s="265">
        <f>PLANTILLA!AD16</f>
        <v>17.144444444444439</v>
      </c>
      <c r="E10" s="159">
        <f>PLANTILLA!AI16</f>
        <v>15.030423155006828</v>
      </c>
      <c r="F10" s="159">
        <f>PLANTILLA!AJ16</f>
        <v>16.174391070641597</v>
      </c>
      <c r="G10" s="159">
        <f>PLANTILLA!AK16</f>
        <v>0.95193573009577237</v>
      </c>
      <c r="H10" s="159">
        <f>PLANTILLA!AL16</f>
        <v>1.06777515272269</v>
      </c>
      <c r="K10" t="str">
        <f>A11</f>
        <v>B. Bartolache</v>
      </c>
      <c r="L10" s="405">
        <f t="shared" si="1"/>
        <v>1.4762799595304912</v>
      </c>
      <c r="M10" s="405">
        <f t="shared" si="2"/>
        <v>3.99</v>
      </c>
      <c r="N10" s="405">
        <f t="shared" si="3"/>
        <v>17.144444444444439</v>
      </c>
      <c r="O10" s="405"/>
    </row>
    <row r="11" spans="1:15" x14ac:dyDescent="0.25">
      <c r="A11" t="str">
        <f>PLANTILLA!D10</f>
        <v>B. Bartolache</v>
      </c>
      <c r="B11" s="159">
        <f>PLANTILLA!J10</f>
        <v>1.383235330587498</v>
      </c>
      <c r="C11" s="265">
        <f>PLANTILLA!AC10</f>
        <v>4.6199999999999966</v>
      </c>
      <c r="D11" s="265">
        <f>PLANTILLA!AD10</f>
        <v>16</v>
      </c>
      <c r="E11" s="159">
        <f>PLANTILLA!AI10</f>
        <v>15.241150080598368</v>
      </c>
      <c r="F11" s="159">
        <f>PLANTILLA!AJ10</f>
        <v>15.469235330587498</v>
      </c>
      <c r="G11" s="159">
        <f>PLANTILLA!AK10</f>
        <v>0.94165882644699972</v>
      </c>
      <c r="H11" s="159">
        <f>PLANTILLA!AL10</f>
        <v>1.1598264731411247</v>
      </c>
      <c r="K11" t="str">
        <f>A12</f>
        <v>T. Hammond</v>
      </c>
      <c r="L11" s="405">
        <f t="shared" si="1"/>
        <v>1.383235330587498</v>
      </c>
      <c r="M11" s="405">
        <f t="shared" si="2"/>
        <v>4.6199999999999966</v>
      </c>
      <c r="N11" s="405">
        <f t="shared" si="3"/>
        <v>16</v>
      </c>
      <c r="O11" s="405"/>
    </row>
    <row r="12" spans="1:15" x14ac:dyDescent="0.25">
      <c r="A12" t="str">
        <f>PLANTILLA!D6</f>
        <v>T. Hammond</v>
      </c>
      <c r="B12" s="159">
        <f>PLANTILLA!J6</f>
        <v>1.2787218564281246</v>
      </c>
      <c r="C12" s="265">
        <f>PLANTILLA!AC6</f>
        <v>3.99</v>
      </c>
      <c r="D12" s="265">
        <f>PLANTILLA!AD6</f>
        <v>15.778888888888888</v>
      </c>
      <c r="E12" s="159">
        <f>PLANTILLA!AI6</f>
        <v>12.815909324990427</v>
      </c>
      <c r="F12" s="159">
        <f>PLANTILLA!AJ6</f>
        <v>13.90669194557398</v>
      </c>
      <c r="G12" s="159">
        <f>PLANTILLA!AK6</f>
        <v>0.89516441518091661</v>
      </c>
      <c r="H12" s="159">
        <f>PLANTILLA!AL6</f>
        <v>1.1004771966166351</v>
      </c>
      <c r="M12" s="586">
        <f>AVERAGE(M2:M11)</f>
        <v>6.8630555555555564</v>
      </c>
      <c r="N12" s="586">
        <f>AVERAGE(N2:N11)</f>
        <v>16.049999999999997</v>
      </c>
      <c r="O12" s="587">
        <f>1.66*(M12+1.5)+0.55*(N12+1.5)-7.6</f>
        <v>15.935172222222223</v>
      </c>
    </row>
    <row r="13" spans="1:15" x14ac:dyDescent="0.25">
      <c r="A13" t="str">
        <f>PLANTILLA!D9</f>
        <v>E. Toney</v>
      </c>
      <c r="B13" s="159">
        <f>PLANTILLA!J9</f>
        <v>1.5444833227936663</v>
      </c>
      <c r="C13" s="265">
        <f>PLANTILLA!AC9</f>
        <v>3.6816666666666658</v>
      </c>
      <c r="D13" s="265">
        <f>PLANTILLA!AD9</f>
        <v>17.177777777777774</v>
      </c>
      <c r="E13" s="159">
        <f>PLANTILLA!AI9</f>
        <v>13.598123984278644</v>
      </c>
      <c r="F13" s="159">
        <f>PLANTILLA!AJ9</f>
        <v>14.973684509128537</v>
      </c>
      <c r="G13" s="159">
        <f>PLANTILLA!AK9</f>
        <v>0.94297533249015975</v>
      </c>
      <c r="H13" s="159">
        <f>PLANTILLA!AL9</f>
        <v>1.21644716592889</v>
      </c>
    </row>
    <row r="14" spans="1:15" x14ac:dyDescent="0.25">
      <c r="A14" t="str">
        <f>PLANTILLA!D8</f>
        <v>D. Toh</v>
      </c>
      <c r="B14" s="159">
        <f>PLANTILLA!J8</f>
        <v>1.265853342193217</v>
      </c>
      <c r="C14" s="265">
        <f>PLANTILLA!AC8</f>
        <v>3.9933333333333318</v>
      </c>
      <c r="D14" s="265">
        <f>PLANTILLA!AD8</f>
        <v>15.587777777777776</v>
      </c>
      <c r="E14" s="159">
        <f>PLANTILLA!AI8</f>
        <v>7.3308406300572484</v>
      </c>
      <c r="F14" s="159">
        <f>PLANTILLA!AJ8</f>
        <v>7.9511811205478367</v>
      </c>
      <c r="G14" s="159">
        <f>PLANTILLA!AK8</f>
        <v>0.88856826737545713</v>
      </c>
      <c r="H14" s="159">
        <f>PLANTILLA!AL8</f>
        <v>1.1043364006201919</v>
      </c>
    </row>
    <row r="15" spans="1:15" x14ac:dyDescent="0.25">
      <c r="A15" t="str">
        <f>PLANTILLA!D17</f>
        <v>E. Gross</v>
      </c>
      <c r="B15" s="159">
        <f>PLANTILLA!J17</f>
        <v>1.3885235802109668</v>
      </c>
      <c r="C15" s="265">
        <f>PLANTILLA!AC17</f>
        <v>2.98</v>
      </c>
      <c r="D15" s="265">
        <f>PLANTILLA!AD17</f>
        <v>17.459999999999997</v>
      </c>
      <c r="E15" s="159">
        <f>PLANTILLA!AI17</f>
        <v>12.344364077589368</v>
      </c>
      <c r="F15" s="159">
        <f>PLANTILLA!AJ17</f>
        <v>14.817309617843067</v>
      </c>
      <c r="G15" s="159">
        <f>PLANTILLA!AK17</f>
        <v>0.90388188641687728</v>
      </c>
      <c r="H15" s="159">
        <f>PLANTILLA!AL17</f>
        <v>1.1479966506147676</v>
      </c>
    </row>
    <row r="16" spans="1:15" x14ac:dyDescent="0.25">
      <c r="A16" t="str">
        <f>PLANTILLA!D11</f>
        <v>F. Lasprilla</v>
      </c>
      <c r="B16" s="159">
        <f>PLANTILLA!J11</f>
        <v>1.0375350005115249</v>
      </c>
      <c r="C16" s="265">
        <f>PLANTILLA!AC11</f>
        <v>3.2566666666666673</v>
      </c>
      <c r="D16" s="265">
        <f>PLANTILLA!AD11</f>
        <v>13.33611111111111</v>
      </c>
      <c r="E16" s="159">
        <f>PLANTILLA!AI11</f>
        <v>7.0367938323898196</v>
      </c>
      <c r="F16" s="159">
        <f>PLANTILLA!AJ11</f>
        <v>8.4121771032173598</v>
      </c>
      <c r="G16" s="159">
        <f>PLANTILLA!AK11</f>
        <v>0.7659194667075887</v>
      </c>
      <c r="H16" s="159">
        <f>PLANTILLA!AL11</f>
        <v>0.96189745003580673</v>
      </c>
    </row>
    <row r="17" spans="1:8" x14ac:dyDescent="0.25">
      <c r="A17" t="str">
        <f>PLANTILLA!D19</f>
        <v>W. Gelifini</v>
      </c>
      <c r="B17" s="159">
        <f>PLANTILLA!J19</f>
        <v>0.95467112484639893</v>
      </c>
      <c r="C17" s="265">
        <f>PLANTILLA!AC19</f>
        <v>3.5417777777777766</v>
      </c>
      <c r="D17" s="265">
        <f>PLANTILLA!AD19</f>
        <v>12.847222222222223</v>
      </c>
      <c r="E17" s="159">
        <f>PLANTILLA!AI19</f>
        <v>7.0507159528857457</v>
      </c>
      <c r="F17" s="159">
        <f>PLANTILLA!AJ19</f>
        <v>8.1898876395030342</v>
      </c>
      <c r="G17" s="159">
        <f>PLANTILLA!AK19</f>
        <v>0.75887924554326747</v>
      </c>
      <c r="H17" s="159">
        <f>PLANTILLA!AL19</f>
        <v>0.7833058676281367</v>
      </c>
    </row>
    <row r="18" spans="1:8" x14ac:dyDescent="0.25">
      <c r="A18" t="str">
        <f>PLANTILLA!D5</f>
        <v>D. Gehmacher</v>
      </c>
      <c r="B18" s="159">
        <f>PLANTILLA!J5</f>
        <v>1.7404684925954983</v>
      </c>
      <c r="C18" s="265">
        <f>PLANTILLA!AC5</f>
        <v>0.14055555555555557</v>
      </c>
      <c r="D18" s="265">
        <f>PLANTILLA!AD5</f>
        <v>18.2</v>
      </c>
      <c r="E18" s="159">
        <f ca="1">PLANTILLA!AI5</f>
        <v>8.0544104407654196</v>
      </c>
      <c r="F18" s="159">
        <f ca="1">PLANTILLA!AJ5</f>
        <v>14.371167631881011</v>
      </c>
      <c r="G18" s="159">
        <f ca="1">PLANTILLA!AK5</f>
        <v>0.7722652571854175</v>
      </c>
      <c r="H18" s="159">
        <f ca="1">PLANTILLA!AL5</f>
        <v>1.2210551721040628</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1.6091011680424663</v>
      </c>
      <c r="C20" s="265">
        <f>PLANTILLA!AC7</f>
        <v>1.1428571428571428</v>
      </c>
      <c r="D20" s="265">
        <f>PLANTILLA!AD7</f>
        <v>11</v>
      </c>
      <c r="E20" s="159">
        <f ca="1">PLANTILLA!AI7</f>
        <v>5.6597756858427317</v>
      </c>
      <c r="F20" s="159">
        <f ca="1">PLANTILLA!AJ7</f>
        <v>9.8617971061701333</v>
      </c>
      <c r="G20" s="159">
        <f ca="1">PLANTILLA!AK7</f>
        <v>0.59587095058625439</v>
      </c>
      <c r="H20" s="159">
        <f ca="1">PLANTILLA!AL7</f>
        <v>1.0846370817629729</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2"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3"/>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4">
        <f>C13</f>
        <v>10943703</v>
      </c>
      <c r="Z14" s="715"/>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6" t="s">
        <v>93</v>
      </c>
      <c r="B26" s="71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7" t="s">
        <v>94</v>
      </c>
      <c r="B27" s="70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8" t="s">
        <v>95</v>
      </c>
      <c r="B28" s="70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6" t="s">
        <v>96</v>
      </c>
      <c r="B29" s="71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7" t="s">
        <v>97</v>
      </c>
      <c r="B30" s="70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8" t="s">
        <v>98</v>
      </c>
      <c r="B31" s="70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7"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9">
        <f>C23</f>
        <v>7143175</v>
      </c>
      <c r="Z34" s="710"/>
    </row>
    <row r="35" spans="1:26" x14ac:dyDescent="0.25">
      <c r="A35" s="57"/>
      <c r="B35" s="717"/>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7"/>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7"/>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7"/>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7"/>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7"/>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7"/>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1"/>
      <c r="H43" s="711"/>
      <c r="I43" s="711"/>
      <c r="J43" s="711"/>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6"/>
      <c r="H46" s="706"/>
      <c r="I46" s="706"/>
      <c r="J46" s="706"/>
      <c r="M46" s="383"/>
    </row>
    <row r="47" spans="1:26" x14ac:dyDescent="0.25">
      <c r="E47" s="106"/>
      <c r="G47" s="589"/>
      <c r="H47" s="589"/>
      <c r="I47" s="589"/>
      <c r="J47" s="589"/>
    </row>
    <row r="48" spans="1:26" x14ac:dyDescent="0.25">
      <c r="G48" s="706"/>
      <c r="H48" s="706"/>
      <c r="I48" s="706"/>
      <c r="J48" s="706"/>
      <c r="P48" s="383"/>
    </row>
    <row r="49" spans="7:10" ht="15" customHeight="1" x14ac:dyDescent="0.25">
      <c r="G49" s="706"/>
      <c r="H49" s="706"/>
      <c r="I49" s="706"/>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19.2</v>
      </c>
      <c r="E3" s="354">
        <f>D3</f>
        <v>19.2</v>
      </c>
      <c r="F3" s="354">
        <f>E3+0.1</f>
        <v>19.3</v>
      </c>
      <c r="G3" s="354">
        <f>C3</f>
        <v>6</v>
      </c>
      <c r="H3" s="354">
        <f t="shared" ref="H3" si="0">G3+0.99</f>
        <v>6.99</v>
      </c>
      <c r="I3" s="358">
        <f t="shared" ref="I3:J3" si="1">G3*G3*E3</f>
        <v>691.19999999999993</v>
      </c>
      <c r="J3" s="358">
        <f t="shared" si="1"/>
        <v>942.99993000000006</v>
      </c>
      <c r="K3" s="355"/>
      <c r="N3" s="4" t="s">
        <v>519</v>
      </c>
      <c r="O3" t="str">
        <f>A3</f>
        <v>D. Gehmacher</v>
      </c>
      <c r="P3" s="356">
        <f>E3</f>
        <v>19.2</v>
      </c>
      <c r="Q3" s="356">
        <f t="shared" ref="Q3:S3" si="2">F3</f>
        <v>19.3</v>
      </c>
      <c r="R3" s="356">
        <f t="shared" si="2"/>
        <v>6</v>
      </c>
      <c r="S3" s="356">
        <f t="shared" si="2"/>
        <v>6.99</v>
      </c>
      <c r="U3" s="4" t="s">
        <v>519</v>
      </c>
      <c r="V3" s="179" t="str">
        <f>O3</f>
        <v>D. Gehmacher</v>
      </c>
      <c r="W3" s="356">
        <f>P3</f>
        <v>19.2</v>
      </c>
      <c r="X3" s="356">
        <f t="shared" ref="X3:Z3" si="3">Q3</f>
        <v>19.3</v>
      </c>
      <c r="Y3" s="356">
        <f t="shared" si="3"/>
        <v>6</v>
      </c>
      <c r="Z3" s="356">
        <f t="shared" si="3"/>
        <v>6.99</v>
      </c>
    </row>
    <row r="4" spans="1:26" x14ac:dyDescent="0.25">
      <c r="A4" s="359" t="str">
        <f>PLANTILLA!D6</f>
        <v>T. Hammond</v>
      </c>
      <c r="B4" s="165">
        <f>PLANTILLA!E6</f>
        <v>35</v>
      </c>
      <c r="C4" s="165">
        <f>PLANTILLA!H6</f>
        <v>3</v>
      </c>
      <c r="D4" s="361">
        <f>PLANTILLA!I6</f>
        <v>8.1</v>
      </c>
      <c r="E4" s="354">
        <f t="shared" ref="E4:E22" si="4">D4</f>
        <v>8.1</v>
      </c>
      <c r="F4" s="354">
        <f t="shared" ref="F4:F22" si="5">E4+0.1</f>
        <v>8.1999999999999993</v>
      </c>
      <c r="G4" s="354">
        <f t="shared" ref="G4:G22" si="6">C4</f>
        <v>3</v>
      </c>
      <c r="H4" s="354">
        <f t="shared" ref="H4:H22" si="7">G4+0.99</f>
        <v>3.99</v>
      </c>
      <c r="I4" s="358">
        <f t="shared" ref="I4:I22" si="8">G4*G4*E4</f>
        <v>72.899999999999991</v>
      </c>
      <c r="J4" s="358">
        <f t="shared" ref="J4:J22" si="9">H4*H4*F4</f>
        <v>130.54481999999999</v>
      </c>
      <c r="K4" s="355"/>
      <c r="O4" t="str">
        <f>A7</f>
        <v>E. Toney</v>
      </c>
      <c r="P4" s="356">
        <f>E7</f>
        <v>13.4</v>
      </c>
      <c r="Q4" s="356">
        <f t="shared" ref="Q4:S4" si="10">F7</f>
        <v>13.5</v>
      </c>
      <c r="R4" s="356">
        <f t="shared" si="10"/>
        <v>4</v>
      </c>
      <c r="S4" s="356">
        <f t="shared" si="10"/>
        <v>4.99</v>
      </c>
      <c r="V4" s="179" t="str">
        <f t="shared" ref="V4:V13" si="11">O4</f>
        <v>E. Toney</v>
      </c>
      <c r="W4" s="356">
        <f t="shared" ref="W4:W13" si="12">P4</f>
        <v>13.4</v>
      </c>
      <c r="X4" s="356">
        <f t="shared" ref="X4:X13" si="13">Q4</f>
        <v>13.5</v>
      </c>
      <c r="Y4" s="356">
        <f t="shared" ref="Y4:Y13" si="14">R4</f>
        <v>4</v>
      </c>
      <c r="Z4" s="356">
        <f t="shared" ref="Z4:Z13" si="15">S4</f>
        <v>4.99</v>
      </c>
    </row>
    <row r="5" spans="1:26" x14ac:dyDescent="0.25">
      <c r="A5" s="359" t="str">
        <f>PLANTILLA!D7</f>
        <v>B. Pinczehelyi</v>
      </c>
      <c r="B5" s="165">
        <f>PLANTILLA!E7</f>
        <v>31</v>
      </c>
      <c r="C5" s="165">
        <f>PLANTILLA!H7</f>
        <v>2</v>
      </c>
      <c r="D5" s="361">
        <f>PLANTILLA!I7</f>
        <v>15.1</v>
      </c>
      <c r="E5" s="354">
        <f t="shared" si="4"/>
        <v>15.1</v>
      </c>
      <c r="F5" s="354">
        <f t="shared" si="5"/>
        <v>15.2</v>
      </c>
      <c r="G5" s="354">
        <f t="shared" si="6"/>
        <v>2</v>
      </c>
      <c r="H5" s="354">
        <f t="shared" si="7"/>
        <v>2.99</v>
      </c>
      <c r="I5" s="358">
        <f t="shared" si="8"/>
        <v>60.4</v>
      </c>
      <c r="J5" s="358">
        <f t="shared" si="9"/>
        <v>135.88952</v>
      </c>
      <c r="K5" s="355"/>
      <c r="L5" s="178"/>
      <c r="O5" t="str">
        <f>A15</f>
        <v>E. Gross</v>
      </c>
      <c r="P5" s="356">
        <f>E15</f>
        <v>10</v>
      </c>
      <c r="Q5" s="356">
        <f t="shared" ref="Q5:S5" si="16">F15</f>
        <v>10.1</v>
      </c>
      <c r="R5" s="356">
        <f t="shared" si="16"/>
        <v>3</v>
      </c>
      <c r="S5" s="356">
        <f t="shared" si="16"/>
        <v>3.99</v>
      </c>
      <c r="V5" s="179" t="str">
        <f t="shared" si="11"/>
        <v>E. Gross</v>
      </c>
      <c r="W5" s="356">
        <f t="shared" si="12"/>
        <v>10</v>
      </c>
      <c r="X5" s="356">
        <f t="shared" si="13"/>
        <v>10.1</v>
      </c>
      <c r="Y5" s="356">
        <f t="shared" si="14"/>
        <v>3</v>
      </c>
      <c r="Z5" s="356">
        <f t="shared" si="15"/>
        <v>3.99</v>
      </c>
    </row>
    <row r="6" spans="1:26" x14ac:dyDescent="0.25">
      <c r="A6" s="359" t="str">
        <f>PLANTILLA!D8</f>
        <v>D. Toh</v>
      </c>
      <c r="B6" s="165">
        <f>PLANTILLA!E8</f>
        <v>32</v>
      </c>
      <c r="C6" s="165">
        <f>PLANTILLA!H8</f>
        <v>4</v>
      </c>
      <c r="D6" s="361">
        <f>PLANTILLA!I8</f>
        <v>7.9</v>
      </c>
      <c r="E6" s="354">
        <f t="shared" si="4"/>
        <v>7.9</v>
      </c>
      <c r="F6" s="354">
        <f t="shared" si="5"/>
        <v>8</v>
      </c>
      <c r="G6" s="354">
        <f t="shared" si="6"/>
        <v>4</v>
      </c>
      <c r="H6" s="354">
        <f t="shared" si="7"/>
        <v>4.99</v>
      </c>
      <c r="I6" s="358">
        <f t="shared" si="8"/>
        <v>126.4</v>
      </c>
      <c r="J6" s="358">
        <f t="shared" si="9"/>
        <v>199.20080000000002</v>
      </c>
      <c r="K6" s="355"/>
      <c r="O6" t="str">
        <f>A5</f>
        <v>B. Pinczehelyi</v>
      </c>
      <c r="P6" s="356">
        <f>E5</f>
        <v>15.1</v>
      </c>
      <c r="Q6" s="356">
        <f t="shared" ref="Q6:S6" si="17">F5</f>
        <v>15.2</v>
      </c>
      <c r="R6" s="356">
        <f t="shared" si="17"/>
        <v>2</v>
      </c>
      <c r="S6" s="356">
        <f t="shared" si="17"/>
        <v>2.99</v>
      </c>
      <c r="V6" s="179" t="str">
        <f t="shared" si="11"/>
        <v>B. Pinczehelyi</v>
      </c>
      <c r="W6" s="356">
        <f t="shared" si="12"/>
        <v>15.1</v>
      </c>
      <c r="X6" s="356">
        <f t="shared" si="13"/>
        <v>15.2</v>
      </c>
      <c r="Y6" s="356">
        <f t="shared" si="14"/>
        <v>2</v>
      </c>
      <c r="Z6" s="356">
        <f t="shared" si="15"/>
        <v>2.99</v>
      </c>
    </row>
    <row r="7" spans="1:26" x14ac:dyDescent="0.25">
      <c r="A7" s="359" t="str">
        <f>PLANTILLA!D9</f>
        <v>E. Toney</v>
      </c>
      <c r="B7" s="165">
        <f>PLANTILLA!E9</f>
        <v>32</v>
      </c>
      <c r="C7" s="165">
        <f>PLANTILLA!H9</f>
        <v>4</v>
      </c>
      <c r="D7" s="361">
        <f>PLANTILLA!I9</f>
        <v>13.4</v>
      </c>
      <c r="E7" s="354">
        <f t="shared" si="4"/>
        <v>13.4</v>
      </c>
      <c r="F7" s="354">
        <f t="shared" si="5"/>
        <v>13.5</v>
      </c>
      <c r="G7" s="354">
        <f t="shared" si="6"/>
        <v>4</v>
      </c>
      <c r="H7" s="354">
        <f t="shared" si="7"/>
        <v>4.99</v>
      </c>
      <c r="I7" s="358">
        <f t="shared" si="8"/>
        <v>214.4</v>
      </c>
      <c r="J7" s="358">
        <f t="shared" si="9"/>
        <v>336.15135000000004</v>
      </c>
      <c r="K7" s="355"/>
      <c r="O7" t="str">
        <f>A10</f>
        <v>E. Romweber</v>
      </c>
      <c r="P7" s="356">
        <f>E10</f>
        <v>13.1</v>
      </c>
      <c r="Q7" s="356">
        <f t="shared" ref="Q7:S7" si="18">F10</f>
        <v>13.2</v>
      </c>
      <c r="R7" s="356">
        <f t="shared" si="18"/>
        <v>0</v>
      </c>
      <c r="S7" s="356">
        <f t="shared" si="18"/>
        <v>0.99</v>
      </c>
      <c r="V7" s="179" t="str">
        <f t="shared" si="11"/>
        <v>E. Romweber</v>
      </c>
      <c r="W7" s="356">
        <f t="shared" si="12"/>
        <v>13.1</v>
      </c>
      <c r="X7" s="356">
        <f t="shared" si="13"/>
        <v>13.2</v>
      </c>
      <c r="Y7" s="356">
        <f t="shared" si="14"/>
        <v>0</v>
      </c>
      <c r="Z7" s="356">
        <f t="shared" si="15"/>
        <v>0.99</v>
      </c>
    </row>
    <row r="8" spans="1:26" x14ac:dyDescent="0.25">
      <c r="A8" s="359" t="str">
        <f>PLANTILLA!D10</f>
        <v>B. Bartolache</v>
      </c>
      <c r="B8" s="165">
        <f>PLANTILLA!E10</f>
        <v>31</v>
      </c>
      <c r="C8" s="165">
        <f>PLANTILLA!H10</f>
        <v>3</v>
      </c>
      <c r="D8" s="361">
        <f>PLANTILLA!I10</f>
        <v>9.9</v>
      </c>
      <c r="E8" s="354">
        <f t="shared" si="4"/>
        <v>9.9</v>
      </c>
      <c r="F8" s="354">
        <f t="shared" si="5"/>
        <v>10</v>
      </c>
      <c r="G8" s="354">
        <f t="shared" si="6"/>
        <v>3</v>
      </c>
      <c r="H8" s="354">
        <f t="shared" si="7"/>
        <v>3.99</v>
      </c>
      <c r="I8" s="358">
        <f t="shared" si="8"/>
        <v>89.100000000000009</v>
      </c>
      <c r="J8" s="358">
        <f t="shared" si="9"/>
        <v>159.20100000000002</v>
      </c>
      <c r="K8" s="355"/>
      <c r="O8" t="str">
        <f>A13</f>
        <v>S. Buschelman</v>
      </c>
      <c r="P8" s="356">
        <f>E13</f>
        <v>11.4</v>
      </c>
      <c r="Q8" s="356">
        <f t="shared" ref="Q8:S8" si="19">F13</f>
        <v>11.5</v>
      </c>
      <c r="R8" s="356">
        <f t="shared" si="19"/>
        <v>3</v>
      </c>
      <c r="S8" s="356">
        <f t="shared" si="19"/>
        <v>3.99</v>
      </c>
      <c r="V8" s="179" t="str">
        <f t="shared" si="11"/>
        <v>S. Buschelman</v>
      </c>
      <c r="W8" s="356">
        <f t="shared" si="12"/>
        <v>11.4</v>
      </c>
      <c r="X8" s="356">
        <f t="shared" si="13"/>
        <v>11.5</v>
      </c>
      <c r="Y8" s="356">
        <f t="shared" si="14"/>
        <v>3</v>
      </c>
      <c r="Z8" s="356">
        <f t="shared" si="15"/>
        <v>3.99</v>
      </c>
    </row>
    <row r="9" spans="1:26" x14ac:dyDescent="0.25">
      <c r="A9" s="359" t="str">
        <f>PLANTILLA!D11</f>
        <v>F. Lasprilla</v>
      </c>
      <c r="B9" s="165">
        <f>PLANTILLA!E11</f>
        <v>28</v>
      </c>
      <c r="C9" s="165">
        <f>PLANTILLA!H11</f>
        <v>4</v>
      </c>
      <c r="D9" s="361">
        <f>PLANTILLA!I11</f>
        <v>5</v>
      </c>
      <c r="E9" s="354">
        <f t="shared" si="4"/>
        <v>5</v>
      </c>
      <c r="F9" s="354">
        <f t="shared" si="5"/>
        <v>5.0999999999999996</v>
      </c>
      <c r="G9" s="354">
        <f t="shared" si="6"/>
        <v>4</v>
      </c>
      <c r="H9" s="354">
        <f t="shared" si="7"/>
        <v>4.99</v>
      </c>
      <c r="I9" s="358">
        <f t="shared" si="8"/>
        <v>80</v>
      </c>
      <c r="J9" s="358">
        <f t="shared" si="9"/>
        <v>126.99051</v>
      </c>
      <c r="K9" s="355"/>
      <c r="O9" t="str">
        <f>A16</f>
        <v>L. Bauman</v>
      </c>
      <c r="P9" s="356">
        <f>E16</f>
        <v>8.9</v>
      </c>
      <c r="Q9" s="356">
        <f t="shared" ref="Q9:S9" si="20">F16</f>
        <v>9</v>
      </c>
      <c r="R9" s="356">
        <f t="shared" si="20"/>
        <v>0</v>
      </c>
      <c r="S9" s="356">
        <f t="shared" si="20"/>
        <v>0.99</v>
      </c>
      <c r="V9" s="179" t="str">
        <f t="shared" si="11"/>
        <v>L. Bauman</v>
      </c>
      <c r="W9" s="356">
        <f t="shared" si="12"/>
        <v>8.9</v>
      </c>
      <c r="X9" s="356">
        <f t="shared" si="13"/>
        <v>9</v>
      </c>
      <c r="Y9" s="356">
        <f t="shared" si="14"/>
        <v>0</v>
      </c>
      <c r="Z9" s="356">
        <f t="shared" si="15"/>
        <v>0.99</v>
      </c>
    </row>
    <row r="10" spans="1:26" x14ac:dyDescent="0.25">
      <c r="A10" s="359" t="str">
        <f>PLANTILLA!D12</f>
        <v>E. Romweber</v>
      </c>
      <c r="B10" s="165">
        <f>PLANTILLA!E12</f>
        <v>31</v>
      </c>
      <c r="C10" s="165">
        <f>PLANTILLA!H12</f>
        <v>0</v>
      </c>
      <c r="D10" s="361">
        <f>PLANTILLA!I12</f>
        <v>13.1</v>
      </c>
      <c r="E10" s="354">
        <f t="shared" si="4"/>
        <v>13.1</v>
      </c>
      <c r="F10" s="354">
        <f t="shared" si="5"/>
        <v>13.2</v>
      </c>
      <c r="G10" s="354">
        <f t="shared" si="6"/>
        <v>0</v>
      </c>
      <c r="H10" s="354">
        <f t="shared" si="7"/>
        <v>0.99</v>
      </c>
      <c r="I10" s="358">
        <f t="shared" si="8"/>
        <v>0</v>
      </c>
      <c r="J10" s="358">
        <f t="shared" si="9"/>
        <v>12.93732</v>
      </c>
      <c r="K10" s="355"/>
      <c r="O10" t="str">
        <f>A14</f>
        <v>C. Rojas</v>
      </c>
      <c r="P10" s="356">
        <f>E14</f>
        <v>11.8</v>
      </c>
      <c r="Q10" s="356">
        <f t="shared" ref="Q10:S10" si="21">F14</f>
        <v>11.9</v>
      </c>
      <c r="R10" s="356">
        <f t="shared" si="21"/>
        <v>4</v>
      </c>
      <c r="S10" s="356">
        <f t="shared" si="21"/>
        <v>4.99</v>
      </c>
      <c r="V10" s="179" t="str">
        <f t="shared" si="11"/>
        <v>C. Rojas</v>
      </c>
      <c r="W10" s="356">
        <f t="shared" si="12"/>
        <v>11.8</v>
      </c>
      <c r="X10" s="356">
        <f t="shared" si="13"/>
        <v>11.9</v>
      </c>
      <c r="Y10" s="356">
        <f t="shared" si="14"/>
        <v>4</v>
      </c>
      <c r="Z10" s="356">
        <f t="shared" si="15"/>
        <v>4.99</v>
      </c>
    </row>
    <row r="11" spans="1:26" x14ac:dyDescent="0.25">
      <c r="A11" s="359" t="str">
        <f>PLANTILLA!D13</f>
        <v>K. Helms</v>
      </c>
      <c r="B11" s="165">
        <f>PLANTILLA!E13</f>
        <v>31</v>
      </c>
      <c r="C11" s="165">
        <f>PLANTILLA!H13</f>
        <v>2</v>
      </c>
      <c r="D11" s="361">
        <f>PLANTILLA!I13</f>
        <v>10.7</v>
      </c>
      <c r="E11" s="354">
        <f t="shared" si="4"/>
        <v>10.7</v>
      </c>
      <c r="F11" s="354">
        <f t="shared" si="5"/>
        <v>10.799999999999999</v>
      </c>
      <c r="G11" s="354">
        <f t="shared" si="6"/>
        <v>2</v>
      </c>
      <c r="H11" s="354">
        <f t="shared" si="7"/>
        <v>2.99</v>
      </c>
      <c r="I11" s="358">
        <f t="shared" si="8"/>
        <v>42.8</v>
      </c>
      <c r="J11" s="358">
        <f t="shared" si="9"/>
        <v>96.553080000000008</v>
      </c>
      <c r="K11" s="355"/>
      <c r="O11" t="str">
        <f>A11</f>
        <v>K. Helms</v>
      </c>
      <c r="P11" s="356">
        <f>E11</f>
        <v>10.7</v>
      </c>
      <c r="Q11" s="356">
        <f t="shared" ref="Q11:S11" si="22">F11</f>
        <v>10.799999999999999</v>
      </c>
      <c r="R11" s="356">
        <f t="shared" si="22"/>
        <v>2</v>
      </c>
      <c r="S11" s="356">
        <f t="shared" si="22"/>
        <v>2.99</v>
      </c>
      <c r="V11" s="179" t="str">
        <f t="shared" si="11"/>
        <v>K. Helms</v>
      </c>
      <c r="W11" s="356">
        <f t="shared" si="12"/>
        <v>10.7</v>
      </c>
      <c r="X11" s="356">
        <f t="shared" si="13"/>
        <v>10.799999999999999</v>
      </c>
      <c r="Y11" s="356">
        <f t="shared" si="14"/>
        <v>2</v>
      </c>
      <c r="Z11" s="356">
        <f t="shared" si="15"/>
        <v>2.99</v>
      </c>
    </row>
    <row r="12" spans="1:26" x14ac:dyDescent="0.25">
      <c r="A12" s="359" t="str">
        <f>PLANTILLA!D14</f>
        <v>S. Zobbe</v>
      </c>
      <c r="B12" s="165">
        <f>PLANTILLA!E14</f>
        <v>28</v>
      </c>
      <c r="C12" s="165">
        <f>PLANTILLA!H14</f>
        <v>2</v>
      </c>
      <c r="D12" s="361">
        <f>PLANTILLA!I14</f>
        <v>9.6999999999999993</v>
      </c>
      <c r="E12" s="354">
        <f t="shared" si="4"/>
        <v>9.6999999999999993</v>
      </c>
      <c r="F12" s="354">
        <f t="shared" si="5"/>
        <v>9.7999999999999989</v>
      </c>
      <c r="G12" s="354">
        <f t="shared" si="6"/>
        <v>2</v>
      </c>
      <c r="H12" s="354">
        <f t="shared" si="7"/>
        <v>2.99</v>
      </c>
      <c r="I12" s="358">
        <f t="shared" si="8"/>
        <v>38.799999999999997</v>
      </c>
      <c r="J12" s="358">
        <f t="shared" si="9"/>
        <v>87.612980000000007</v>
      </c>
      <c r="K12" s="355"/>
      <c r="O12" t="str">
        <f>A21</f>
        <v>L. Calosso</v>
      </c>
      <c r="P12" s="356">
        <f>E21</f>
        <v>11.4</v>
      </c>
      <c r="Q12" s="356">
        <f t="shared" ref="Q12:S12" si="23">F21</f>
        <v>11.5</v>
      </c>
      <c r="R12" s="356">
        <f t="shared" si="23"/>
        <v>3</v>
      </c>
      <c r="S12" s="356">
        <f t="shared" si="23"/>
        <v>3.99</v>
      </c>
      <c r="V12" s="179" t="str">
        <f t="shared" si="11"/>
        <v>L. Calosso</v>
      </c>
      <c r="W12" s="356">
        <f t="shared" si="12"/>
        <v>11.4</v>
      </c>
      <c r="X12" s="356">
        <f t="shared" si="13"/>
        <v>11.5</v>
      </c>
      <c r="Y12" s="356">
        <f t="shared" si="14"/>
        <v>3</v>
      </c>
      <c r="Z12" s="356">
        <f t="shared" si="15"/>
        <v>3.99</v>
      </c>
    </row>
    <row r="13" spans="1:26" x14ac:dyDescent="0.25">
      <c r="A13" s="359" t="str">
        <f>PLANTILLA!D15</f>
        <v>S. Buschelman</v>
      </c>
      <c r="B13" s="165">
        <f>PLANTILLA!E15</f>
        <v>30</v>
      </c>
      <c r="C13" s="165">
        <f>PLANTILLA!H15</f>
        <v>3</v>
      </c>
      <c r="D13" s="361">
        <f>PLANTILLA!I15</f>
        <v>11.4</v>
      </c>
      <c r="E13" s="354">
        <f t="shared" si="4"/>
        <v>11.4</v>
      </c>
      <c r="F13" s="354">
        <f t="shared" si="5"/>
        <v>11.5</v>
      </c>
      <c r="G13" s="354">
        <f t="shared" si="6"/>
        <v>3</v>
      </c>
      <c r="H13" s="354">
        <f t="shared" si="7"/>
        <v>3.99</v>
      </c>
      <c r="I13" s="358">
        <f t="shared" si="8"/>
        <v>102.60000000000001</v>
      </c>
      <c r="J13" s="358">
        <f t="shared" si="9"/>
        <v>183.08115000000001</v>
      </c>
      <c r="K13" s="355"/>
      <c r="O13" t="str">
        <f>A20</f>
        <v>J. Limon</v>
      </c>
      <c r="P13" s="356">
        <f>E20</f>
        <v>11</v>
      </c>
      <c r="Q13" s="356">
        <f t="shared" ref="Q13:S13" si="24">F20</f>
        <v>11.1</v>
      </c>
      <c r="R13" s="356">
        <f t="shared" si="24"/>
        <v>3</v>
      </c>
      <c r="S13" s="356">
        <f t="shared" si="24"/>
        <v>3.99</v>
      </c>
      <c r="V13" s="179" t="str">
        <f t="shared" si="11"/>
        <v>J. Limon</v>
      </c>
      <c r="W13" s="356">
        <f t="shared" si="12"/>
        <v>11</v>
      </c>
      <c r="X13" s="356">
        <f t="shared" si="13"/>
        <v>11.1</v>
      </c>
      <c r="Y13" s="356">
        <f t="shared" si="14"/>
        <v>3</v>
      </c>
      <c r="Z13" s="356">
        <f t="shared" si="15"/>
        <v>3.99</v>
      </c>
    </row>
    <row r="14" spans="1:26" x14ac:dyDescent="0.25">
      <c r="A14" s="359" t="str">
        <f>PLANTILLA!D16</f>
        <v>C. Rojas</v>
      </c>
      <c r="B14" s="165">
        <f>PLANTILLA!E16</f>
        <v>32</v>
      </c>
      <c r="C14" s="165">
        <f>PLANTILLA!H16</f>
        <v>4</v>
      </c>
      <c r="D14" s="361">
        <f>PLANTILLA!I16</f>
        <v>11.8</v>
      </c>
      <c r="E14" s="354">
        <f t="shared" si="4"/>
        <v>11.8</v>
      </c>
      <c r="F14" s="354">
        <f t="shared" si="5"/>
        <v>11.9</v>
      </c>
      <c r="G14" s="354">
        <f t="shared" si="6"/>
        <v>4</v>
      </c>
      <c r="H14" s="354">
        <f t="shared" si="7"/>
        <v>4.99</v>
      </c>
      <c r="I14" s="358">
        <f t="shared" si="8"/>
        <v>188.8</v>
      </c>
      <c r="J14" s="358">
        <f t="shared" si="9"/>
        <v>296.31119000000001</v>
      </c>
      <c r="K14" s="355"/>
      <c r="P14" s="159">
        <f>SUM(P4:P13)/10</f>
        <v>11.680000000000001</v>
      </c>
      <c r="Q14" s="159">
        <f>SUM(Q4:Q13)/10</f>
        <v>11.78</v>
      </c>
      <c r="R14" s="159"/>
      <c r="S14" s="159"/>
      <c r="W14" s="159">
        <f>SUM(W4:W13)/10</f>
        <v>11.680000000000001</v>
      </c>
      <c r="X14" s="159">
        <f>SUM(X4:X13)/10</f>
        <v>11.78</v>
      </c>
      <c r="Y14" s="159"/>
      <c r="Z14" s="159"/>
    </row>
    <row r="15" spans="1:26" x14ac:dyDescent="0.25">
      <c r="A15" s="359" t="str">
        <f>PLANTILLA!D17</f>
        <v>E. Gross</v>
      </c>
      <c r="B15" s="165">
        <f>PLANTILLA!E17</f>
        <v>31</v>
      </c>
      <c r="C15" s="165">
        <f>PLANTILLA!H17</f>
        <v>3</v>
      </c>
      <c r="D15" s="361">
        <f>PLANTILLA!I17</f>
        <v>10</v>
      </c>
      <c r="E15" s="354">
        <f t="shared" si="4"/>
        <v>10</v>
      </c>
      <c r="F15" s="354">
        <f t="shared" si="5"/>
        <v>10.1</v>
      </c>
      <c r="G15" s="354">
        <f t="shared" si="6"/>
        <v>3</v>
      </c>
      <c r="H15" s="354">
        <f t="shared" si="7"/>
        <v>3.99</v>
      </c>
      <c r="I15" s="358">
        <f t="shared" si="8"/>
        <v>90</v>
      </c>
      <c r="J15" s="358">
        <f t="shared" si="9"/>
        <v>160.79301000000001</v>
      </c>
      <c r="K15" s="355"/>
    </row>
    <row r="16" spans="1:26" x14ac:dyDescent="0.25">
      <c r="A16" s="359" t="str">
        <f>PLANTILLA!D18</f>
        <v>L. Bauman</v>
      </c>
      <c r="B16" s="165">
        <f>PLANTILLA!E18</f>
        <v>31</v>
      </c>
      <c r="C16" s="165">
        <f>PLANTILLA!H18</f>
        <v>0</v>
      </c>
      <c r="D16" s="361">
        <f>PLANTILLA!I18</f>
        <v>8.9</v>
      </c>
      <c r="E16" s="354">
        <f t="shared" si="4"/>
        <v>8.9</v>
      </c>
      <c r="F16" s="354">
        <f t="shared" si="5"/>
        <v>9</v>
      </c>
      <c r="G16" s="354">
        <f t="shared" si="6"/>
        <v>0</v>
      </c>
      <c r="H16" s="354">
        <f t="shared" si="7"/>
        <v>0.99</v>
      </c>
      <c r="I16" s="358">
        <f t="shared" si="8"/>
        <v>0</v>
      </c>
      <c r="J16" s="358">
        <f t="shared" si="9"/>
        <v>8.8209</v>
      </c>
      <c r="K16" s="355"/>
      <c r="L16" s="184" t="s">
        <v>520</v>
      </c>
      <c r="O16" t="s">
        <v>521</v>
      </c>
      <c r="P16" s="265">
        <f>SUM(P3:P13)</f>
        <v>136</v>
      </c>
      <c r="Q16" s="265">
        <f>SUM(Q3:Q13)</f>
        <v>137.1</v>
      </c>
      <c r="R16" s="265"/>
      <c r="V16" s="179" t="s">
        <v>521</v>
      </c>
      <c r="W16" s="265">
        <f>SUM(W3:W13)</f>
        <v>136</v>
      </c>
      <c r="X16" s="265">
        <f>SUM(X3:X13)</f>
        <v>137.1</v>
      </c>
      <c r="Y16" s="265"/>
    </row>
    <row r="17" spans="1:25" x14ac:dyDescent="0.25">
      <c r="A17" s="359" t="str">
        <f>PLANTILLA!D19</f>
        <v>W. Gelifini</v>
      </c>
      <c r="B17" s="165">
        <f>PLANTILLA!E19</f>
        <v>29</v>
      </c>
      <c r="C17" s="165">
        <f>PLANTILLA!H19</f>
        <v>2</v>
      </c>
      <c r="D17" s="361">
        <f>PLANTILLA!I19</f>
        <v>4.2</v>
      </c>
      <c r="E17" s="354">
        <f t="shared" si="4"/>
        <v>4.2</v>
      </c>
      <c r="F17" s="354">
        <f t="shared" si="5"/>
        <v>4.3</v>
      </c>
      <c r="G17" s="354">
        <f t="shared" si="6"/>
        <v>2</v>
      </c>
      <c r="H17" s="354">
        <f t="shared" si="7"/>
        <v>2.99</v>
      </c>
      <c r="I17" s="358">
        <f t="shared" si="8"/>
        <v>16.8</v>
      </c>
      <c r="J17" s="358">
        <f t="shared" si="9"/>
        <v>38.442430000000002</v>
      </c>
      <c r="K17" s="355"/>
      <c r="O17" s="318" t="s">
        <v>873</v>
      </c>
      <c r="P17" s="159">
        <f>P16/16.5</f>
        <v>8.2424242424242422</v>
      </c>
      <c r="Q17" s="159">
        <f>Q16/16.5</f>
        <v>8.3090909090909086</v>
      </c>
      <c r="R17" s="159"/>
      <c r="V17" s="179" t="s">
        <v>522</v>
      </c>
      <c r="W17" s="159">
        <f>W16/17</f>
        <v>8</v>
      </c>
      <c r="X17" s="159">
        <f>X16/17</f>
        <v>8.0647058823529409</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9.5</v>
      </c>
      <c r="E19" s="354">
        <f t="shared" ref="E19" si="31">D19</f>
        <v>9.5</v>
      </c>
      <c r="F19" s="354">
        <f t="shared" ref="F19" si="32">E19+0.1</f>
        <v>9.6</v>
      </c>
      <c r="G19" s="354">
        <f t="shared" ref="G19" si="33">C19</f>
        <v>1</v>
      </c>
      <c r="H19" s="354">
        <f t="shared" ref="H19" si="34">G19+0.99</f>
        <v>1.99</v>
      </c>
      <c r="I19" s="358">
        <f t="shared" ref="I19" si="35">G19*G19*E19</f>
        <v>9.5</v>
      </c>
      <c r="J19" s="358">
        <f t="shared" ref="J19" si="36">H19*H19*F19</f>
        <v>38.016959999999997</v>
      </c>
      <c r="K19" s="355"/>
      <c r="L19" s="184" t="s">
        <v>525</v>
      </c>
      <c r="O19" s="246" t="s">
        <v>526</v>
      </c>
      <c r="P19" s="265">
        <f>P18*P3</f>
        <v>691.19999999999993</v>
      </c>
      <c r="Q19" s="265">
        <f>Q18*Q3</f>
        <v>942.99993000000006</v>
      </c>
      <c r="R19" s="265"/>
      <c r="V19" s="179" t="s">
        <v>526</v>
      </c>
      <c r="W19" s="265">
        <f>W18*W3</f>
        <v>691.19999999999993</v>
      </c>
      <c r="X19" s="265">
        <f>X18*X3</f>
        <v>942.99993000000006</v>
      </c>
      <c r="Y19" s="265"/>
    </row>
    <row r="20" spans="1:25" x14ac:dyDescent="0.25">
      <c r="A20" s="359" t="str">
        <f>PLANTILLA!D21</f>
        <v>J. Limon</v>
      </c>
      <c r="B20" s="165">
        <f>PLANTILLA!E21</f>
        <v>30</v>
      </c>
      <c r="C20" s="165">
        <f>PLANTILLA!H21</f>
        <v>3</v>
      </c>
      <c r="D20" s="361">
        <f>PLANTILLA!I21</f>
        <v>11</v>
      </c>
      <c r="E20" s="354">
        <f t="shared" si="4"/>
        <v>11</v>
      </c>
      <c r="F20" s="354">
        <f t="shared" si="5"/>
        <v>11.1</v>
      </c>
      <c r="G20" s="354">
        <f t="shared" si="6"/>
        <v>3</v>
      </c>
      <c r="H20" s="354">
        <f t="shared" si="7"/>
        <v>3.99</v>
      </c>
      <c r="I20" s="358">
        <f t="shared" si="8"/>
        <v>99</v>
      </c>
      <c r="J20" s="358">
        <f t="shared" si="9"/>
        <v>176.71311</v>
      </c>
      <c r="K20" s="355"/>
      <c r="L20" s="184" t="s">
        <v>527</v>
      </c>
      <c r="O20" s="318" t="s">
        <v>874</v>
      </c>
      <c r="P20" s="159">
        <f>(P19^(2/3))/27</f>
        <v>2.8953787910345663</v>
      </c>
      <c r="Q20" s="159">
        <f>(Q19^(2/3))/27</f>
        <v>3.561590707197356</v>
      </c>
      <c r="R20" s="159"/>
      <c r="V20" s="179" t="s">
        <v>528</v>
      </c>
      <c r="W20" s="159">
        <f>(W19^(2/3))/30</f>
        <v>2.6058409119311099</v>
      </c>
      <c r="X20" s="159">
        <f>(X19^(2/3))/30</f>
        <v>3.2054316364776203</v>
      </c>
      <c r="Y20" s="159"/>
    </row>
    <row r="21" spans="1:25" x14ac:dyDescent="0.25">
      <c r="A21" s="359" t="str">
        <f>PLANTILLA!D22</f>
        <v>L. Calosso</v>
      </c>
      <c r="B21" s="165">
        <f>PLANTILLA!E22</f>
        <v>31</v>
      </c>
      <c r="C21" s="165">
        <f>PLANTILLA!H22</f>
        <v>3</v>
      </c>
      <c r="D21" s="361">
        <f>PLANTILLA!I22</f>
        <v>11.4</v>
      </c>
      <c r="E21" s="354">
        <f t="shared" si="4"/>
        <v>11.4</v>
      </c>
      <c r="F21" s="354">
        <f t="shared" si="5"/>
        <v>11.5</v>
      </c>
      <c r="G21" s="354">
        <f t="shared" si="6"/>
        <v>3</v>
      </c>
      <c r="H21" s="354">
        <f t="shared" si="7"/>
        <v>3.99</v>
      </c>
      <c r="I21" s="358">
        <f t="shared" si="8"/>
        <v>102.60000000000001</v>
      </c>
      <c r="J21" s="358">
        <f t="shared" si="9"/>
        <v>183.08115000000001</v>
      </c>
      <c r="K21" s="355"/>
      <c r="L21" s="184" t="s">
        <v>529</v>
      </c>
      <c r="O21" s="179" t="s">
        <v>530</v>
      </c>
      <c r="P21" s="671">
        <f>P17+P20</f>
        <v>11.137803033458809</v>
      </c>
      <c r="Q21" s="671">
        <f>Q17+Q20</f>
        <v>11.870681616288264</v>
      </c>
      <c r="V21" s="179" t="s">
        <v>530</v>
      </c>
      <c r="W21" s="671">
        <f>W17+W20</f>
        <v>10.605840911931111</v>
      </c>
      <c r="X21" s="671">
        <f>X17+X20</f>
        <v>11.270137518830561</v>
      </c>
    </row>
    <row r="22" spans="1:25" x14ac:dyDescent="0.25">
      <c r="A22" s="359" t="str">
        <f>PLANTILLA!D23</f>
        <v>P .Trivadi</v>
      </c>
      <c r="B22" s="165">
        <f>PLANTILLA!E23</f>
        <v>28</v>
      </c>
      <c r="C22" s="165">
        <f>PLANTILLA!H23</f>
        <v>5</v>
      </c>
      <c r="D22" s="361">
        <f>PLANTILLA!I23</f>
        <v>5.6</v>
      </c>
      <c r="E22" s="354">
        <f t="shared" si="4"/>
        <v>5.6</v>
      </c>
      <c r="F22" s="354">
        <f t="shared" si="5"/>
        <v>5.6999999999999993</v>
      </c>
      <c r="G22" s="354">
        <f t="shared" si="6"/>
        <v>5</v>
      </c>
      <c r="H22" s="354">
        <f t="shared" si="7"/>
        <v>5.99</v>
      </c>
      <c r="I22" s="358">
        <f t="shared" si="8"/>
        <v>140</v>
      </c>
      <c r="J22" s="358">
        <f t="shared" si="9"/>
        <v>204.51657</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62400</v>
      </c>
      <c r="S2" s="228">
        <v>2068800</v>
      </c>
      <c r="T2" s="228">
        <f ca="1">S2+Q2+P2+R2</f>
        <v>2909842.8571428573</v>
      </c>
      <c r="U2" s="233">
        <f ca="1">T2/((O2-N2)/112)</f>
        <v>567774.21602787462</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37800</v>
      </c>
      <c r="S4" s="228">
        <v>2059800</v>
      </c>
      <c r="T4" s="228">
        <f>S4+Q4+P4</f>
        <v>3126540</v>
      </c>
      <c r="U4" s="233">
        <f>T4/((O4-N4)/112)</f>
        <v>580717.21393034828</v>
      </c>
      <c r="V4" s="163">
        <f ca="1">(A7-N4)/112</f>
        <v>7.875</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43187</v>
      </c>
    </row>
    <row r="8" spans="1:22" x14ac:dyDescent="0.25">
      <c r="A8" s="177">
        <v>41757</v>
      </c>
    </row>
    <row r="9" spans="1:22" x14ac:dyDescent="0.25">
      <c r="A9" s="179">
        <f ca="1">A7-A8</f>
        <v>1430</v>
      </c>
    </row>
    <row r="10" spans="1:22" x14ac:dyDescent="0.25">
      <c r="A10" s="416">
        <f ca="1">A9/112</f>
        <v>12.767857142857142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43187</v>
      </c>
      <c r="P13" s="622">
        <v>1800000</v>
      </c>
      <c r="Q13" s="228">
        <v>372</v>
      </c>
      <c r="R13" s="228">
        <f t="shared" ref="R13" ca="1" si="4">((TODAY()-N13)/7)*L13</f>
        <v>34436.571428571428</v>
      </c>
      <c r="S13" s="622">
        <v>2553000</v>
      </c>
      <c r="T13" s="228">
        <f t="shared" ref="T13" si="5">S13+Q13+P13</f>
        <v>4353372</v>
      </c>
      <c r="U13" s="233">
        <f t="shared" ref="U13" ca="1" si="6">T13/((O13-N13)/112)</f>
        <v>1747590.1935483871</v>
      </c>
      <c r="V13" s="163">
        <v>7</v>
      </c>
    </row>
    <row r="16" spans="1:22" x14ac:dyDescent="0.25">
      <c r="N16" s="681"/>
    </row>
    <row r="17" spans="1:22" ht="18" x14ac:dyDescent="0.25">
      <c r="A17" s="607">
        <v>42908</v>
      </c>
      <c r="B17" s="290"/>
      <c r="C17">
        <v>112</v>
      </c>
      <c r="D17">
        <v>0</v>
      </c>
    </row>
    <row r="18" spans="1:22" x14ac:dyDescent="0.25">
      <c r="A18" s="290">
        <f ca="1">TODAY()</f>
        <v>43187</v>
      </c>
      <c r="B18" s="290"/>
      <c r="C18">
        <v>400</v>
      </c>
      <c r="D18">
        <v>1</v>
      </c>
    </row>
    <row r="19" spans="1:22" x14ac:dyDescent="0.25">
      <c r="A19">
        <f ca="1">A18-A17</f>
        <v>279</v>
      </c>
      <c r="C19">
        <f>C18-C17</f>
        <v>288</v>
      </c>
      <c r="D19" s="608">
        <f ca="1">(A19-C17)/C19</f>
        <v>0.57986111111111116</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zoomScaleNormal="100" workbookViewId="0">
      <pane xSplit="30" ySplit="4" topLeftCell="AE5" activePane="bottomRight" state="frozen"/>
      <selection pane="topRight" activeCell="T1" sqref="T1"/>
      <selection pane="bottomLeft" activeCell="A4" sqref="A4"/>
      <selection pane="bottomRight" activeCell="F7" sqref="F7"/>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3.219642857142857</v>
      </c>
      <c r="D1" s="345">
        <f ca="1">TODAY()</f>
        <v>43187</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10.310526315789474</v>
      </c>
      <c r="J2" s="297"/>
      <c r="K2" s="297"/>
      <c r="M2" s="347">
        <f>AVERAGE(M5:M23)</f>
        <v>7.2842105263157881</v>
      </c>
      <c r="N2" s="297"/>
      <c r="O2" s="297"/>
      <c r="P2" s="297"/>
      <c r="Q2" s="347">
        <f>AVERAGE(Q5:Q23)</f>
        <v>5.1578947368421053</v>
      </c>
      <c r="R2" s="501">
        <f>AVERAGE(R5:R23)</f>
        <v>0.84695606774423793</v>
      </c>
      <c r="S2" s="501">
        <f>AVERAGE(S5:S23)</f>
        <v>0.91428865830511763</v>
      </c>
      <c r="T2" s="348">
        <f>AVERAGE(T5:T23)</f>
        <v>100578.42105263157</v>
      </c>
      <c r="U2" s="348"/>
      <c r="V2" s="348">
        <f>AVERAGE(V5:V23)</f>
        <v>14738.842105263158</v>
      </c>
      <c r="W2" s="293"/>
      <c r="X2" s="346">
        <f>(X5+X6)/2</f>
        <v>13.483333333333334</v>
      </c>
      <c r="Y2" s="346">
        <f>AVERAGE(Y5:Y11)</f>
        <v>11.718222777222779</v>
      </c>
      <c r="Z2" s="346">
        <f>AVERAGE(Z12:Z19)</f>
        <v>12.637470667989417</v>
      </c>
      <c r="AA2" s="346">
        <f>AVERAGE(AA12:AA14)</f>
        <v>13.01611111111111</v>
      </c>
      <c r="AB2" s="346">
        <f>AVERAGE(AB6:AB23)</f>
        <v>9.8286728395061722</v>
      </c>
      <c r="AC2" s="346">
        <f>AVERAGE(AC21:AC23)</f>
        <v>8.9823333333333348</v>
      </c>
      <c r="AD2" s="346">
        <f>AVERAGE(AD5:AD23)</f>
        <v>15.099356725146196</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3.0267857142857144</v>
      </c>
      <c r="D5" s="657" t="s">
        <v>782</v>
      </c>
      <c r="E5" s="387">
        <v>30</v>
      </c>
      <c r="F5" s="394">
        <f ca="1">-42406+$D$1-112-112-112-112-112-112</f>
        <v>109</v>
      </c>
      <c r="G5" s="388"/>
      <c r="H5" s="402">
        <v>6</v>
      </c>
      <c r="I5" s="308">
        <v>19.2</v>
      </c>
      <c r="J5" s="486">
        <f>LOG(I5+1)*4/3</f>
        <v>1.7404684925954983</v>
      </c>
      <c r="K5" s="303">
        <f t="shared" ref="K5" si="0">(H5)*(H5)*(I5)</f>
        <v>691.19999999999993</v>
      </c>
      <c r="L5" s="303">
        <f t="shared" ref="L5" si="1">(H5+1)*(H5+1)*I5</f>
        <v>940.8</v>
      </c>
      <c r="M5" s="389">
        <v>7.6</v>
      </c>
      <c r="N5" s="445">
        <f>M5*10+19</f>
        <v>95</v>
      </c>
      <c r="O5" s="677">
        <v>42468</v>
      </c>
      <c r="P5" s="678">
        <f ca="1">IF((TODAY()-O5)&gt;335,1,((TODAY()-O5)^0.64)/(336^0.64))</f>
        <v>1</v>
      </c>
      <c r="Q5" s="445">
        <v>6</v>
      </c>
      <c r="R5" s="500">
        <f>(Q5/7)^0.5</f>
        <v>0.92582009977255142</v>
      </c>
      <c r="S5" s="500">
        <f>IF(Q5=7,1,((Q5+0.99)/7)^0.5)</f>
        <v>0.99928545900129484</v>
      </c>
      <c r="T5" s="324">
        <v>93390</v>
      </c>
      <c r="U5" s="626">
        <f t="shared" ref="U5:U23" si="2">T5-AR5</f>
        <v>-1760</v>
      </c>
      <c r="V5" s="324">
        <v>39696</v>
      </c>
      <c r="W5" s="316">
        <f t="shared" ref="W5:W24" si="3">T5/V5</f>
        <v>2.3526299879081014</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4.4536284197674778</v>
      </c>
      <c r="AG5" s="603">
        <f ca="1">(Z5+P5+J5)*(IF(Q5=7, (Q5/7)^0.5, ((Q5+1)/7)^0.5))</f>
        <v>4.810468492595497</v>
      </c>
      <c r="AH5" s="316">
        <f ca="1">(((Y5+P5+J5)+(AB5+P5+J5)*2)/8)*(Q5/7)^0.5</f>
        <v>2.5902091242260981</v>
      </c>
      <c r="AI5" s="316">
        <f ca="1">(1.66*(AC5+J5+P5)+0.55*(AD5+J5+P5)-7.6)*(Q5/7)^0.5</f>
        <v>8.0544104407654196</v>
      </c>
      <c r="AJ5" s="316">
        <f ca="1">((AD5+J5+P5)*0.7+(AC5+J5+P5)*0.3)*(Q5/7)^0.5</f>
        <v>14.371167631881011</v>
      </c>
      <c r="AK5" s="316">
        <f ca="1">(0.5*(AC5+P5+J5)+ 0.3*(AD5+P5+J5))/10</f>
        <v>0.7722652571854175</v>
      </c>
      <c r="AL5" s="316">
        <f ca="1">(0.4*(Y5+P5+J5)+0.3*(AD5+P5+J5))/10</f>
        <v>1.2210551721040628</v>
      </c>
      <c r="AM5" s="311">
        <f ca="1">(AD5+P5+(LOG(I5)*4/3))*(Q5/7)^0.5</f>
        <v>19.359887344428397</v>
      </c>
      <c r="AN5" s="311">
        <f ca="1">(AD5+P5+(LOG(I5)*4/3))*(IF(Q5=7, (Q5/7)^0.5, ((Q5+1)/7)^0.5))</f>
        <v>20.911068304938066</v>
      </c>
      <c r="AO5" s="445">
        <v>2</v>
      </c>
      <c r="AP5" s="445">
        <v>2</v>
      </c>
      <c r="AQ5" s="590">
        <f>IF(AO5=4,IF(AP5=0,0.137+0.0697,0.137+0.02),IF(AO5=3,IF(AP5=0,0.0958+0.0697,0.0958+0.02),IF(AO5=2,IF(AP5=0,0.0415+0.0697,0.0415+0.02),IF(AO5=1,IF(AP5=0,0.0294+0.0697,0.0294+0.02),IF(AO5=0,IF(AP5=0,0.0063+0.0697,0.0063+0.02))))))</f>
        <v>6.1499999999999999E-2</v>
      </c>
      <c r="AR5" s="324">
        <v>95150</v>
      </c>
      <c r="AS5">
        <v>97220</v>
      </c>
      <c r="AT5" s="390">
        <f>AS5-T5</f>
        <v>3830</v>
      </c>
    </row>
    <row r="6" spans="1:46" s="263" customFormat="1" x14ac:dyDescent="0.25">
      <c r="A6" s="384" t="s">
        <v>484</v>
      </c>
      <c r="B6" s="384" t="s">
        <v>1</v>
      </c>
      <c r="C6" s="385">
        <f t="shared" ref="C6:C23" ca="1" si="4">((34*112)-(E6*112)-(F6))/112</f>
        <v>-1.0535714285714286</v>
      </c>
      <c r="D6" s="657" t="s">
        <v>267</v>
      </c>
      <c r="E6" s="387">
        <v>35</v>
      </c>
      <c r="F6" s="394">
        <f ca="1">82-41471+$D$1-112-112-112-112-112-112-112-112-112-112-112-112-112-112-112-112</f>
        <v>6</v>
      </c>
      <c r="G6" s="388" t="s">
        <v>502</v>
      </c>
      <c r="H6" s="371">
        <v>3</v>
      </c>
      <c r="I6" s="308">
        <v>8.1</v>
      </c>
      <c r="J6" s="486">
        <f t="shared" ref="J6:J23" si="5">LOG(I6+1)*4/3</f>
        <v>1.2787218564281246</v>
      </c>
      <c r="K6" s="303">
        <f t="shared" ref="K6:K23" si="6">(H6)*(H6)*(I6)</f>
        <v>72.899999999999991</v>
      </c>
      <c r="L6" s="303">
        <f t="shared" ref="L6:L23" si="7">(H6+1)*(H6+1)*I6</f>
        <v>129.6</v>
      </c>
      <c r="M6" s="389">
        <v>5.7</v>
      </c>
      <c r="N6" s="445">
        <f t="shared" ref="N6:N23" si="8">M6*10+19</f>
        <v>76</v>
      </c>
      <c r="O6" s="445" t="s">
        <v>557</v>
      </c>
      <c r="P6" s="678">
        <v>1.5</v>
      </c>
      <c r="Q6" s="445">
        <v>6</v>
      </c>
      <c r="R6" s="500">
        <f t="shared" ref="R6:R23" si="9">(Q6/7)^0.5</f>
        <v>0.92582009977255142</v>
      </c>
      <c r="S6" s="500">
        <f t="shared" ref="S6:S23" si="10">IF(Q6=7,1,((Q6+0.99)/7)^0.5)</f>
        <v>0.99928545900129484</v>
      </c>
      <c r="T6" s="324">
        <v>1450</v>
      </c>
      <c r="U6" s="626">
        <f t="shared" si="2"/>
        <v>-240</v>
      </c>
      <c r="V6" s="324">
        <v>1950</v>
      </c>
      <c r="W6" s="316">
        <f t="shared" si="3"/>
        <v>0.74358974358974361</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6.2666187444509358</v>
      </c>
      <c r="AG6" s="603">
        <f t="shared" ref="AG6:AG23" si="12">(Z6+P6+J6)*(IF(Q6=7, (Q6/7)^0.5, ((Q6+1)/7)^0.5))</f>
        <v>6.7687218564281251</v>
      </c>
      <c r="AH6" s="316">
        <f t="shared" ref="AH6:AH23" si="13">(((Y6+P6+J6)+(AB6+P6+J6)*2)/8)*(Q6/7)^0.5</f>
        <v>3.6027323516738341</v>
      </c>
      <c r="AI6" s="316">
        <f t="shared" ref="AI6:AI23" si="14">(1.66*(AC6+J6+P6)+0.55*(AD6+J6+P6)-7.6)*(Q6/7)^0.5</f>
        <v>12.815909324990427</v>
      </c>
      <c r="AJ6" s="316">
        <f t="shared" ref="AJ6:AJ23" si="15">((AD6+J6+P6)*0.7+(AC6+J6+P6)*0.3)*(Q6/7)^0.5</f>
        <v>13.90669194557398</v>
      </c>
      <c r="AK6" s="316">
        <f t="shared" ref="AK6:AK23" si="16">(0.5*(AC6+P6+J6)+ 0.3*(AD6+P6+J6))/10</f>
        <v>0.89516441518091661</v>
      </c>
      <c r="AL6" s="316">
        <f t="shared" ref="AL6:AL23" si="17">(0.4*(Y6+P6+J6)+0.3*(AD6+P6+J6))/10</f>
        <v>1.1004771966166351</v>
      </c>
      <c r="AM6" s="311">
        <f t="shared" ref="AM6:AM23" si="18">(AD6+P6+(LOG(I6)*4/3))*(Q6/7)^0.5</f>
        <v>17.11860088949674</v>
      </c>
      <c r="AN6" s="311">
        <f t="shared" ref="AN6:AN23" si="19">(AD6+P6+(LOG(I6)*4/3))*(IF(Q6=7, (Q6/7)^0.5, ((Q6+1)/7)^0.5))</f>
        <v>18.490202247393754</v>
      </c>
      <c r="AO6" s="445">
        <v>4</v>
      </c>
      <c r="AP6" s="445">
        <v>3</v>
      </c>
      <c r="AQ6" s="590">
        <f t="shared" ref="AQ6:AQ23" si="20">IF(AO6=4,IF(AP6=0,0.137+0.0697,0.137+0.02),IF(AO6=3,IF(AP6=0,0.0958+0.0697,0.0958+0.02),IF(AO6=2,IF(AP6=0,0.0415+0.0697,0.0415+0.02),IF(AO6=1,IF(AP6=0,0.0294+0.0697,0.0294+0.02),IF(AO6=0,IF(AP6=0,0.0063+0.0697,0.0063+0.02))))))</f>
        <v>0.157</v>
      </c>
      <c r="AR6" s="324">
        <v>1690</v>
      </c>
      <c r="AS6" s="263">
        <v>1600</v>
      </c>
      <c r="AT6" s="390">
        <f t="shared" ref="AT6:AT22" si="21">AS6-T6</f>
        <v>150</v>
      </c>
    </row>
    <row r="7" spans="1:46" s="248" customFormat="1" x14ac:dyDescent="0.25">
      <c r="A7" s="384" t="s">
        <v>582</v>
      </c>
      <c r="B7" s="384" t="s">
        <v>2</v>
      </c>
      <c r="C7" s="385">
        <f t="shared" ca="1" si="4"/>
        <v>2.9196428571428572</v>
      </c>
      <c r="D7" s="657" t="s">
        <v>856</v>
      </c>
      <c r="E7" s="387">
        <v>31</v>
      </c>
      <c r="F7" s="394">
        <f ca="1">82-41471+$D$1-112-112-112-112-112-112-112-112-112-112-112+3-112-112-112-112-112</f>
        <v>9</v>
      </c>
      <c r="G7" s="388" t="s">
        <v>502</v>
      </c>
      <c r="H7" s="393">
        <v>2</v>
      </c>
      <c r="I7" s="308">
        <v>15.1</v>
      </c>
      <c r="J7" s="486">
        <f t="shared" si="5"/>
        <v>1.6091011680424663</v>
      </c>
      <c r="K7" s="303">
        <f>(H7)*(H7)*(I7)</f>
        <v>60.4</v>
      </c>
      <c r="L7" s="303">
        <f>(H7+1)*(H7+1)*I7</f>
        <v>135.9</v>
      </c>
      <c r="M7" s="389">
        <v>7.5</v>
      </c>
      <c r="N7" s="445">
        <f>M7*10+19</f>
        <v>94</v>
      </c>
      <c r="O7" s="677">
        <v>42716</v>
      </c>
      <c r="P7" s="678">
        <f ca="1">IF((TODAY()-O7)&gt;335,1,((TODAY()-O7)^0.64)/(336^0.64))</f>
        <v>1</v>
      </c>
      <c r="Q7" s="445">
        <v>6</v>
      </c>
      <c r="R7" s="500">
        <f>(Q7/7)^0.5</f>
        <v>0.92582009977255142</v>
      </c>
      <c r="S7" s="500">
        <f>IF(Q7=7,1,((Q7+0.99)/7)^0.5)</f>
        <v>0.99928545900129484</v>
      </c>
      <c r="T7" s="324">
        <v>196550</v>
      </c>
      <c r="U7" s="626">
        <f t="shared" si="2"/>
        <v>-55430</v>
      </c>
      <c r="V7" s="324">
        <v>26496</v>
      </c>
      <c r="W7" s="316">
        <f>T7/V7</f>
        <v>7.4181008454106276</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11</v>
      </c>
      <c r="AE7" s="324">
        <v>1927</v>
      </c>
      <c r="AF7" s="603">
        <f t="shared" ca="1" si="11"/>
        <v>11.099133626180443</v>
      </c>
      <c r="AG7" s="603">
        <f t="shared" ca="1" si="12"/>
        <v>11.988434501375801</v>
      </c>
      <c r="AH7" s="316">
        <f t="shared" ca="1" si="13"/>
        <v>4.7410441272004533</v>
      </c>
      <c r="AI7" s="316">
        <f t="shared" ca="1" si="14"/>
        <v>5.6597756858427317</v>
      </c>
      <c r="AJ7" s="316">
        <f t="shared" ca="1" si="15"/>
        <v>9.8617971061701333</v>
      </c>
      <c r="AK7" s="316">
        <f t="shared" ca="1" si="16"/>
        <v>0.59587095058625439</v>
      </c>
      <c r="AL7" s="316">
        <f t="shared" ca="1" si="17"/>
        <v>1.0846370817629729</v>
      </c>
      <c r="AM7" s="311">
        <f t="shared" ca="1" si="18"/>
        <v>12.565201937233951</v>
      </c>
      <c r="AN7" s="311">
        <f t="shared" ca="1" si="19"/>
        <v>13.571969263057559</v>
      </c>
      <c r="AO7" s="445">
        <v>1</v>
      </c>
      <c r="AP7" s="445">
        <v>2</v>
      </c>
      <c r="AQ7" s="590">
        <f>IF(AO7=4,IF(AP7=0,0.137+0.0697,0.137+0.02),IF(AO7=3,IF(AP7=0,0.0958+0.0697,0.0958+0.02),IF(AO7=2,IF(AP7=0,0.0415+0.0697,0.0415+0.02),IF(AO7=1,IF(AP7=0,0.0294+0.0697,0.0294+0.02),IF(AO7=0,IF(AP7=0,0.0063+0.0697,0.0063+0.02))))))</f>
        <v>4.9399999999999999E-2</v>
      </c>
      <c r="AR7" s="324">
        <v>251980</v>
      </c>
      <c r="AS7" s="248">
        <v>254010</v>
      </c>
      <c r="AT7" s="390">
        <f t="shared" si="21"/>
        <v>57460</v>
      </c>
    </row>
    <row r="8" spans="1:46" s="254" customFormat="1" x14ac:dyDescent="0.25">
      <c r="A8" s="305" t="s">
        <v>412</v>
      </c>
      <c r="B8" s="260" t="s">
        <v>2</v>
      </c>
      <c r="C8" s="385">
        <f t="shared" ca="1" si="4"/>
        <v>1.5178571428571428</v>
      </c>
      <c r="D8" s="658" t="s">
        <v>275</v>
      </c>
      <c r="E8" s="210">
        <v>32</v>
      </c>
      <c r="F8" s="211">
        <f ca="1">18-41471+$D$1-112-112-112-112-112-112-112-112-112-112-112-112-112-112-112</f>
        <v>54</v>
      </c>
      <c r="G8" s="262" t="s">
        <v>502</v>
      </c>
      <c r="H8" s="393">
        <v>4</v>
      </c>
      <c r="I8" s="214">
        <v>7.9</v>
      </c>
      <c r="J8" s="486">
        <f t="shared" si="5"/>
        <v>1.265853342193217</v>
      </c>
      <c r="K8" s="303">
        <f t="shared" si="6"/>
        <v>126.4</v>
      </c>
      <c r="L8" s="303">
        <f t="shared" si="7"/>
        <v>197.5</v>
      </c>
      <c r="M8" s="296">
        <v>6.9</v>
      </c>
      <c r="N8" s="445">
        <f t="shared" si="8"/>
        <v>88</v>
      </c>
      <c r="O8" s="445" t="s">
        <v>557</v>
      </c>
      <c r="P8" s="678">
        <v>1.5</v>
      </c>
      <c r="Q8" s="446">
        <v>2</v>
      </c>
      <c r="R8" s="500">
        <f t="shared" si="9"/>
        <v>0.53452248382484879</v>
      </c>
      <c r="S8" s="500">
        <f t="shared" si="10"/>
        <v>0.65356167049702141</v>
      </c>
      <c r="T8" s="627">
        <v>8640</v>
      </c>
      <c r="U8" s="626">
        <f t="shared" si="2"/>
        <v>-4760</v>
      </c>
      <c r="V8" s="627">
        <v>3510</v>
      </c>
      <c r="W8" s="316">
        <f t="shared" si="3"/>
        <v>2.4615384615384617</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4.8028436908194765</v>
      </c>
      <c r="AG8" s="603">
        <f t="shared" si="12"/>
        <v>5.8822581784266044</v>
      </c>
      <c r="AH8" s="316">
        <f t="shared" si="13"/>
        <v>2.3265391052740636</v>
      </c>
      <c r="AI8" s="316">
        <f t="shared" si="14"/>
        <v>7.3308406300572484</v>
      </c>
      <c r="AJ8" s="316">
        <f t="shared" si="15"/>
        <v>7.9511811205478367</v>
      </c>
      <c r="AK8" s="316">
        <f t="shared" si="16"/>
        <v>0.88856826737545713</v>
      </c>
      <c r="AL8" s="316">
        <f t="shared" si="17"/>
        <v>1.1043364006201919</v>
      </c>
      <c r="AM8" s="311">
        <f t="shared" si="18"/>
        <v>9.7735372373382194</v>
      </c>
      <c r="AN8" s="311">
        <f t="shared" si="19"/>
        <v>11.970089606784702</v>
      </c>
      <c r="AO8" s="446">
        <v>2</v>
      </c>
      <c r="AP8" s="446">
        <v>3</v>
      </c>
      <c r="AQ8" s="590">
        <f t="shared" si="20"/>
        <v>6.1499999999999999E-2</v>
      </c>
      <c r="AR8" s="627">
        <v>13400</v>
      </c>
      <c r="AS8" s="254">
        <v>13970</v>
      </c>
      <c r="AT8" s="390">
        <f t="shared" si="21"/>
        <v>5330</v>
      </c>
    </row>
    <row r="9" spans="1:46" s="246" customFormat="1" x14ac:dyDescent="0.25">
      <c r="A9" s="384" t="s">
        <v>504</v>
      </c>
      <c r="B9" s="384" t="s">
        <v>2</v>
      </c>
      <c r="C9" s="385">
        <f t="shared" ca="1" si="4"/>
        <v>1.9285714285714286</v>
      </c>
      <c r="D9" s="657" t="s">
        <v>269</v>
      </c>
      <c r="E9" s="387">
        <v>32</v>
      </c>
      <c r="F9" s="394">
        <f ca="1">84-41471+$D$1-112-112-112-112-112-112-112-112-112-112-112-112-112-112-112-112</f>
        <v>8</v>
      </c>
      <c r="G9" s="388"/>
      <c r="H9" s="393">
        <v>4</v>
      </c>
      <c r="I9" s="308">
        <v>13.4</v>
      </c>
      <c r="J9" s="486">
        <f t="shared" si="5"/>
        <v>1.5444833227936663</v>
      </c>
      <c r="K9" s="303">
        <f t="shared" si="6"/>
        <v>214.4</v>
      </c>
      <c r="L9" s="303">
        <f t="shared" si="7"/>
        <v>335</v>
      </c>
      <c r="M9" s="389">
        <v>7.2</v>
      </c>
      <c r="N9" s="445">
        <f t="shared" si="8"/>
        <v>91</v>
      </c>
      <c r="O9" s="445" t="s">
        <v>557</v>
      </c>
      <c r="P9" s="678">
        <v>1.5</v>
      </c>
      <c r="Q9" s="445">
        <v>6</v>
      </c>
      <c r="R9" s="500">
        <f t="shared" si="9"/>
        <v>0.92582009977255142</v>
      </c>
      <c r="S9" s="500">
        <f t="shared" si="10"/>
        <v>0.99928545900129484</v>
      </c>
      <c r="T9" s="324">
        <v>91010</v>
      </c>
      <c r="U9" s="626">
        <f t="shared" si="2"/>
        <v>-32350</v>
      </c>
      <c r="V9" s="324">
        <v>13300</v>
      </c>
      <c r="W9" s="316">
        <f t="shared" si="3"/>
        <v>6.8428571428571425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10.7+0.5+0.5*77/90+0.5+0.45+0.45+0.4+0.35+0.35+0.3+0.35+0.3+0.3+0.3+0.25+0.25+0.2+0.2+0.2+0.2+0.2</f>
        <v>17.177777777777774</v>
      </c>
      <c r="AE9" s="324">
        <v>1889</v>
      </c>
      <c r="AF9" s="603">
        <f t="shared" si="11"/>
        <v>15.096458541248378</v>
      </c>
      <c r="AG9" s="603">
        <f t="shared" si="12"/>
        <v>16.30603887834922</v>
      </c>
      <c r="AH9" s="316">
        <f t="shared" si="13"/>
        <v>4.6908353367315279</v>
      </c>
      <c r="AI9" s="316">
        <f t="shared" si="14"/>
        <v>13.598123984278644</v>
      </c>
      <c r="AJ9" s="316">
        <f t="shared" si="15"/>
        <v>14.973684509128537</v>
      </c>
      <c r="AK9" s="316">
        <f t="shared" si="16"/>
        <v>0.94297533249015975</v>
      </c>
      <c r="AL9" s="316">
        <f t="shared" si="17"/>
        <v>1.21644716592889</v>
      </c>
      <c r="AM9" s="311">
        <f t="shared" si="18"/>
        <v>18.683590454920065</v>
      </c>
      <c r="AN9" s="311">
        <f t="shared" si="19"/>
        <v>20.180584175597517</v>
      </c>
      <c r="AO9" s="445">
        <v>2</v>
      </c>
      <c r="AP9" s="445">
        <v>3</v>
      </c>
      <c r="AQ9" s="590">
        <f t="shared" si="20"/>
        <v>6.1499999999999999E-2</v>
      </c>
      <c r="AR9" s="324">
        <v>123360</v>
      </c>
      <c r="AS9" s="246">
        <v>125810</v>
      </c>
      <c r="AT9" s="390">
        <f t="shared" si="21"/>
        <v>34800</v>
      </c>
    </row>
    <row r="10" spans="1:46" s="247" customFormat="1" x14ac:dyDescent="0.25">
      <c r="A10" s="384" t="s">
        <v>405</v>
      </c>
      <c r="B10" s="260" t="s">
        <v>2</v>
      </c>
      <c r="C10" s="385">
        <f t="shared" ca="1" si="4"/>
        <v>2.0625</v>
      </c>
      <c r="D10" s="658" t="s">
        <v>273</v>
      </c>
      <c r="E10" s="210">
        <v>31</v>
      </c>
      <c r="F10" s="211">
        <f ca="1">69-41471+$D$1-112-112-112-112-112-112-112-112-112-112-112-112-112-112-112</f>
        <v>105</v>
      </c>
      <c r="G10" s="262"/>
      <c r="H10" s="371">
        <v>3</v>
      </c>
      <c r="I10" s="214">
        <v>9.9</v>
      </c>
      <c r="J10" s="486">
        <f t="shared" si="5"/>
        <v>1.383235330587498</v>
      </c>
      <c r="K10" s="303">
        <f t="shared" si="6"/>
        <v>89.100000000000009</v>
      </c>
      <c r="L10" s="303">
        <f t="shared" si="7"/>
        <v>158.4</v>
      </c>
      <c r="M10" s="296">
        <v>6.9</v>
      </c>
      <c r="N10" s="445">
        <f t="shared" si="8"/>
        <v>88</v>
      </c>
      <c r="O10" s="445" t="s">
        <v>557</v>
      </c>
      <c r="P10" s="678">
        <v>1.5</v>
      </c>
      <c r="Q10" s="446">
        <v>7</v>
      </c>
      <c r="R10" s="500">
        <f t="shared" si="9"/>
        <v>1</v>
      </c>
      <c r="S10" s="500">
        <f t="shared" si="10"/>
        <v>1</v>
      </c>
      <c r="T10" s="324">
        <v>38440</v>
      </c>
      <c r="U10" s="626">
        <f t="shared" si="2"/>
        <v>5770</v>
      </c>
      <c r="V10" s="627">
        <v>5350</v>
      </c>
      <c r="W10" s="316">
        <f t="shared" si="3"/>
        <v>7.1850467289719626</v>
      </c>
      <c r="X10" s="485">
        <v>0</v>
      </c>
      <c r="Y10" s="486">
        <v>11.95</v>
      </c>
      <c r="Z10" s="485">
        <f>5.99+0.04+0.04+(0.04/90*75)+(0.25*15/90)+0.03+0.03+(0.03*20/90)+0.03+0.03+(0.22*0.5*30/90)+(0.22/16*60/90)+0.03+0.03+0.22*0.5+0.2*0.5+0.03+0.22*0.5+0.03+0.03+0.03+0.01+0.01+0.01+0.01+0.01+1/8*0.5+0.01+1/8*0.5+0.01+0.01</f>
        <v>7.0225000000000017</v>
      </c>
      <c r="AA10" s="486">
        <f>6.18+0.2+0.2+0.2+0.15*0.5+0.15*0.5+0.15*0.5+0.15*0.5+0.14*0.5+0.14*0.5+0.14+0.14*0.5+0.14*0.5</f>
        <v>7.5000000000000018</v>
      </c>
      <c r="AB10" s="485">
        <v>8.99</v>
      </c>
      <c r="AC10" s="486">
        <f>4.06+0.06+0.06+0.06+0.06+0.06*75/90+0.05+0.05+0.05+0.02+0.2*0.5</f>
        <v>4.6199999999999966</v>
      </c>
      <c r="AD10" s="485">
        <v>16</v>
      </c>
      <c r="AE10" s="324">
        <v>1288</v>
      </c>
      <c r="AF10" s="603">
        <f t="shared" si="11"/>
        <v>9.9057353305874987</v>
      </c>
      <c r="AG10" s="603">
        <f t="shared" si="12"/>
        <v>9.9057353305874987</v>
      </c>
      <c r="AH10" s="316">
        <f t="shared" si="13"/>
        <v>4.8224632489703119</v>
      </c>
      <c r="AI10" s="316">
        <f t="shared" si="14"/>
        <v>15.241150080598368</v>
      </c>
      <c r="AJ10" s="316">
        <f t="shared" si="15"/>
        <v>15.469235330587498</v>
      </c>
      <c r="AK10" s="316">
        <f t="shared" si="16"/>
        <v>0.94165882644699972</v>
      </c>
      <c r="AL10" s="316">
        <f t="shared" si="17"/>
        <v>1.1598264731411247</v>
      </c>
      <c r="AM10" s="311">
        <f t="shared" si="18"/>
        <v>18.827513592796734</v>
      </c>
      <c r="AN10" s="311">
        <f t="shared" si="19"/>
        <v>18.827513592796734</v>
      </c>
      <c r="AO10" s="446">
        <v>3</v>
      </c>
      <c r="AP10" s="446">
        <v>2</v>
      </c>
      <c r="AQ10" s="590">
        <f t="shared" si="20"/>
        <v>0.1158</v>
      </c>
      <c r="AR10" s="684">
        <v>32670</v>
      </c>
      <c r="AS10" s="247">
        <v>34800</v>
      </c>
      <c r="AT10" s="390">
        <f t="shared" si="21"/>
        <v>-3640</v>
      </c>
    </row>
    <row r="11" spans="1:46" s="264" customFormat="1" x14ac:dyDescent="0.25">
      <c r="A11" s="304" t="s">
        <v>495</v>
      </c>
      <c r="B11" s="260" t="s">
        <v>2</v>
      </c>
      <c r="C11" s="385">
        <f t="shared" ca="1" si="4"/>
        <v>5.8571428571428568</v>
      </c>
      <c r="D11" s="658" t="s">
        <v>567</v>
      </c>
      <c r="E11" s="210">
        <v>28</v>
      </c>
      <c r="F11" s="211">
        <f ca="1">75-41471+$D$1-24-112-10-112-112+6-112-112-112+45-112-112-112-112-112-112-112-112-112-112</f>
        <v>16</v>
      </c>
      <c r="G11" s="262"/>
      <c r="H11" s="393">
        <v>4</v>
      </c>
      <c r="I11" s="214">
        <v>5</v>
      </c>
      <c r="J11" s="486">
        <f t="shared" si="5"/>
        <v>1.0375350005115249</v>
      </c>
      <c r="K11" s="303">
        <f t="shared" si="6"/>
        <v>80</v>
      </c>
      <c r="L11" s="303">
        <f t="shared" si="7"/>
        <v>125</v>
      </c>
      <c r="M11" s="296">
        <v>7.3</v>
      </c>
      <c r="N11" s="445">
        <f t="shared" si="8"/>
        <v>92</v>
      </c>
      <c r="O11" s="445" t="s">
        <v>557</v>
      </c>
      <c r="P11" s="678">
        <v>1.5</v>
      </c>
      <c r="Q11" s="446">
        <v>3</v>
      </c>
      <c r="R11" s="500">
        <f t="shared" si="9"/>
        <v>0.65465367070797709</v>
      </c>
      <c r="S11" s="500">
        <f t="shared" si="10"/>
        <v>0.75498344352707503</v>
      </c>
      <c r="T11" s="627">
        <v>24870</v>
      </c>
      <c r="U11" s="626">
        <f t="shared" si="2"/>
        <v>-11510</v>
      </c>
      <c r="V11" s="627">
        <v>2550</v>
      </c>
      <c r="W11" s="316">
        <f t="shared" si="3"/>
        <v>9.7529411764705891</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6.7417918927575853</v>
      </c>
      <c r="AG11" s="603">
        <f t="shared" si="12"/>
        <v>7.7847507282080572</v>
      </c>
      <c r="AH11" s="316">
        <f t="shared" si="13"/>
        <v>2.8595221874893091</v>
      </c>
      <c r="AI11" s="316">
        <f t="shared" si="14"/>
        <v>7.0367938323898196</v>
      </c>
      <c r="AJ11" s="316">
        <f t="shared" si="15"/>
        <v>8.4121771032173598</v>
      </c>
      <c r="AK11" s="316">
        <f t="shared" si="16"/>
        <v>0.7659194667075887</v>
      </c>
      <c r="AL11" s="316">
        <f t="shared" si="17"/>
        <v>0.96189745003580673</v>
      </c>
      <c r="AM11" s="311">
        <f t="shared" si="18"/>
        <v>10.322625636658087</v>
      </c>
      <c r="AN11" s="311">
        <f t="shared" si="19"/>
        <v>11.919541380136556</v>
      </c>
      <c r="AO11" s="446">
        <v>3</v>
      </c>
      <c r="AP11" s="446">
        <v>2</v>
      </c>
      <c r="AQ11" s="590">
        <f t="shared" si="20"/>
        <v>0.1158</v>
      </c>
      <c r="AR11" s="627">
        <v>36380</v>
      </c>
      <c r="AS11" s="264">
        <v>33940</v>
      </c>
      <c r="AT11" s="390">
        <f t="shared" si="21"/>
        <v>9070</v>
      </c>
    </row>
    <row r="12" spans="1:46" s="264" customFormat="1" x14ac:dyDescent="0.25">
      <c r="A12" s="384" t="s">
        <v>408</v>
      </c>
      <c r="B12" s="384" t="s">
        <v>65</v>
      </c>
      <c r="C12" s="385">
        <f t="shared" ca="1" si="4"/>
        <v>2.2678571428571428</v>
      </c>
      <c r="D12" s="657" t="s">
        <v>816</v>
      </c>
      <c r="E12" s="387">
        <v>31</v>
      </c>
      <c r="F12" s="211">
        <f ca="1">46-41471+$D$1-112-112-112-112-112-112-112-112-112-112-112-112-112-112-112</f>
        <v>82</v>
      </c>
      <c r="G12" s="388" t="s">
        <v>271</v>
      </c>
      <c r="H12" s="371">
        <v>0</v>
      </c>
      <c r="I12" s="308">
        <v>13.1</v>
      </c>
      <c r="J12" s="486">
        <f t="shared" si="5"/>
        <v>1.5322921502071731</v>
      </c>
      <c r="K12" s="303">
        <f t="shared" si="6"/>
        <v>0</v>
      </c>
      <c r="L12" s="303">
        <f t="shared" si="7"/>
        <v>13.1</v>
      </c>
      <c r="M12" s="389">
        <v>7.3</v>
      </c>
      <c r="N12" s="445">
        <f t="shared" si="8"/>
        <v>92</v>
      </c>
      <c r="O12" s="445" t="s">
        <v>557</v>
      </c>
      <c r="P12" s="678">
        <v>1.5</v>
      </c>
      <c r="Q12" s="445">
        <v>4</v>
      </c>
      <c r="R12" s="500">
        <f t="shared" si="9"/>
        <v>0.7559289460184544</v>
      </c>
      <c r="S12" s="500">
        <f t="shared" si="10"/>
        <v>0.84430867747355465</v>
      </c>
      <c r="T12" s="324">
        <v>160250</v>
      </c>
      <c r="U12" s="626">
        <f t="shared" si="2"/>
        <v>-44310</v>
      </c>
      <c r="V12" s="324">
        <v>14850</v>
      </c>
      <c r="W12" s="316">
        <f t="shared" si="3"/>
        <v>10.791245791245791</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10.8+0.67+0.55+0.55+0.45+0.45+0.4+0.4+0.35+0.35+0.33+0.33+0.3+0.3+0.25+0.25+0.2+0.2+0.2+0.2</f>
        <v>17.529999999999998</v>
      </c>
      <c r="AE12" s="324">
        <v>2204</v>
      </c>
      <c r="AF12" s="603">
        <f t="shared" si="11"/>
        <v>11.82756912630804</v>
      </c>
      <c r="AG12" s="603">
        <f t="shared" si="12"/>
        <v>13.223624287501288</v>
      </c>
      <c r="AH12" s="316">
        <f t="shared" si="13"/>
        <v>4.0610381049418489</v>
      </c>
      <c r="AI12" s="316">
        <f t="shared" si="14"/>
        <v>16.359107949000673</v>
      </c>
      <c r="AJ12" s="316">
        <f t="shared" si="15"/>
        <v>13.33027187888761</v>
      </c>
      <c r="AK12" s="316">
        <f t="shared" si="16"/>
        <v>1.1569833720165736</v>
      </c>
      <c r="AL12" s="316">
        <f t="shared" si="17"/>
        <v>1.2206048949589463</v>
      </c>
      <c r="AM12" s="311">
        <f t="shared" si="18"/>
        <v>15.511431459986833</v>
      </c>
      <c r="AN12" s="311">
        <f t="shared" si="19"/>
        <v>17.342307586429683</v>
      </c>
      <c r="AO12" s="445">
        <v>1</v>
      </c>
      <c r="AP12" s="445">
        <v>2</v>
      </c>
      <c r="AQ12" s="590">
        <f t="shared" si="20"/>
        <v>4.9399999999999999E-2</v>
      </c>
      <c r="AR12" s="324">
        <v>204560</v>
      </c>
      <c r="AS12" s="264">
        <v>186530</v>
      </c>
      <c r="AT12" s="390">
        <f t="shared" si="21"/>
        <v>26280</v>
      </c>
    </row>
    <row r="13" spans="1:46" s="254" customFormat="1" x14ac:dyDescent="0.25">
      <c r="A13" s="384" t="s">
        <v>410</v>
      </c>
      <c r="B13" s="384" t="s">
        <v>65</v>
      </c>
      <c r="C13" s="385">
        <f t="shared" ca="1" si="4"/>
        <v>2.7410714285714284</v>
      </c>
      <c r="D13" s="657" t="s">
        <v>298</v>
      </c>
      <c r="E13" s="387">
        <v>31</v>
      </c>
      <c r="F13" s="394">
        <f ca="1">75-41471+$D$1-24-112-10-112-40-8-112-112-112-112-112-112-112-112-112-112-112-112-112</f>
        <v>29</v>
      </c>
      <c r="G13" s="388" t="s">
        <v>268</v>
      </c>
      <c r="H13" s="371">
        <v>2</v>
      </c>
      <c r="I13" s="308">
        <v>10.7</v>
      </c>
      <c r="J13" s="486">
        <f t="shared" si="5"/>
        <v>1.424247815661549</v>
      </c>
      <c r="K13" s="303">
        <f t="shared" si="6"/>
        <v>42.8</v>
      </c>
      <c r="L13" s="303">
        <f t="shared" si="7"/>
        <v>96.3</v>
      </c>
      <c r="M13" s="389">
        <v>7.5</v>
      </c>
      <c r="N13" s="445">
        <f t="shared" si="8"/>
        <v>94</v>
      </c>
      <c r="O13" s="445" t="s">
        <v>557</v>
      </c>
      <c r="P13" s="678">
        <v>1.5</v>
      </c>
      <c r="Q13" s="445">
        <v>3</v>
      </c>
      <c r="R13" s="500">
        <f t="shared" si="9"/>
        <v>0.65465367070797709</v>
      </c>
      <c r="S13" s="500">
        <f t="shared" si="10"/>
        <v>0.75498344352707503</v>
      </c>
      <c r="T13" s="324">
        <v>66650</v>
      </c>
      <c r="U13" s="626">
        <f t="shared" si="2"/>
        <v>-34350</v>
      </c>
      <c r="V13" s="324">
        <v>9480</v>
      </c>
      <c r="W13" s="316">
        <f t="shared" si="3"/>
        <v>7.0305907172995781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v>18</v>
      </c>
      <c r="AE13" s="324">
        <v>1651</v>
      </c>
      <c r="AF13" s="603">
        <f t="shared" si="11"/>
        <v>8.8536984760871764</v>
      </c>
      <c r="AG13" s="603">
        <f t="shared" si="12"/>
        <v>10.223370396985421</v>
      </c>
      <c r="AH13" s="316">
        <f t="shared" si="13"/>
        <v>3.0067462811687724</v>
      </c>
      <c r="AI13" s="316">
        <f t="shared" si="14"/>
        <v>11.610209314469115</v>
      </c>
      <c r="AJ13" s="316">
        <f t="shared" si="15"/>
        <v>11.224526744556112</v>
      </c>
      <c r="AK13" s="316">
        <f t="shared" si="16"/>
        <v>1.0441898252529238</v>
      </c>
      <c r="AL13" s="316">
        <f t="shared" si="17"/>
        <v>1.0347094683084297</v>
      </c>
      <c r="AM13" s="311">
        <f t="shared" si="18"/>
        <v>13.664266403644042</v>
      </c>
      <c r="AN13" s="311">
        <f t="shared" si="19"/>
        <v>15.778135772845294</v>
      </c>
      <c r="AO13" s="445">
        <v>4</v>
      </c>
      <c r="AP13" s="445">
        <v>4</v>
      </c>
      <c r="AQ13" s="590">
        <f t="shared" si="20"/>
        <v>0.157</v>
      </c>
      <c r="AR13" s="324">
        <v>101000</v>
      </c>
      <c r="AS13" s="254">
        <v>99980</v>
      </c>
      <c r="AT13" s="390">
        <f t="shared" si="21"/>
        <v>33330</v>
      </c>
    </row>
    <row r="14" spans="1:46" s="263" customFormat="1" x14ac:dyDescent="0.25">
      <c r="A14" s="384" t="s">
        <v>409</v>
      </c>
      <c r="B14" s="384" t="s">
        <v>65</v>
      </c>
      <c r="C14" s="385">
        <f t="shared" ca="1" si="4"/>
        <v>5.6071428571428568</v>
      </c>
      <c r="D14" s="657" t="s">
        <v>507</v>
      </c>
      <c r="E14" s="387">
        <v>28</v>
      </c>
      <c r="F14" s="211">
        <f ca="1">7-41471+$D$1-112-111-112+4-112-116-112-112-112-112-112-112-112-112-112-112</f>
        <v>44</v>
      </c>
      <c r="G14" s="388" t="s">
        <v>502</v>
      </c>
      <c r="H14" s="371">
        <v>2</v>
      </c>
      <c r="I14" s="308">
        <v>9.6999999999999993</v>
      </c>
      <c r="J14" s="486">
        <f t="shared" si="5"/>
        <v>1.3725117035802796</v>
      </c>
      <c r="K14" s="303">
        <f t="shared" si="6"/>
        <v>38.799999999999997</v>
      </c>
      <c r="L14" s="303">
        <f t="shared" si="7"/>
        <v>87.3</v>
      </c>
      <c r="M14" s="389">
        <v>7.8</v>
      </c>
      <c r="N14" s="445">
        <f t="shared" si="8"/>
        <v>97</v>
      </c>
      <c r="O14" s="445" t="s">
        <v>557</v>
      </c>
      <c r="P14" s="678">
        <v>1.5</v>
      </c>
      <c r="Q14" s="445">
        <v>7</v>
      </c>
      <c r="R14" s="500">
        <f t="shared" si="9"/>
        <v>1</v>
      </c>
      <c r="S14" s="500">
        <f t="shared" si="10"/>
        <v>1</v>
      </c>
      <c r="T14" s="324">
        <v>212970</v>
      </c>
      <c r="U14" s="626">
        <f t="shared" si="2"/>
        <v>-25010</v>
      </c>
      <c r="V14" s="324">
        <v>14330</v>
      </c>
      <c r="W14" s="316">
        <f t="shared" si="3"/>
        <v>14.861828332170273</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v>16</v>
      </c>
      <c r="AE14" s="324">
        <v>1801</v>
      </c>
      <c r="AF14" s="603">
        <f t="shared" si="11"/>
        <v>15.125924401992979</v>
      </c>
      <c r="AG14" s="603">
        <f t="shared" si="12"/>
        <v>15.125924401992979</v>
      </c>
      <c r="AH14" s="316">
        <f t="shared" si="13"/>
        <v>4.6821918888426044</v>
      </c>
      <c r="AI14" s="316">
        <f t="shared" si="14"/>
        <v>19.959517531579081</v>
      </c>
      <c r="AJ14" s="316">
        <f t="shared" si="15"/>
        <v>16.315511703580277</v>
      </c>
      <c r="AK14" s="316">
        <f t="shared" si="16"/>
        <v>1.0836342696197556</v>
      </c>
      <c r="AL14" s="316">
        <f t="shared" si="17"/>
        <v>1.0154758192506192</v>
      </c>
      <c r="AM14" s="311">
        <f t="shared" si="18"/>
        <v>18.815695645688326</v>
      </c>
      <c r="AN14" s="311">
        <f t="shared" si="19"/>
        <v>18.815695645688326</v>
      </c>
      <c r="AO14" s="445">
        <v>3</v>
      </c>
      <c r="AP14" s="445">
        <v>2</v>
      </c>
      <c r="AQ14" s="590">
        <f t="shared" si="20"/>
        <v>0.1158</v>
      </c>
      <c r="AR14" s="324">
        <v>237980</v>
      </c>
      <c r="AS14" s="263">
        <v>208020</v>
      </c>
      <c r="AT14" s="390">
        <f t="shared" si="21"/>
        <v>-4950</v>
      </c>
    </row>
    <row r="15" spans="1:46" s="264" customFormat="1" x14ac:dyDescent="0.25">
      <c r="A15" s="384" t="s">
        <v>406</v>
      </c>
      <c r="B15" s="260" t="s">
        <v>64</v>
      </c>
      <c r="C15" s="385">
        <f t="shared" ca="1" si="4"/>
        <v>3.6339285714285716</v>
      </c>
      <c r="D15" s="658" t="s">
        <v>618</v>
      </c>
      <c r="E15" s="210">
        <v>30</v>
      </c>
      <c r="F15" s="211">
        <f ca="1">7-41471+$D$1-112-111-3-112-112-112-112-112-112-112-112-112-112-112-112-112</f>
        <v>41</v>
      </c>
      <c r="G15" s="388" t="s">
        <v>268</v>
      </c>
      <c r="H15" s="371">
        <v>3</v>
      </c>
      <c r="I15" s="214">
        <v>11.4</v>
      </c>
      <c r="J15" s="486">
        <f t="shared" si="5"/>
        <v>1.4578955802163136</v>
      </c>
      <c r="K15" s="303">
        <f t="shared" si="6"/>
        <v>102.60000000000001</v>
      </c>
      <c r="L15" s="303">
        <f t="shared" si="7"/>
        <v>182.4</v>
      </c>
      <c r="M15" s="296">
        <v>7.8</v>
      </c>
      <c r="N15" s="445">
        <f t="shared" si="8"/>
        <v>97</v>
      </c>
      <c r="O15" s="445" t="s">
        <v>557</v>
      </c>
      <c r="P15" s="678">
        <v>1.5</v>
      </c>
      <c r="Q15" s="446">
        <v>6</v>
      </c>
      <c r="R15" s="500">
        <f t="shared" si="9"/>
        <v>0.92582009977255142</v>
      </c>
      <c r="S15" s="500">
        <f t="shared" si="10"/>
        <v>0.99928545900129484</v>
      </c>
      <c r="T15" s="324">
        <v>196920</v>
      </c>
      <c r="U15" s="626">
        <f t="shared" si="2"/>
        <v>12390</v>
      </c>
      <c r="V15" s="627">
        <v>21170</v>
      </c>
      <c r="W15" s="316">
        <f t="shared" si="3"/>
        <v>9.3018422295701466</v>
      </c>
      <c r="X15" s="485">
        <v>0</v>
      </c>
      <c r="Y15" s="486">
        <f>5.6+0.26+0.26+0.26+(0.26*23/90)+(0.05*(90-23)/90)+0.26+0.26+0.23+0.23+0.22+0.15+0.15+0.14+0.13+0.13+0.13+0.12+0.12+0.12+0.02+0.1+0.1+0.1+0.01+0.1</f>
        <v>9.3036666666666648</v>
      </c>
      <c r="Z15" s="485">
        <v>14</v>
      </c>
      <c r="AA15" s="486">
        <f>11.58+0.17+(0.17/2)+0.17+0.15+0.03+0.15+0.14+0.13+0.12+0.11+0.11</f>
        <v>12.945</v>
      </c>
      <c r="AB15" s="485">
        <f>5.21+0.4+0.4+0.33+0.33+0.33+0.33+0.3+0.3+0.23+0.23+0.22*30/90+0.15+0.15+0.15+0.13+0.12+0.11+0.11+0.08+0.07+0.07+0.07</f>
        <v>9.6733333333333356</v>
      </c>
      <c r="AC15" s="486">
        <v>4.99</v>
      </c>
      <c r="AD15" s="485">
        <f>15+0.2+0.2+0.2*85/90</f>
        <v>15.588888888888887</v>
      </c>
      <c r="AE15" s="324">
        <v>1861</v>
      </c>
      <c r="AF15" s="603">
        <f t="shared" si="11"/>
        <v>15.699960578008376</v>
      </c>
      <c r="AG15" s="603">
        <f t="shared" si="12"/>
        <v>16.957895580216313</v>
      </c>
      <c r="AH15" s="316">
        <f t="shared" si="13"/>
        <v>4.3425615010951857</v>
      </c>
      <c r="AI15" s="316">
        <f t="shared" si="14"/>
        <v>14.622623113170214</v>
      </c>
      <c r="AJ15" s="316">
        <f t="shared" si="15"/>
        <v>14.227186537070196</v>
      </c>
      <c r="AK15" s="316">
        <f t="shared" si="16"/>
        <v>0.95379831308397167</v>
      </c>
      <c r="AL15" s="316">
        <f t="shared" si="17"/>
        <v>1.0468660239484753</v>
      </c>
      <c r="AM15" s="311">
        <f t="shared" si="18"/>
        <v>17.125908489332392</v>
      </c>
      <c r="AN15" s="311">
        <f t="shared" si="19"/>
        <v>18.498095357337519</v>
      </c>
      <c r="AO15" s="446">
        <v>3</v>
      </c>
      <c r="AP15" s="446">
        <v>3</v>
      </c>
      <c r="AQ15" s="590">
        <f t="shared" si="20"/>
        <v>0.1158</v>
      </c>
      <c r="AR15" s="684">
        <v>184530</v>
      </c>
      <c r="AS15" s="264">
        <v>166460</v>
      </c>
      <c r="AT15" s="390">
        <f t="shared" si="21"/>
        <v>-30460</v>
      </c>
    </row>
    <row r="16" spans="1:46" x14ac:dyDescent="0.25">
      <c r="A16" s="305" t="s">
        <v>407</v>
      </c>
      <c r="B16" s="384" t="s">
        <v>64</v>
      </c>
      <c r="C16" s="385">
        <f t="shared" ca="1" si="4"/>
        <v>1.3303571428571428</v>
      </c>
      <c r="D16" s="657" t="s">
        <v>285</v>
      </c>
      <c r="E16" s="387">
        <v>32</v>
      </c>
      <c r="F16" s="394">
        <f ca="1">33-41471+$D$1-112+6-112-112-112-112-112-112-112-112-112-112-112-112-112-112</f>
        <v>75</v>
      </c>
      <c r="G16" s="388" t="s">
        <v>268</v>
      </c>
      <c r="H16" s="393">
        <v>4</v>
      </c>
      <c r="I16" s="308">
        <v>11.8</v>
      </c>
      <c r="J16" s="486">
        <f t="shared" si="5"/>
        <v>1.4762799595304912</v>
      </c>
      <c r="K16" s="303">
        <f t="shared" si="6"/>
        <v>188.8</v>
      </c>
      <c r="L16" s="303">
        <f t="shared" si="7"/>
        <v>295</v>
      </c>
      <c r="M16" s="389">
        <v>6.8</v>
      </c>
      <c r="N16" s="445">
        <f t="shared" si="8"/>
        <v>87</v>
      </c>
      <c r="O16" s="445" t="s">
        <v>557</v>
      </c>
      <c r="P16" s="678">
        <v>1.5</v>
      </c>
      <c r="Q16" s="445">
        <v>7</v>
      </c>
      <c r="R16" s="500">
        <f t="shared" si="9"/>
        <v>1</v>
      </c>
      <c r="S16" s="500">
        <f t="shared" si="10"/>
        <v>1</v>
      </c>
      <c r="T16" s="324">
        <v>81750</v>
      </c>
      <c r="U16" s="626">
        <f t="shared" si="2"/>
        <v>8280</v>
      </c>
      <c r="V16" s="324">
        <v>16210</v>
      </c>
      <c r="W16" s="316">
        <f t="shared" si="3"/>
        <v>5.0431832202344236</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v>9.99</v>
      </c>
      <c r="AC16" s="486">
        <v>3.99</v>
      </c>
      <c r="AD16" s="485">
        <f>10.7+0.5+0.5*80/90+0.5+0.45+0.45+0.45+0.45+0.35+0.3+0.3+0.25+0.25+0.25+0.25+0.25+0.2+0.2+0.2+0.2+0.2</f>
        <v>17.144444444444439</v>
      </c>
      <c r="AE16" s="324">
        <v>1681</v>
      </c>
      <c r="AF16" s="603">
        <f t="shared" si="11"/>
        <v>17.30953551508604</v>
      </c>
      <c r="AG16" s="603">
        <f t="shared" si="12"/>
        <v>17.30953551508604</v>
      </c>
      <c r="AH16" s="316">
        <f t="shared" si="13"/>
        <v>4.692049429268379</v>
      </c>
      <c r="AI16" s="316">
        <f t="shared" si="14"/>
        <v>15.030423155006828</v>
      </c>
      <c r="AJ16" s="316">
        <f t="shared" si="15"/>
        <v>16.174391070641597</v>
      </c>
      <c r="AK16" s="316">
        <f t="shared" si="16"/>
        <v>0.95193573009577237</v>
      </c>
      <c r="AL16" s="316">
        <f t="shared" si="17"/>
        <v>1.06777515272269</v>
      </c>
      <c r="AM16" s="311">
        <f t="shared" si="18"/>
        <v>20.073620454185939</v>
      </c>
      <c r="AN16" s="311">
        <f t="shared" si="19"/>
        <v>20.073620454185939</v>
      </c>
      <c r="AO16" s="445">
        <v>2</v>
      </c>
      <c r="AP16" s="445">
        <v>2</v>
      </c>
      <c r="AQ16" s="590">
        <f t="shared" si="20"/>
        <v>6.1499999999999999E-2</v>
      </c>
      <c r="AR16" s="324">
        <v>73470</v>
      </c>
      <c r="AS16">
        <v>71600</v>
      </c>
      <c r="AT16" s="390">
        <f t="shared" si="21"/>
        <v>-10150</v>
      </c>
    </row>
    <row r="17" spans="1:46" s="4" customFormat="1" x14ac:dyDescent="0.25">
      <c r="A17" s="384" t="s">
        <v>404</v>
      </c>
      <c r="B17" s="384" t="s">
        <v>64</v>
      </c>
      <c r="C17" s="385">
        <f t="shared" ca="1" si="4"/>
        <v>2.3839285714285716</v>
      </c>
      <c r="D17" s="657" t="s">
        <v>272</v>
      </c>
      <c r="E17" s="387">
        <v>31</v>
      </c>
      <c r="F17" s="394">
        <f ca="1">33-41471+$D$1-112-112-112-112-112-112-112-112-112-112-112-112-112-112-112</f>
        <v>69</v>
      </c>
      <c r="G17" s="388"/>
      <c r="H17" s="371">
        <v>3</v>
      </c>
      <c r="I17" s="308">
        <v>10</v>
      </c>
      <c r="J17" s="486">
        <f t="shared" si="5"/>
        <v>1.3885235802109668</v>
      </c>
      <c r="K17" s="303">
        <f t="shared" si="6"/>
        <v>90</v>
      </c>
      <c r="L17" s="303">
        <f t="shared" si="7"/>
        <v>160</v>
      </c>
      <c r="M17" s="389">
        <v>7.3</v>
      </c>
      <c r="N17" s="445">
        <f t="shared" si="8"/>
        <v>92</v>
      </c>
      <c r="O17" s="445" t="s">
        <v>557</v>
      </c>
      <c r="P17" s="678">
        <v>1.5</v>
      </c>
      <c r="Q17" s="445">
        <v>6</v>
      </c>
      <c r="R17" s="500">
        <f t="shared" si="9"/>
        <v>0.92582009977255142</v>
      </c>
      <c r="S17" s="500">
        <f t="shared" si="10"/>
        <v>0.99928545900129484</v>
      </c>
      <c r="T17" s="324">
        <v>67910</v>
      </c>
      <c r="U17" s="626">
        <f t="shared" si="2"/>
        <v>-3390</v>
      </c>
      <c r="V17" s="324">
        <v>11380</v>
      </c>
      <c r="W17" s="316">
        <f t="shared" si="3"/>
        <v>5.9674868189806682</v>
      </c>
      <c r="X17" s="485">
        <v>0</v>
      </c>
      <c r="Y17" s="486">
        <f>7.5+0.2+0.2+0.2+0.2+0.2+0.16+0.16+0.14+0.14+0.13+0.13+0.12+0.12+0.12+0.12+0.11+0.1+0.1+0.1+0.1+0.1+0.1</f>
        <v>10.549999999999995</v>
      </c>
      <c r="Z17" s="485">
        <v>13</v>
      </c>
      <c r="AA17" s="486">
        <f>4.85+0.05+0.05+0.05+0.03+0.03+0.02+0.02+0.02+0.01+0.01</f>
        <v>5.1399999999999979</v>
      </c>
      <c r="AB17" s="485">
        <f>8.95+0.08+0.07+0.07+0.07</f>
        <v>9.24</v>
      </c>
      <c r="AC17" s="486">
        <v>2.98</v>
      </c>
      <c r="AD17" s="485">
        <f>11+0.5+0.5+0.5+0.45+0.4+0.4+0.4+0.35+0.33+0.33+0.3+0.3+0.3+0.2+0.2+0.2+0.2+0.2+0.2+0.2</f>
        <v>17.459999999999997</v>
      </c>
      <c r="AE17" s="324">
        <v>1573</v>
      </c>
      <c r="AF17" s="603">
        <f t="shared" si="11"/>
        <v>14.709914486269453</v>
      </c>
      <c r="AG17" s="603">
        <f t="shared" si="12"/>
        <v>15.888523580210967</v>
      </c>
      <c r="AH17" s="316">
        <f t="shared" si="13"/>
        <v>4.3624146330095019</v>
      </c>
      <c r="AI17" s="316">
        <f t="shared" si="14"/>
        <v>12.344364077589368</v>
      </c>
      <c r="AJ17" s="316">
        <f t="shared" si="15"/>
        <v>14.817309617843067</v>
      </c>
      <c r="AK17" s="316">
        <f t="shared" si="16"/>
        <v>0.90388188641687728</v>
      </c>
      <c r="AL17" s="316">
        <f t="shared" si="17"/>
        <v>1.1479966506147676</v>
      </c>
      <c r="AM17" s="311">
        <f t="shared" si="18"/>
        <v>18.787975891384306</v>
      </c>
      <c r="AN17" s="311">
        <f t="shared" si="19"/>
        <v>20.293333333333329</v>
      </c>
      <c r="AO17" s="445">
        <v>4</v>
      </c>
      <c r="AP17" s="445">
        <v>1</v>
      </c>
      <c r="AQ17" s="590">
        <f t="shared" si="20"/>
        <v>0.157</v>
      </c>
      <c r="AR17" s="324">
        <v>71300</v>
      </c>
      <c r="AS17" s="4">
        <v>66560</v>
      </c>
      <c r="AT17" s="390">
        <f t="shared" si="21"/>
        <v>-1350</v>
      </c>
    </row>
    <row r="18" spans="1:46" s="263" customFormat="1" x14ac:dyDescent="0.25">
      <c r="A18" s="305" t="s">
        <v>411</v>
      </c>
      <c r="B18" s="260" t="s">
        <v>64</v>
      </c>
      <c r="C18" s="385">
        <f t="shared" ca="1" si="4"/>
        <v>2.6071428571428572</v>
      </c>
      <c r="D18" s="658" t="s">
        <v>400</v>
      </c>
      <c r="E18" s="210">
        <v>31</v>
      </c>
      <c r="F18" s="211">
        <f ca="1">7-41471+$D$1-112-111-112-112-112-112-112-112-112-112-112-112-112-112-112</f>
        <v>44</v>
      </c>
      <c r="G18" s="262"/>
      <c r="H18" s="371">
        <v>0</v>
      </c>
      <c r="I18" s="214">
        <v>8.9</v>
      </c>
      <c r="J18" s="486">
        <f t="shared" si="5"/>
        <v>1.3275135927967332</v>
      </c>
      <c r="K18" s="303">
        <f t="shared" si="6"/>
        <v>0</v>
      </c>
      <c r="L18" s="303">
        <f t="shared" si="7"/>
        <v>8.9</v>
      </c>
      <c r="M18" s="296">
        <v>7.5</v>
      </c>
      <c r="N18" s="445">
        <f t="shared" si="8"/>
        <v>94</v>
      </c>
      <c r="O18" s="445" t="s">
        <v>557</v>
      </c>
      <c r="P18" s="678">
        <v>1.5</v>
      </c>
      <c r="Q18" s="446">
        <v>6</v>
      </c>
      <c r="R18" s="500">
        <f t="shared" si="9"/>
        <v>0.92582009977255142</v>
      </c>
      <c r="S18" s="500">
        <f t="shared" si="10"/>
        <v>0.99928545900129484</v>
      </c>
      <c r="T18" s="324">
        <v>73020</v>
      </c>
      <c r="U18" s="626">
        <f t="shared" si="2"/>
        <v>-670</v>
      </c>
      <c r="V18" s="627">
        <v>19960</v>
      </c>
      <c r="W18" s="316">
        <f t="shared" si="3"/>
        <v>3.6583166332665331</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11+0.67+0.5+0.5+0.5+0.45+0.35+0.3+0.3+0.3+0.3+0.25+0.25+0.2+0.2+0.2+0.2+0.2</f>
        <v>16.669999999999998</v>
      </c>
      <c r="AE18" s="324">
        <v>1497</v>
      </c>
      <c r="AF18" s="603">
        <f t="shared" si="11"/>
        <v>15.974248764789511</v>
      </c>
      <c r="AG18" s="603">
        <f t="shared" si="12"/>
        <v>17.254160682743812</v>
      </c>
      <c r="AH18" s="316">
        <f t="shared" si="13"/>
        <v>3.7295488342966654</v>
      </c>
      <c r="AI18" s="316">
        <f t="shared" si="14"/>
        <v>18.659201039092036</v>
      </c>
      <c r="AJ18" s="316">
        <f t="shared" si="15"/>
        <v>15.485341294620106</v>
      </c>
      <c r="AK18" s="316">
        <f t="shared" si="16"/>
        <v>1.0978955318681831</v>
      </c>
      <c r="AL18" s="316">
        <f t="shared" si="17"/>
        <v>0.91660372927354916</v>
      </c>
      <c r="AM18" s="311">
        <f t="shared" si="18"/>
        <v>17.994103680434002</v>
      </c>
      <c r="AN18" s="311">
        <f t="shared" si="19"/>
        <v>19.435853342193216</v>
      </c>
      <c r="AO18" s="446">
        <v>2</v>
      </c>
      <c r="AP18" s="446">
        <v>1</v>
      </c>
      <c r="AQ18" s="590">
        <f t="shared" si="20"/>
        <v>6.1499999999999999E-2</v>
      </c>
      <c r="AR18" s="324">
        <v>73690</v>
      </c>
      <c r="AS18" s="263">
        <v>63310</v>
      </c>
      <c r="AT18" s="390">
        <f t="shared" si="21"/>
        <v>-9710</v>
      </c>
    </row>
    <row r="19" spans="1:46" s="264" customFormat="1" ht="14.25" customHeight="1" x14ac:dyDescent="0.25">
      <c r="A19" s="305" t="s">
        <v>505</v>
      </c>
      <c r="B19" s="260" t="s">
        <v>64</v>
      </c>
      <c r="C19" s="385">
        <f t="shared" ca="1" si="4"/>
        <v>4.0535714285714288</v>
      </c>
      <c r="D19" s="658" t="s">
        <v>414</v>
      </c>
      <c r="E19" s="210">
        <v>29</v>
      </c>
      <c r="F19" s="211">
        <f ca="1">59-41471+$D$1-325-112-112-112-112-112-112-112-112-112-112-112-112</f>
        <v>106</v>
      </c>
      <c r="G19" s="262"/>
      <c r="H19" s="371">
        <v>2</v>
      </c>
      <c r="I19" s="214">
        <v>4.2</v>
      </c>
      <c r="J19" s="486">
        <f t="shared" si="5"/>
        <v>0.95467112484639893</v>
      </c>
      <c r="K19" s="303">
        <f t="shared" si="6"/>
        <v>16.8</v>
      </c>
      <c r="L19" s="303">
        <f t="shared" si="7"/>
        <v>37.800000000000004</v>
      </c>
      <c r="M19" s="296">
        <v>6.8</v>
      </c>
      <c r="N19" s="445">
        <f t="shared" si="8"/>
        <v>87</v>
      </c>
      <c r="O19" s="445" t="s">
        <v>557</v>
      </c>
      <c r="P19" s="678">
        <v>1.5</v>
      </c>
      <c r="Q19" s="446">
        <v>3</v>
      </c>
      <c r="R19" s="500">
        <f t="shared" si="9"/>
        <v>0.65465367070797709</v>
      </c>
      <c r="S19" s="500">
        <f t="shared" si="10"/>
        <v>0.75498344352707503</v>
      </c>
      <c r="T19" s="324">
        <v>20260</v>
      </c>
      <c r="U19" s="626">
        <f t="shared" si="2"/>
        <v>-3000</v>
      </c>
      <c r="V19" s="627">
        <v>3310</v>
      </c>
      <c r="W19" s="316">
        <f t="shared" si="3"/>
        <v>6.1208459214501509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10+0.65+0.65+0.5+0.4+0.25+0.2+0.25*71/90</f>
        <v>12.847222222222223</v>
      </c>
      <c r="AE19" s="324">
        <v>962</v>
      </c>
      <c r="AF19" s="603">
        <f t="shared" si="11"/>
        <v>8.0699223543457954</v>
      </c>
      <c r="AG19" s="603">
        <f t="shared" si="12"/>
        <v>9.3183436872418479</v>
      </c>
      <c r="AH19" s="316">
        <f t="shared" si="13"/>
        <v>2.5817005841950498</v>
      </c>
      <c r="AI19" s="316">
        <f t="shared" si="14"/>
        <v>7.0507159528857457</v>
      </c>
      <c r="AJ19" s="316">
        <f t="shared" si="15"/>
        <v>8.1898876395030342</v>
      </c>
      <c r="AK19" s="316">
        <f t="shared" si="16"/>
        <v>0.75887924554326747</v>
      </c>
      <c r="AL19" s="316">
        <f t="shared" si="17"/>
        <v>0.7833058676281367</v>
      </c>
      <c r="AM19" s="311">
        <f t="shared" si="18"/>
        <v>9.9364782732076744</v>
      </c>
      <c r="AN19" s="311">
        <f t="shared" si="19"/>
        <v>11.473656811666638</v>
      </c>
      <c r="AO19" s="446">
        <v>1</v>
      </c>
      <c r="AP19" s="446">
        <v>2</v>
      </c>
      <c r="AQ19" s="590">
        <f t="shared" si="20"/>
        <v>4.9399999999999999E-2</v>
      </c>
      <c r="AR19" s="324">
        <v>23260</v>
      </c>
      <c r="AS19" s="264">
        <v>24880</v>
      </c>
      <c r="AT19" s="390">
        <f t="shared" si="21"/>
        <v>4620</v>
      </c>
    </row>
    <row r="20" spans="1:46" s="263" customFormat="1" x14ac:dyDescent="0.25">
      <c r="A20" s="304" t="s">
        <v>623</v>
      </c>
      <c r="B20" s="384" t="s">
        <v>66</v>
      </c>
      <c r="C20" s="385">
        <f t="shared" ca="1" si="4"/>
        <v>4.3660714285714288</v>
      </c>
      <c r="D20" s="658" t="s">
        <v>871</v>
      </c>
      <c r="E20" s="210">
        <v>29</v>
      </c>
      <c r="F20" s="211">
        <f ca="1">64-41471+$D$1-112-112-29-112-112-112-112-112-112-112-112-112-112-112-112-112</f>
        <v>71</v>
      </c>
      <c r="G20" s="262" t="s">
        <v>502</v>
      </c>
      <c r="H20" s="393">
        <v>1</v>
      </c>
      <c r="I20" s="214">
        <v>9.5</v>
      </c>
      <c r="J20" s="486">
        <f t="shared" si="5"/>
        <v>1.3615857320932507</v>
      </c>
      <c r="K20" s="303">
        <f t="shared" si="6"/>
        <v>9.5</v>
      </c>
      <c r="L20" s="303">
        <f t="shared" si="7"/>
        <v>38</v>
      </c>
      <c r="M20" s="296">
        <v>7.6</v>
      </c>
      <c r="N20" s="445">
        <f t="shared" si="8"/>
        <v>95</v>
      </c>
      <c r="O20" s="677">
        <v>43060</v>
      </c>
      <c r="P20" s="678">
        <f ca="1">IF((TODAY()-O20)&gt;335,1,((TODAY()-O20)^0.64)/(336^0.64))</f>
        <v>0.53650928682479015</v>
      </c>
      <c r="Q20" s="446">
        <v>4</v>
      </c>
      <c r="R20" s="500">
        <f t="shared" si="9"/>
        <v>0.7559289460184544</v>
      </c>
      <c r="S20" s="500">
        <f t="shared" si="10"/>
        <v>0.84430867747355465</v>
      </c>
      <c r="T20" s="627">
        <v>279440</v>
      </c>
      <c r="U20" s="626">
        <f t="shared" si="2"/>
        <v>7210</v>
      </c>
      <c r="V20" s="627">
        <v>40752</v>
      </c>
      <c r="W20" s="316">
        <f t="shared" si="3"/>
        <v>6.8570867687475463</v>
      </c>
      <c r="X20" s="485">
        <v>0</v>
      </c>
      <c r="Y20" s="486">
        <v>3</v>
      </c>
      <c r="Z20" s="485">
        <f>15+0.01+0.06</f>
        <v>15.07</v>
      </c>
      <c r="AA20" s="486">
        <f>12+0.01+0.01</f>
        <v>12.02</v>
      </c>
      <c r="AB20" s="485">
        <v>12</v>
      </c>
      <c r="AC20" s="486">
        <v>8</v>
      </c>
      <c r="AD20" s="485">
        <v>5</v>
      </c>
      <c r="AE20" s="324">
        <v>1937</v>
      </c>
      <c r="AF20" s="603">
        <f t="shared" ca="1" si="11"/>
        <v>12.826674183591702</v>
      </c>
      <c r="AG20" s="603">
        <f t="shared" ca="1" si="12"/>
        <v>14.340657699876333</v>
      </c>
      <c r="AH20" s="316">
        <f t="shared" ca="1" si="13"/>
        <v>3.0893195554723811</v>
      </c>
      <c r="AI20" s="316">
        <f t="shared" ca="1" si="14"/>
        <v>9.5434441922124105</v>
      </c>
      <c r="AJ20" s="316">
        <f t="shared" ca="1" si="15"/>
        <v>5.8948057486024732</v>
      </c>
      <c r="AK20" s="316">
        <f t="shared" ca="1" si="16"/>
        <v>0.70184760151344328</v>
      </c>
      <c r="AL20" s="316">
        <f t="shared" ca="1" si="17"/>
        <v>0.4028666513242628</v>
      </c>
      <c r="AM20" s="311">
        <f t="shared" ca="1" si="18"/>
        <v>5.1706603957353314</v>
      </c>
      <c r="AN20" s="311">
        <f t="shared" ca="1" si="19"/>
        <v>5.7809740667150828</v>
      </c>
      <c r="AO20" s="446">
        <v>3</v>
      </c>
      <c r="AP20" s="446">
        <v>3</v>
      </c>
      <c r="AQ20" s="590">
        <f t="shared" si="20"/>
        <v>0.1158</v>
      </c>
      <c r="AR20" s="627">
        <v>272230</v>
      </c>
      <c r="AS20" s="263">
        <v>273080</v>
      </c>
      <c r="AT20" s="390">
        <f t="shared" si="21"/>
        <v>-6360</v>
      </c>
    </row>
    <row r="21" spans="1:46" s="254" customFormat="1" x14ac:dyDescent="0.25">
      <c r="A21" s="384" t="s">
        <v>506</v>
      </c>
      <c r="B21" s="384" t="s">
        <v>66</v>
      </c>
      <c r="C21" s="385">
        <f t="shared" ca="1" si="4"/>
        <v>3.2767857142857144</v>
      </c>
      <c r="D21" s="657" t="s">
        <v>287</v>
      </c>
      <c r="E21" s="387">
        <v>30</v>
      </c>
      <c r="F21" s="394">
        <f ca="1">74-41471+$D$1-112-112-29-112-112-112-112-112-112-112-112-112-112-112-112-112</f>
        <v>81</v>
      </c>
      <c r="G21" s="388" t="s">
        <v>296</v>
      </c>
      <c r="H21" s="371">
        <v>3</v>
      </c>
      <c r="I21" s="308">
        <v>11</v>
      </c>
      <c r="J21" s="486">
        <f t="shared" si="5"/>
        <v>1.4389083280634998</v>
      </c>
      <c r="K21" s="303">
        <f t="shared" si="6"/>
        <v>99</v>
      </c>
      <c r="L21" s="303">
        <f t="shared" si="7"/>
        <v>176</v>
      </c>
      <c r="M21" s="389">
        <v>7.6</v>
      </c>
      <c r="N21" s="445">
        <f t="shared" si="8"/>
        <v>95</v>
      </c>
      <c r="O21" s="445" t="s">
        <v>557</v>
      </c>
      <c r="P21" s="678">
        <v>1.5</v>
      </c>
      <c r="Q21" s="445">
        <v>5</v>
      </c>
      <c r="R21" s="500">
        <f t="shared" si="9"/>
        <v>0.84515425472851657</v>
      </c>
      <c r="S21" s="500">
        <f t="shared" si="10"/>
        <v>0.92504826128926143</v>
      </c>
      <c r="T21" s="324">
        <v>41150</v>
      </c>
      <c r="U21" s="626">
        <f t="shared" si="2"/>
        <v>-3320</v>
      </c>
      <c r="V21" s="324">
        <v>2310</v>
      </c>
      <c r="W21" s="316">
        <f t="shared" si="3"/>
        <v>17.813852813852815</v>
      </c>
      <c r="X21" s="485">
        <v>0</v>
      </c>
      <c r="Y21" s="486">
        <f>5+(5/7)+0.07+0.21+0.07+0.07+0.07+0.07+0.07+0.07+0.06+0.03+0.03+0.03+0.03+0.03+0.2*33/90+0.03+0.03+0.02+0.02+0.01+0.01+0.01+0.01</f>
        <v>6.8376190476190493</v>
      </c>
      <c r="Z21" s="485">
        <v>9</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17.99+0.2+0.15+0.15+0.15+0.15+0.11+0.1</f>
        <v>18.999999999999993</v>
      </c>
      <c r="AE21" s="324">
        <v>1405</v>
      </c>
      <c r="AF21" s="603">
        <f t="shared" si="11"/>
        <v>10.090219170276587</v>
      </c>
      <c r="AG21" s="603">
        <f t="shared" si="12"/>
        <v>11.053281299463094</v>
      </c>
      <c r="AH21" s="316">
        <f t="shared" si="13"/>
        <v>3.701178115013307</v>
      </c>
      <c r="AI21" s="316">
        <f t="shared" si="14"/>
        <v>19.910767153884784</v>
      </c>
      <c r="AJ21" s="316">
        <f t="shared" si="15"/>
        <v>15.895372457443083</v>
      </c>
      <c r="AK21" s="316">
        <f t="shared" si="16"/>
        <v>1.2332376662450799</v>
      </c>
      <c r="AL21" s="316">
        <f t="shared" si="17"/>
        <v>1.0492283448692068</v>
      </c>
      <c r="AM21" s="311">
        <f t="shared" si="18"/>
        <v>18.499178833540757</v>
      </c>
      <c r="AN21" s="311">
        <f t="shared" si="19"/>
        <v>20.264835084904757</v>
      </c>
      <c r="AO21" s="445">
        <v>4</v>
      </c>
      <c r="AP21" s="445">
        <v>2</v>
      </c>
      <c r="AQ21" s="590">
        <f t="shared" si="20"/>
        <v>0.157</v>
      </c>
      <c r="AR21" s="324">
        <v>44470</v>
      </c>
      <c r="AS21" s="254">
        <v>42840</v>
      </c>
      <c r="AT21" s="390">
        <f t="shared" si="21"/>
        <v>1690</v>
      </c>
    </row>
    <row r="22" spans="1:46" s="259" customFormat="1" x14ac:dyDescent="0.25">
      <c r="A22" s="384" t="s">
        <v>568</v>
      </c>
      <c r="B22" s="384" t="s">
        <v>66</v>
      </c>
      <c r="C22" s="385">
        <f t="shared" ca="1" si="4"/>
        <v>2.6607142857142856</v>
      </c>
      <c r="D22" s="657" t="s">
        <v>861</v>
      </c>
      <c r="E22" s="387">
        <v>31</v>
      </c>
      <c r="F22" s="211">
        <f ca="1">-41471+$D$1-748-112-112-12-112-112-112-22-112-112-112</f>
        <v>38</v>
      </c>
      <c r="G22" s="388" t="s">
        <v>268</v>
      </c>
      <c r="H22" s="371">
        <v>3</v>
      </c>
      <c r="I22" s="308">
        <v>11.4</v>
      </c>
      <c r="J22" s="486">
        <f t="shared" si="5"/>
        <v>1.4578955802163136</v>
      </c>
      <c r="K22" s="303">
        <f t="shared" si="6"/>
        <v>102.60000000000001</v>
      </c>
      <c r="L22" s="303">
        <f t="shared" si="7"/>
        <v>182.4</v>
      </c>
      <c r="M22" s="389">
        <v>7.5</v>
      </c>
      <c r="N22" s="445">
        <f t="shared" si="8"/>
        <v>94</v>
      </c>
      <c r="O22" s="677">
        <v>42869</v>
      </c>
      <c r="P22" s="678">
        <f ca="1">IF((TODAY()-O22)&gt;335,1,((TODAY()-O22)^0.64)/(336^0.64))</f>
        <v>0.96537538102931275</v>
      </c>
      <c r="Q22" s="445">
        <v>7</v>
      </c>
      <c r="R22" s="500">
        <f t="shared" si="9"/>
        <v>1</v>
      </c>
      <c r="S22" s="500">
        <f t="shared" si="10"/>
        <v>1</v>
      </c>
      <c r="T22" s="324">
        <v>224640</v>
      </c>
      <c r="U22" s="626">
        <f t="shared" si="2"/>
        <v>-41990</v>
      </c>
      <c r="V22" s="324">
        <v>30324</v>
      </c>
      <c r="W22" s="316">
        <f t="shared" si="3"/>
        <v>7.4079936683814802</v>
      </c>
      <c r="X22" s="485">
        <v>0</v>
      </c>
      <c r="Y22" s="486">
        <f>2.98+0.02+0.02</f>
        <v>3.02</v>
      </c>
      <c r="Z22" s="485">
        <f>14+0.09*0.16+0.09*0.5+0.09*0.16+0.01+0.01+0.01+1/21*0.5+0.01+0.07+0.07</f>
        <v>14.277609523809524</v>
      </c>
      <c r="AA22" s="486">
        <f>3+0.02+0.02</f>
        <v>3.04</v>
      </c>
      <c r="AB22" s="485">
        <f>15+0.01+0.01</f>
        <v>15.02</v>
      </c>
      <c r="AC22" s="486">
        <v>10</v>
      </c>
      <c r="AD22" s="485">
        <v>11</v>
      </c>
      <c r="AE22" s="324">
        <v>1966</v>
      </c>
      <c r="AF22" s="603">
        <f t="shared" ca="1" si="11"/>
        <v>16.700880485055151</v>
      </c>
      <c r="AG22" s="603">
        <f t="shared" ca="1" si="12"/>
        <v>16.700880485055151</v>
      </c>
      <c r="AH22" s="316">
        <f t="shared" ca="1" si="13"/>
        <v>5.0412266104671097</v>
      </c>
      <c r="AI22" s="316">
        <f t="shared" ca="1" si="14"/>
        <v>20.405428824352832</v>
      </c>
      <c r="AJ22" s="316">
        <f t="shared" ca="1" si="15"/>
        <v>13.123270961245625</v>
      </c>
      <c r="AK22" s="316">
        <f t="shared" ca="1" si="16"/>
        <v>1.02386167689965</v>
      </c>
      <c r="AL22" s="316">
        <f t="shared" ca="1" si="17"/>
        <v>0.62042896728719388</v>
      </c>
      <c r="AM22" s="311">
        <f t="shared" ca="1" si="18"/>
        <v>13.374581849477943</v>
      </c>
      <c r="AN22" s="311">
        <f t="shared" ca="1" si="19"/>
        <v>13.374581849477943</v>
      </c>
      <c r="AO22" s="445">
        <v>1</v>
      </c>
      <c r="AP22" s="445">
        <v>3</v>
      </c>
      <c r="AQ22" s="590">
        <f t="shared" si="20"/>
        <v>4.9399999999999999E-2</v>
      </c>
      <c r="AR22" s="324">
        <v>266630</v>
      </c>
      <c r="AS22" s="259">
        <v>275040</v>
      </c>
      <c r="AT22" s="390">
        <f t="shared" si="21"/>
        <v>50400</v>
      </c>
    </row>
    <row r="23" spans="1:46" s="264" customFormat="1" x14ac:dyDescent="0.25">
      <c r="A23" s="384" t="s">
        <v>540</v>
      </c>
      <c r="B23" s="384" t="s">
        <v>66</v>
      </c>
      <c r="C23" s="385">
        <f t="shared" ca="1" si="4"/>
        <v>6</v>
      </c>
      <c r="D23" s="658" t="s">
        <v>541</v>
      </c>
      <c r="E23" s="210">
        <v>28</v>
      </c>
      <c r="F23" s="211">
        <f ca="1">7-41471+$D$1-112-111-43-112-112-1-112-112-112-112-112-112-112-112-112-112-112</f>
        <v>0</v>
      </c>
      <c r="G23" s="262"/>
      <c r="H23" s="395">
        <v>5</v>
      </c>
      <c r="I23" s="214">
        <v>5.6</v>
      </c>
      <c r="J23" s="486">
        <f t="shared" si="5"/>
        <v>1.0927252473891582</v>
      </c>
      <c r="K23" s="303">
        <f t="shared" si="6"/>
        <v>140</v>
      </c>
      <c r="L23" s="303">
        <f t="shared" si="7"/>
        <v>201.6</v>
      </c>
      <c r="M23" s="296">
        <v>7.8</v>
      </c>
      <c r="N23" s="445">
        <f t="shared" si="8"/>
        <v>97</v>
      </c>
      <c r="O23" s="445" t="s">
        <v>557</v>
      </c>
      <c r="P23" s="678">
        <v>1.5</v>
      </c>
      <c r="Q23" s="446">
        <v>4</v>
      </c>
      <c r="R23" s="500">
        <f t="shared" si="9"/>
        <v>0.7559289460184544</v>
      </c>
      <c r="S23" s="500">
        <f t="shared" si="10"/>
        <v>0.84430867747355465</v>
      </c>
      <c r="T23" s="627">
        <v>31680</v>
      </c>
      <c r="U23" s="626">
        <f t="shared" si="2"/>
        <v>-4620</v>
      </c>
      <c r="V23" s="627">
        <v>3110</v>
      </c>
      <c r="W23" s="316">
        <f t="shared" si="3"/>
        <v>10.186495176848874</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6.1733674177603062</v>
      </c>
      <c r="AG23" s="603">
        <f t="shared" si="12"/>
        <v>6.9020345980971936</v>
      </c>
      <c r="AH23" s="316">
        <f t="shared" si="13"/>
        <v>3.1558309734644707</v>
      </c>
      <c r="AI23" s="316">
        <f t="shared" si="14"/>
        <v>14.748067501133642</v>
      </c>
      <c r="AJ23" s="316">
        <f t="shared" si="15"/>
        <v>11.040147161963763</v>
      </c>
      <c r="AK23" s="316">
        <f t="shared" si="16"/>
        <v>1.0336430197911326</v>
      </c>
      <c r="AL23" s="316">
        <f t="shared" si="17"/>
        <v>0.74929076731724109</v>
      </c>
      <c r="AM23" s="311">
        <f t="shared" si="18"/>
        <v>12.14343210224928</v>
      </c>
      <c r="AN23" s="311">
        <f t="shared" si="19"/>
        <v>13.576769830391285</v>
      </c>
      <c r="AO23" s="446">
        <v>2</v>
      </c>
      <c r="AP23" s="446">
        <v>1</v>
      </c>
      <c r="AQ23" s="590">
        <f t="shared" si="20"/>
        <v>6.1499999999999999E-2</v>
      </c>
      <c r="AR23" s="627">
        <v>36300</v>
      </c>
      <c r="AS23" s="264">
        <v>32430</v>
      </c>
      <c r="AT23" s="390">
        <f>AS23-T23</f>
        <v>750</v>
      </c>
    </row>
    <row r="24" spans="1:46" x14ac:dyDescent="0.25">
      <c r="G24" s="4"/>
      <c r="H24"/>
      <c r="I24" s="284"/>
      <c r="J24" s="487"/>
      <c r="K24"/>
      <c r="T24" s="244">
        <f>SUM(T5:T23)+T3</f>
        <v>1911100</v>
      </c>
      <c r="U24" s="244">
        <f>SUM(U5:U23)</f>
        <v>-233060</v>
      </c>
      <c r="V24" s="244">
        <f>SUM(V5:V23)+V3</f>
        <v>280362</v>
      </c>
      <c r="W24" s="315">
        <f t="shared" si="3"/>
        <v>6.8165443248371744</v>
      </c>
      <c r="X24"/>
      <c r="AD24" s="312"/>
      <c r="AE24" s="244">
        <f>AVERAGE(AE5:AE23)</f>
        <v>1543.6315789473683</v>
      </c>
      <c r="AH24" s="244"/>
      <c r="AI24" s="244"/>
      <c r="AJ24" s="244"/>
      <c r="AK24" s="244"/>
      <c r="AL24" s="244"/>
      <c r="AM24" s="244"/>
      <c r="AN24" s="244"/>
    </row>
    <row r="25" spans="1:46" x14ac:dyDescent="0.25">
      <c r="G25" s="455"/>
      <c r="K25" s="455"/>
      <c r="M25" s="455"/>
      <c r="N25" s="455"/>
      <c r="Q25" s="455"/>
      <c r="T25" s="313"/>
      <c r="U25" s="313"/>
      <c r="V25" s="313">
        <f>V24-V3</f>
        <v>280038</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2" operator="greaterThan">
      <formula>82</formula>
    </cfRule>
    <cfRule type="cellIs" dxfId="360" priority="453" operator="lessThan">
      <formula>79</formula>
    </cfRule>
  </conditionalFormatting>
  <conditionalFormatting sqref="Q6:Q23">
    <cfRule type="cellIs" dxfId="359" priority="426" operator="greaterThan">
      <formula>6</formula>
    </cfRule>
    <cfRule type="cellIs" dxfId="358" priority="427" operator="lessThan">
      <formula>5</formula>
    </cfRule>
  </conditionalFormatting>
  <conditionalFormatting sqref="R6:S23">
    <cfRule type="cellIs" dxfId="357" priority="420" operator="greaterThan">
      <formula>0.95</formula>
    </cfRule>
    <cfRule type="cellIs" dxfId="356" priority="421" operator="lessThan">
      <formula>0.85</formula>
    </cfRule>
  </conditionalFormatting>
  <conditionalFormatting sqref="N5">
    <cfRule type="cellIs" dxfId="355" priority="301" operator="greaterThan">
      <formula>82</formula>
    </cfRule>
    <cfRule type="cellIs" dxfId="354" priority="302" operator="lessThan">
      <formula>79</formula>
    </cfRule>
  </conditionalFormatting>
  <conditionalFormatting sqref="Q5">
    <cfRule type="cellIs" dxfId="353" priority="299" operator="greaterThan">
      <formula>6</formula>
    </cfRule>
    <cfRule type="cellIs" dxfId="352" priority="300" operator="lessThan">
      <formula>5</formula>
    </cfRule>
  </conditionalFormatting>
  <conditionalFormatting sqref="R5:S5">
    <cfRule type="cellIs" dxfId="351" priority="297" operator="greaterThan">
      <formula>0.95</formula>
    </cfRule>
    <cfRule type="cellIs" dxfId="350" priority="298" operator="lessThan">
      <formula>0.85</formula>
    </cfRule>
  </conditionalFormatting>
  <conditionalFormatting sqref="AH5:AH23">
    <cfRule type="cellIs" dxfId="349" priority="31" operator="lessThan">
      <formula>3.6</formula>
    </cfRule>
    <cfRule type="cellIs" dxfId="348" priority="32" operator="greaterThan">
      <formula>3.6</formula>
    </cfRule>
  </conditionalFormatting>
  <conditionalFormatting sqref="AI5:AI23">
    <cfRule type="cellIs" dxfId="347" priority="28" operator="lessThan">
      <formula>12</formula>
    </cfRule>
    <cfRule type="cellIs" dxfId="346" priority="29" operator="between">
      <formula>12</formula>
      <formula>14</formula>
    </cfRule>
    <cfRule type="cellIs" dxfId="345" priority="30" operator="greaterThan">
      <formula>14</formula>
    </cfRule>
  </conditionalFormatting>
  <conditionalFormatting sqref="AJ5:AJ23">
    <cfRule type="cellIs" dxfId="344" priority="26" operator="lessThan">
      <formula>7.5</formula>
    </cfRule>
    <cfRule type="cellIs" dxfId="343" priority="27" operator="greaterThan">
      <formula>10</formula>
    </cfRule>
  </conditionalFormatting>
  <conditionalFormatting sqref="AK5:AL23">
    <cfRule type="cellIs" dxfId="342" priority="24" operator="lessThan">
      <formula>0.7</formula>
    </cfRule>
    <cfRule type="cellIs" dxfId="341" priority="25" operator="greaterThan">
      <formula>0.8</formula>
    </cfRule>
  </conditionalFormatting>
  <conditionalFormatting sqref="AM5:AN23">
    <cfRule type="cellIs" dxfId="340" priority="22" operator="lessThan">
      <formula>10</formula>
    </cfRule>
    <cfRule type="cellIs" dxfId="339" priority="23" operator="greaterThan">
      <formula>14</formula>
    </cfRule>
  </conditionalFormatting>
  <conditionalFormatting sqref="AQ5:AQ23">
    <cfRule type="cellIs" dxfId="338" priority="15" operator="lessThan">
      <formula>0.07</formula>
    </cfRule>
    <cfRule type="cellIs" dxfId="337" priority="16" operator="greaterThan">
      <formula>0.1</formula>
    </cfRule>
  </conditionalFormatting>
  <conditionalFormatting sqref="AF5:AG23">
    <cfRule type="cellIs" dxfId="336" priority="14" operator="greaterThan">
      <formula>12</formula>
    </cfRule>
  </conditionalFormatting>
  <conditionalFormatting sqref="I5:I23">
    <cfRule type="cellIs" dxfId="335" priority="9" operator="lessThan">
      <formula>3</formula>
    </cfRule>
    <cfRule type="cellIs" dxfId="334" priority="10" operator="greaterThan">
      <formula>7</formula>
    </cfRule>
  </conditionalFormatting>
  <conditionalFormatting sqref="C3">
    <cfRule type="colorScale" priority="1848">
      <colorScale>
        <cfvo type="min"/>
        <cfvo type="max"/>
        <color rgb="FFFFEF9C"/>
        <color rgb="FF63BE7B"/>
      </colorScale>
    </cfRule>
  </conditionalFormatting>
  <conditionalFormatting sqref="W3">
    <cfRule type="dataBar" priority="1849">
      <dataBar>
        <cfvo type="min"/>
        <cfvo type="max"/>
        <color rgb="FFFFB628"/>
      </dataBar>
    </cfRule>
  </conditionalFormatting>
  <conditionalFormatting sqref="V5:V23">
    <cfRule type="dataBar" priority="305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1">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3">
      <colorScale>
        <cfvo type="min"/>
        <cfvo type="max"/>
        <color rgb="FFFFEF9C"/>
        <color rgb="FF63BE7B"/>
      </colorScale>
    </cfRule>
  </conditionalFormatting>
  <conditionalFormatting sqref="T5:T23">
    <cfRule type="dataBar" priority="30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9">
      <colorScale>
        <cfvo type="min"/>
        <cfvo type="max"/>
        <color rgb="FFFFEF9C"/>
        <color rgb="FF63BE7B"/>
      </colorScale>
    </cfRule>
  </conditionalFormatting>
  <conditionalFormatting sqref="AE5:AE23">
    <cfRule type="dataBar" priority="307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3">
      <colorScale>
        <cfvo type="min"/>
        <cfvo type="max"/>
        <color rgb="FFFFEF9C"/>
        <color rgb="FF63BE7B"/>
      </colorScale>
    </cfRule>
  </conditionalFormatting>
  <conditionalFormatting sqref="AR5:AR23">
    <cfRule type="dataBar" priority="1">
      <dataBar>
        <cfvo type="min"/>
        <cfvo type="max"/>
        <color rgb="FF638EC6"/>
      </dataBar>
      <extLst>
        <ext xmlns:x14="http://schemas.microsoft.com/office/spreadsheetml/2009/9/main" uri="{B025F937-C7B1-47D3-B67F-A62EFF666E3E}">
          <x14:id>{F28D47AF-E84A-43E2-9854-D6EC2B098B85}</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F28D47AF-E84A-43E2-9854-D6EC2B098B85}">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109</v>
      </c>
      <c r="D3" s="487"/>
      <c r="E3" s="290">
        <v>42468</v>
      </c>
      <c r="F3" s="341">
        <f>PLANTILLA!Q5</f>
        <v>6</v>
      </c>
      <c r="G3" s="406">
        <f>(F3/7)^0.5</f>
        <v>0.92582009977255142</v>
      </c>
      <c r="H3" s="406">
        <f>IF(F3=7,1,((F3+0.99)/7)^0.5)</f>
        <v>0.99928545900129484</v>
      </c>
      <c r="I3" s="496">
        <v>1</v>
      </c>
      <c r="J3" s="497">
        <f>PLANTILLA!I5</f>
        <v>19.2</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8.6347831761353486</v>
      </c>
      <c r="T3" s="163">
        <f>(0.5*P3+ 0.3*Q3)/10</f>
        <v>0.55302777777777778</v>
      </c>
      <c r="U3" s="163">
        <f>(0.4*L3+0.3*Q3)/10</f>
        <v>1.0292223776223779</v>
      </c>
      <c r="V3" s="163">
        <f ca="1">IF(TODAY()-E3&gt;335,(Q3+1+(LOG(J3)*4/3))*(F3/7)^0.5,(Q3+((TODAY()-E3)^0.5)/(336^0.5)+(LOG(J3)*4/3))*(F3/7)^0.5)</f>
        <v>19.359887344428397</v>
      </c>
      <c r="W3" s="163">
        <f ca="1">IF(F3=7,V3,IF(TODAY()-E3&gt;335,(Q3+1+(LOG(J3)*4/3))*((F3+0.99)/7)^0.5,(Q3+((TODAY()-E3)^0.5)/(336^0.5)+(LOG(J3)*4/3))*((F3+0.99)/7)^0.5))</f>
        <v>20.896126489307463</v>
      </c>
      <c r="X3" s="159">
        <f>((K3+I3+(LOG(J3)*4/3))*0.597)+((L3+I3+(LOG(J3)*4/3))*0.276)</f>
        <v>15.650997035805339</v>
      </c>
      <c r="Y3" s="159">
        <f>((K3+I3+(LOG(J3)*4/3))*0.866)+((L3+I3+(LOG(J3)*4/3))*0.425)</f>
        <v>23.067560277246141</v>
      </c>
      <c r="Z3" s="159">
        <f>X3</f>
        <v>15.650997035805339</v>
      </c>
      <c r="AA3" s="159">
        <f>((L3+I3+(LOG(J3)*4/3))*0.516)</f>
        <v>7.6324799166767159</v>
      </c>
      <c r="AB3" s="159">
        <f>(L3+I3+(LOG(J3)*4/3))*1</f>
        <v>14.791627745497511</v>
      </c>
      <c r="AC3" s="159">
        <f>AA3/2</f>
        <v>3.8162399583383579</v>
      </c>
      <c r="AD3" s="159">
        <f>(M3+I3+(LOG(J3)*4/3))*0.238</f>
        <v>1.1378942565752592</v>
      </c>
      <c r="AE3" s="159">
        <f>((L3+I3+(LOG(J3)*4/3))*0.378)</f>
        <v>5.5912352877980593</v>
      </c>
      <c r="AF3" s="159">
        <f>(L3+I3+(LOG(J3)*4/3))*0.723</f>
        <v>10.694346859994701</v>
      </c>
      <c r="AG3" s="159">
        <f>AE3/2</f>
        <v>2.7956176438990297</v>
      </c>
      <c r="AH3" s="159">
        <f>(M3+I3+(LOG(J3)*4/3))*0.385</f>
        <v>1.8407112974011548</v>
      </c>
      <c r="AI3" s="159">
        <f>((L3+I3+(LOG(J3)*4/3))*0.92)</f>
        <v>13.608297525857711</v>
      </c>
      <c r="AJ3" s="159">
        <f>(L3+I3+(LOG(J3)*4/3))*0.414</f>
        <v>6.1237338866359696</v>
      </c>
      <c r="AK3" s="159">
        <f>((M3+I3+(LOG(J3)*4/3))*0.167)</f>
        <v>0.79843840692465684</v>
      </c>
      <c r="AL3" s="159">
        <f>(N3+I3+(LOG(J3)*4/3))*0.588</f>
        <v>2.8583081633035823</v>
      </c>
      <c r="AM3" s="159">
        <f>((L3+I3+(LOG(J3)*4/3))*0.754)</f>
        <v>11.152887320105123</v>
      </c>
      <c r="AN3" s="159">
        <f>((L3+I3+(LOG(J3)*4/3))*0.708)</f>
        <v>10.472472443812237</v>
      </c>
      <c r="AO3" s="159">
        <f>((Q3+I3+(LOG(J3)*4/3))*0.167)</f>
        <v>3.4921484069246573</v>
      </c>
      <c r="AP3" s="159">
        <f>((R3+I3+(LOG(J3)*4/3))*0.288)</f>
        <v>1.398567811682303</v>
      </c>
      <c r="AQ3" s="159">
        <f>((L3+I3+(LOG(J3)*4/3))*0.27)</f>
        <v>3.993739491284328</v>
      </c>
      <c r="AR3" s="159">
        <f>((L3+I3+(LOG(J3)*4/3))*0.594)</f>
        <v>8.7862268808255219</v>
      </c>
      <c r="AS3" s="159">
        <f>AQ3/2</f>
        <v>1.996869745642164</v>
      </c>
      <c r="AT3" s="159">
        <f>((M3+I3+(LOG(J3)*4/3))*0.944)</f>
        <v>4.5133284798615323</v>
      </c>
      <c r="AU3" s="159">
        <f>((O3+I3+(LOG(J3)*4/3))*0.13)</f>
        <v>0.48763887964194857</v>
      </c>
      <c r="AV3" s="159">
        <f>((P3+I3+(LOG(J3)*4/3))*0.173)+((O3+I3+(LOG(J3)*4/3))*0.12)</f>
        <v>0.94345912445796443</v>
      </c>
      <c r="AW3" s="159">
        <f>AU3/2</f>
        <v>0.24381943982097429</v>
      </c>
      <c r="AX3" s="159">
        <f>((L3+I3+(LOG(J3)*4/3))*0.189)</f>
        <v>2.7956176438990297</v>
      </c>
      <c r="AY3" s="159">
        <f>((L3+I3+(LOG(J3)*4/3))*0.4)</f>
        <v>5.9166510981990044</v>
      </c>
      <c r="AZ3" s="159">
        <f>AX3/2</f>
        <v>1.3978088219495148</v>
      </c>
      <c r="BA3" s="159">
        <f>((M3+I3+(LOG(J3)*4/3))*1)</f>
        <v>4.7810683049380645</v>
      </c>
      <c r="BB3" s="159">
        <f>((O3+I3+(LOG(J3)*4/3))*0.253)</f>
        <v>0.94902028114933068</v>
      </c>
      <c r="BC3" s="159">
        <f>((P3+I3+(LOG(J3)*4/3))*0.21)+((O3+I3+(LOG(J3)*4/3))*0.341)</f>
        <v>1.8779553026875411</v>
      </c>
      <c r="BD3" s="159">
        <f>BB3/2</f>
        <v>0.47451014057466534</v>
      </c>
      <c r="BE3" s="159">
        <f>((L3+I3+(LOG(J3)*4/3))*0.291)</f>
        <v>4.3043636739397755</v>
      </c>
      <c r="BF3" s="159">
        <f>((L3+I3+(LOG(J3)*4/3))*0.348)</f>
        <v>5.1474864554331337</v>
      </c>
      <c r="BG3" s="159">
        <f>((M3+I3+(LOG(J3)*4/3))*0.881)</f>
        <v>4.2121211766504345</v>
      </c>
      <c r="BH3" s="159">
        <f>((N3+I3+(LOG(J3)*4/3))*0.574)+((O3+I3+(LOG(J3)*4/3))*0.315)</f>
        <v>3.97183972308994</v>
      </c>
      <c r="BI3" s="159">
        <f>((O3+I3+(LOG(J3)*4/3))*0.241)</f>
        <v>0.90400746149007383</v>
      </c>
      <c r="BJ3" s="159">
        <f>((L3+I3+(LOG(J3)*4/3))*0.485)</f>
        <v>7.1739394565662922</v>
      </c>
      <c r="BK3" s="159">
        <f>((L3+I3+(LOG(J3)*4/3))*0.264)</f>
        <v>3.904989724811343</v>
      </c>
      <c r="BL3" s="159">
        <f>((M3+I3+(LOG(J3)*4/3))*0.381)</f>
        <v>1.8215870241814025</v>
      </c>
      <c r="BM3" s="159">
        <f>((N3+I3+(LOG(J3)*4/3))*0.673)+((O3+I3+(LOG(J3)*4/3))*0.201)</f>
        <v>4.0254636985158694</v>
      </c>
      <c r="BN3" s="159">
        <f>((O3+I3+(LOG(J3)*4/3))*0.052)</f>
        <v>0.19505555185677942</v>
      </c>
      <c r="BO3" s="159">
        <f>((L3+I3+(LOG(J3)*4/3))*0.18)</f>
        <v>2.6624929941895519</v>
      </c>
      <c r="BP3" s="159">
        <f>(L3+I3+(LOG(J3)*4/3))*0.068</f>
        <v>1.0058306866938309</v>
      </c>
      <c r="BQ3" s="159">
        <f>((M3+I3+(LOG(J3)*4/3))*0.305)</f>
        <v>1.4582258330061095</v>
      </c>
      <c r="BR3" s="159">
        <f>((N3+I3+(LOG(J3)*4/3))*1)+((O3+I3+(LOG(J3)*4/3))*0.286)</f>
        <v>5.9338738401503521</v>
      </c>
      <c r="BS3" s="159">
        <f>((O3+I3+(LOG(J3)*4/3))*0.135)</f>
        <v>0.5063942211666389</v>
      </c>
      <c r="BT3" s="159">
        <f>((L3+I3+(LOG(J3)*4/3))*0.284)</f>
        <v>4.2008222797212929</v>
      </c>
      <c r="BU3" s="159">
        <f>(L3+I3+(LOG(J3)*4/3))*0.244</f>
        <v>3.6091571699013927</v>
      </c>
      <c r="BV3" s="159">
        <f>((M3+I3+(LOG(J3)*4/3))*0.455)</f>
        <v>2.1753860787468193</v>
      </c>
      <c r="BW3" s="159">
        <f>((N3+I3+(LOG(J3)*4/3))*0.864)+((O3+I3+(LOG(J3)*4/3))*0.244)</f>
        <v>5.1152236818713774</v>
      </c>
      <c r="BX3" s="159">
        <f>((O3+I3+(LOG(J3)*4/3))*0.121)</f>
        <v>0.45387926489750596</v>
      </c>
      <c r="BY3" s="159">
        <f>((L3+I3+(LOG(J3)*4/3))*0.284)</f>
        <v>4.2008222797212929</v>
      </c>
      <c r="BZ3" s="159">
        <f>((L3+I3+(LOG(J3)*4/3))*0.244)</f>
        <v>3.6091571699013927</v>
      </c>
      <c r="CA3" s="159">
        <f>((M3+I3+(LOG(J3)*4/3))*0.631)</f>
        <v>3.0168541004159186</v>
      </c>
      <c r="CB3" s="159">
        <f>((N3+I3+(LOG(J3)*4/3))*0.702)+((O3+I3+(LOG(J3)*4/3))*0.193)</f>
        <v>4.1364261329195688</v>
      </c>
      <c r="CC3" s="159">
        <f>((O3+I3+(LOG(J3)*4/3))*0.148)</f>
        <v>0.55515810913083374</v>
      </c>
      <c r="CD3" s="159">
        <f>((M3+I3+(LOG(J3)*4/3))*0.406)</f>
        <v>1.9411137318048544</v>
      </c>
      <c r="CE3" s="159">
        <f>IF(D3="TEC",((N3+I3+(LOG(J3)*4/3))*0.15)+((O3+I3+(LOG(J3)*4/3))*0.324)+((P3+I3+(LOG(J3)*4/3))*0.127),(((N3+I3+(LOG(J3)*4/3))*0.144)+((O3+I3+(LOG(J3)*4/3))*0.25)+((P3+I3+(LOG(J3)*4/3))*0.127)))</f>
        <v>1.9999171424282878</v>
      </c>
      <c r="CF3" s="159">
        <f>((O3+I3+(LOG(J3)*4/3))*0.543)+((P3+I3+(LOG(J3)*4/3))*0.583)</f>
        <v>3.6993268002491515</v>
      </c>
      <c r="CG3" s="159">
        <f>CE3</f>
        <v>1.9999171424282878</v>
      </c>
      <c r="CH3" s="159">
        <f>((P3+1+(LOG(J3)*4/3))*0.26)+((N3+I3+(LOG(J3)*4/3))*0.221)+((O3+I3+(LOG(J3)*4/3))*0.142)</f>
        <v>2.3483699984208597</v>
      </c>
      <c r="CI3" s="159">
        <f>((P3+I3+(LOG(J3)*4/3))*1)+((O3+I3+(LOG(J3)*4/3))*0.369)</f>
        <v>4.2357680650157681</v>
      </c>
      <c r="CJ3" s="159">
        <f>CH3</f>
        <v>2.3483699984208597</v>
      </c>
      <c r="CK3" s="159">
        <f>((M3+I3+(LOG(J3)*4/3))*0.25)</f>
        <v>1.1952670762345161</v>
      </c>
    </row>
    <row r="4" spans="1:89" x14ac:dyDescent="0.25">
      <c r="A4" t="str">
        <f>PLANTILLA!D6</f>
        <v>T. Hammond</v>
      </c>
      <c r="B4" s="487">
        <f>PLANTILLA!E6</f>
        <v>35</v>
      </c>
      <c r="C4" s="487">
        <f ca="1">PLANTILLA!F6</f>
        <v>6</v>
      </c>
      <c r="D4" s="487" t="str">
        <f>PLANTILLA!G6</f>
        <v>CAB</v>
      </c>
      <c r="E4" s="290">
        <v>41400</v>
      </c>
      <c r="F4" s="341">
        <f>PLANTILLA!Q6</f>
        <v>6</v>
      </c>
      <c r="G4" s="406">
        <f t="shared" ref="G4:G5" si="0">(F4/7)^0.5</f>
        <v>0.92582009977255142</v>
      </c>
      <c r="H4" s="406">
        <f t="shared" ref="H4:H5" si="1">IF(F4=7,1,((F4+0.99)/7)^0.5)</f>
        <v>0.99928545900129484</v>
      </c>
      <c r="I4" s="496">
        <v>1.5</v>
      </c>
      <c r="J4" s="497">
        <f>PLANTILLA!I6</f>
        <v>8.1</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13.693791411184643</v>
      </c>
      <c r="T4" s="163">
        <f t="shared" ref="T4:T21" si="4">(0.5*P4+ 0.3*Q4)/10</f>
        <v>0.67286666666666661</v>
      </c>
      <c r="U4" s="163">
        <f t="shared" ref="U4:U21" si="5">(0.4*L4+0.3*Q4)/10</f>
        <v>0.90596666666666648</v>
      </c>
      <c r="V4" s="163">
        <f t="shared" ref="V4:V21" ca="1" si="6">IF(TODAY()-E4&gt;335,(Q4+1+(LOG(J4)*4/3))*(F4/7)^0.5,(Q4+((TODAY()-E4)^0.5)/(336^0.5)+(LOG(J4)*4/3))*(F4/7)^0.5)</f>
        <v>16.655690839610465</v>
      </c>
      <c r="W4" s="163">
        <f t="shared" ref="W4:W21" ca="1" si="7">IF(F4=7,V4,IF(TODAY()-E4&gt;335,(Q4+1+(LOG(J4)*4/3))*((F4+0.99)/7)^0.5,(Q4+((TODAY()-E4)^0.5)/(336^0.5)+(LOG(J4)*4/3))*((F4+0.99)/7)^0.5))</f>
        <v>17.977347510312992</v>
      </c>
      <c r="X4" s="159">
        <f t="shared" ref="X4:X21" si="8">((K4+I4+(LOG(J4)*4/3))*0.597)+((L4+I4+(LOG(J4)*4/3))*0.276)</f>
        <v>11.501016561974749</v>
      </c>
      <c r="Y4" s="159">
        <f t="shared" ref="Y4:Y21" si="9">((K4+I4+(LOG(J4)*4/3))*0.866)+((L4+I4+(LOG(J4)*4/3))*0.425)</f>
        <v>17.016480545829783</v>
      </c>
      <c r="Z4" s="159">
        <f t="shared" ref="Z4:Z21" si="10">X4</f>
        <v>11.501016561974749</v>
      </c>
      <c r="AA4" s="159">
        <f t="shared" ref="AA4:AA21" si="11">((L4+I4+(LOG(J4)*4/3))*0.516)</f>
        <v>6.9795776929885109</v>
      </c>
      <c r="AB4" s="159">
        <f t="shared" ref="AB4:AB21" si="12">(L4+I4+(LOG(J4)*4/3))*1</f>
        <v>13.526313358504865</v>
      </c>
      <c r="AC4" s="159">
        <f t="shared" ref="AC4:AC21" si="13">AA4/2</f>
        <v>3.4897888464942555</v>
      </c>
      <c r="AD4" s="159">
        <f t="shared" ref="AD4:AD21" si="14">(M4+I4+(LOG(J4)*4/3))*0.238</f>
        <v>1.5949125793241581</v>
      </c>
      <c r="AE4" s="159">
        <f t="shared" ref="AE4:AE21" si="15">((L4+I4+(LOG(J4)*4/3))*0.378)</f>
        <v>5.1129464495148387</v>
      </c>
      <c r="AF4" s="159">
        <f t="shared" ref="AF4:AF21" si="16">(L4+I4+(LOG(J4)*4/3))*0.723</f>
        <v>9.7795245581990162</v>
      </c>
      <c r="AG4" s="159">
        <f t="shared" ref="AG4:AG21" si="17">AE4/2</f>
        <v>2.5564732247574193</v>
      </c>
      <c r="AH4" s="159">
        <f t="shared" ref="AH4:AH21" si="18">(M4+I4+(LOG(J4)*4/3))*0.385</f>
        <v>2.5800056430243736</v>
      </c>
      <c r="AI4" s="159">
        <f t="shared" ref="AI4:AI21" si="19">((L4+I4+(LOG(J4)*4/3))*0.92)</f>
        <v>12.444208289824477</v>
      </c>
      <c r="AJ4" s="159">
        <f t="shared" ref="AJ4:AJ21" si="20">(L4+I4+(LOG(J4)*4/3))*0.414</f>
        <v>5.5998937304210141</v>
      </c>
      <c r="AK4" s="159">
        <f t="shared" ref="AK4:AK21" si="21">((M4+I4+(LOG(J4)*4/3))*0.167)</f>
        <v>1.1191193308703127</v>
      </c>
      <c r="AL4" s="159">
        <f t="shared" ref="AL4:AL21" si="22">(N4+I4+(LOG(J4)*4/3))*0.588</f>
        <v>4.5048522548008609</v>
      </c>
      <c r="AM4" s="159">
        <f t="shared" ref="AM4:AM21" si="23">((L4+I4+(LOG(J4)*4/3))*0.754)</f>
        <v>10.198840272312669</v>
      </c>
      <c r="AN4" s="159">
        <f t="shared" ref="AN4:AN21" si="24">((L4+I4+(LOG(J4)*4/3))*0.708)</f>
        <v>9.5766298578214446</v>
      </c>
      <c r="AO4" s="159">
        <f t="shared" ref="AO4:AO21" si="25">((Q4+I4+(LOG(J4)*4/3))*0.167)</f>
        <v>3.0878637753147569</v>
      </c>
      <c r="AP4" s="159">
        <f t="shared" ref="AP4:AP21" si="26">((R4+I4+(LOG(J4)*4/3))*0.288)</f>
        <v>1.7094782472494015</v>
      </c>
      <c r="AQ4" s="159">
        <f t="shared" ref="AQ4:AQ21" si="27">((L4+I4+(LOG(J4)*4/3))*0.27)</f>
        <v>3.6521046067963137</v>
      </c>
      <c r="AR4" s="159">
        <f t="shared" ref="AR4:AR21" si="28">((L4+I4+(LOG(J4)*4/3))*0.594)</f>
        <v>8.0346301349518896</v>
      </c>
      <c r="AS4" s="159">
        <f t="shared" ref="AS4:AS21" si="29">AQ4/2</f>
        <v>1.8260523033981568</v>
      </c>
      <c r="AT4" s="159">
        <f t="shared" ref="AT4:AT21" si="30">((M4+I4+(LOG(J4)*4/3))*0.944)</f>
        <v>6.3260398104285933</v>
      </c>
      <c r="AU4" s="159">
        <f t="shared" ref="AU4:AU21" si="31">((O4+I4+(LOG(J4)*4/3))*0.13)</f>
        <v>1.1311707366056325</v>
      </c>
      <c r="AV4" s="159">
        <f t="shared" ref="AV4:AV21" si="32">((P4+I4+(LOG(J4)*4/3))*0.173)+((O4+I4+(LOG(J4)*4/3))*0.12)</f>
        <v>2.2034848140419259</v>
      </c>
      <c r="AW4" s="159">
        <f t="shared" ref="AW4:AW21" si="33">AU4/2</f>
        <v>0.56558536830281625</v>
      </c>
      <c r="AX4" s="159">
        <f t="shared" ref="AX4:AX21" si="34">((L4+I4+(LOG(J4)*4/3))*0.189)</f>
        <v>2.5564732247574193</v>
      </c>
      <c r="AY4" s="159">
        <f t="shared" ref="AY4:AY21" si="35">((L4+I4+(LOG(J4)*4/3))*0.4)</f>
        <v>5.4105253434019467</v>
      </c>
      <c r="AZ4" s="159">
        <f t="shared" ref="AZ4:AZ21" si="36">AX4/2</f>
        <v>1.2782366123787097</v>
      </c>
      <c r="BA4" s="159">
        <f t="shared" ref="BA4:BA21" si="37">((M4+I4+(LOG(J4)*4/3))*1)</f>
        <v>6.7013133585048665</v>
      </c>
      <c r="BB4" s="159">
        <f t="shared" ref="BB4:BB21" si="38">((O4+I4+(LOG(J4)*4/3))*0.253)</f>
        <v>2.2014322797017312</v>
      </c>
      <c r="BC4" s="159">
        <f t="shared" ref="BC4:BC21" si="39">((P4+I4+(LOG(J4)*4/3))*0.21)+((O4+I4+(LOG(J4)*4/3))*0.341)</f>
        <v>4.3744236605361815</v>
      </c>
      <c r="BD4" s="159">
        <f t="shared" ref="BD4:BD21" si="40">BB4/2</f>
        <v>1.1007161398508656</v>
      </c>
      <c r="BE4" s="159">
        <f t="shared" ref="BE4:BE21" si="41">((L4+I4+(LOG(J4)*4/3))*0.291)</f>
        <v>3.9361571873249153</v>
      </c>
      <c r="BF4" s="159">
        <f t="shared" ref="BF4:BF21" si="42">((L4+I4+(LOG(J4)*4/3))*0.348)</f>
        <v>4.7071570487596928</v>
      </c>
      <c r="BG4" s="159">
        <f t="shared" ref="BG4:BG21" si="43">((M4+I4+(LOG(J4)*4/3))*0.881)</f>
        <v>5.9038570688427878</v>
      </c>
      <c r="BH4" s="159">
        <f t="shared" ref="BH4:BH21" si="44">((N4+I4+(LOG(J4)*4/3))*0.574)+((O4+I4+(LOG(J4)*4/3))*0.315)</f>
        <v>7.1385075757108254</v>
      </c>
      <c r="BI4" s="159">
        <f t="shared" ref="BI4:BI21" si="45">((O4+I4+(LOG(J4)*4/3))*0.241)</f>
        <v>2.0970165193996726</v>
      </c>
      <c r="BJ4" s="159">
        <f t="shared" ref="BJ4:BJ21" si="46">((L4+I4+(LOG(J4)*4/3))*0.485)</f>
        <v>6.5602619788748591</v>
      </c>
      <c r="BK4" s="159">
        <f t="shared" ref="BK4:BK21" si="47">((L4+I4+(LOG(J4)*4/3))*0.264)</f>
        <v>3.5709467266452846</v>
      </c>
      <c r="BL4" s="159">
        <f t="shared" ref="BL4:BL21" si="48">((M4+I4+(LOG(J4)*4/3))*0.381)</f>
        <v>2.5532003895903541</v>
      </c>
      <c r="BM4" s="159">
        <f t="shared" ref="BM4:BM21" si="49">((N4+I4+(LOG(J4)*4/3))*0.673)+((O4+I4+(LOG(J4)*4/3))*0.201)</f>
        <v>6.9050278753332535</v>
      </c>
      <c r="BN4" s="159">
        <f t="shared" ref="BN4:BN21" si="50">((O4+I4+(LOG(J4)*4/3))*0.052)</f>
        <v>0.45246829464225297</v>
      </c>
      <c r="BO4" s="159">
        <f t="shared" ref="BO4:BO21" si="51">((L4+I4+(LOG(J4)*4/3))*0.18)</f>
        <v>2.4347364045308755</v>
      </c>
      <c r="BP4" s="159">
        <f t="shared" ref="BP4:BP21" si="52">(L4+I4+(LOG(J4)*4/3))*0.068</f>
        <v>0.91978930837833084</v>
      </c>
      <c r="BQ4" s="159">
        <f t="shared" ref="BQ4:BQ21" si="53">((M4+I4+(LOG(J4)*4/3))*0.305)</f>
        <v>2.0439005743439842</v>
      </c>
      <c r="BR4" s="159">
        <f t="shared" ref="BR4:BR21" si="54">((N4+I4+(LOG(J4)*4/3))*1)+((O4+I4+(LOG(J4)*4/3))*0.286)</f>
        <v>10.149888979037257</v>
      </c>
      <c r="BS4" s="159">
        <f t="shared" ref="BS4:BS21" si="55">((O4+I4+(LOG(J4)*4/3))*0.135)</f>
        <v>1.174677303398157</v>
      </c>
      <c r="BT4" s="159">
        <f t="shared" ref="BT4:BT21" si="56">((L4+I4+(LOG(J4)*4/3))*0.284)</f>
        <v>3.8414729938153811</v>
      </c>
      <c r="BU4" s="159">
        <f t="shared" ref="BU4:BU21" si="57">(L4+I4+(LOG(J4)*4/3))*0.244</f>
        <v>3.3004204594751871</v>
      </c>
      <c r="BV4" s="159">
        <f t="shared" ref="BV4:BV21" si="58">((M4+I4+(LOG(J4)*4/3))*0.455)</f>
        <v>3.0490975781197145</v>
      </c>
      <c r="BW4" s="159">
        <f t="shared" ref="BW4:BW21" si="59">((N4+I4+(LOG(J4)*4/3))*0.864)+((O4+I4+(LOG(J4)*4/3))*0.244)</f>
        <v>8.7424952012233916</v>
      </c>
      <c r="BX4" s="159">
        <f t="shared" ref="BX4:BX21" si="60">((O4+I4+(LOG(J4)*4/3))*0.121)</f>
        <v>1.0528589163790887</v>
      </c>
      <c r="BY4" s="159">
        <f t="shared" ref="BY4:BY21" si="61">((L4+I4+(LOG(J4)*4/3))*0.284)</f>
        <v>3.8414729938153811</v>
      </c>
      <c r="BZ4" s="159">
        <f t="shared" ref="BZ4:BZ21" si="62">((L4+I4+(LOG(J4)*4/3))*0.244)</f>
        <v>3.3004204594751871</v>
      </c>
      <c r="CA4" s="159">
        <f t="shared" ref="CA4:CA21" si="63">((M4+I4+(LOG(J4)*4/3))*0.631)</f>
        <v>4.2285287292165705</v>
      </c>
      <c r="CB4" s="159">
        <f t="shared" ref="CB4:CB21" si="64">((N4+I4+(LOG(J4)*4/3))*0.702)+((O4+I4+(LOG(J4)*4/3))*0.193)</f>
        <v>7.057595455861855</v>
      </c>
      <c r="CC4" s="159">
        <f t="shared" ref="CC4:CC21" si="65">((O4+I4+(LOG(J4)*4/3))*0.148)</f>
        <v>1.2877943770587201</v>
      </c>
      <c r="CD4" s="159">
        <f t="shared" ref="CD4:CD21" si="66">((M4+I4+(LOG(J4)*4/3))*0.406)</f>
        <v>2.7207332235529762</v>
      </c>
      <c r="CE4" s="159">
        <f t="shared" ref="CE4:CE21" si="67">IF(D4="TEC",((N4+I4+(LOG(J4)*4/3))*0.15)+((O4+I4+(LOG(J4)*4/3))*0.324)+((P4+I4+(LOG(J4)*4/3))*0.127),(((N4+I4+(LOG(J4)*4/3))*0.144)+((O4+I4+(LOG(J4)*4/3))*0.25)+((P4+I4+(LOG(J4)*4/3))*0.127)))</f>
        <v>4.1296242597810346</v>
      </c>
      <c r="CF4" s="159">
        <f t="shared" ref="CF4:CF21" si="68">((O4+I4+(LOG(J4)*4/3))*0.543)+((P4+I4+(LOG(J4)*4/3))*0.583)</f>
        <v>8.6316788416764787</v>
      </c>
      <c r="CG4" s="159">
        <f t="shared" ref="CG4:CG21" si="69">CE4</f>
        <v>4.1296242597810346</v>
      </c>
      <c r="CH4" s="159">
        <f t="shared" ref="CH4:CH21" si="70">((P4+1+(LOG(J4)*4/3))*0.26)+((N4+I4+(LOG(J4)*4/3))*0.221)+((O4+I4+(LOG(J4)*4/3))*0.142)</f>
        <v>4.5410782223485313</v>
      </c>
      <c r="CI4" s="159">
        <f t="shared" ref="CI4:CI21" si="71">((P4+I4+(LOG(J4)*4/3))*1)+((O4+I4+(LOG(J4)*4/3))*0.369)</f>
        <v>9.9120979877931621</v>
      </c>
      <c r="CJ4" s="159">
        <f t="shared" ref="CJ4:CJ21" si="72">CH4</f>
        <v>4.5410782223485313</v>
      </c>
      <c r="CK4" s="159">
        <f t="shared" ref="CK4:CK21" si="73">((M4+I4+(LOG(J4)*4/3))*0.25)</f>
        <v>1.6753283396262166</v>
      </c>
    </row>
    <row r="5" spans="1:89" x14ac:dyDescent="0.25">
      <c r="A5" t="str">
        <f>PLANTILLA!D8</f>
        <v>D. Toh</v>
      </c>
      <c r="B5" s="487">
        <f>PLANTILLA!E8</f>
        <v>32</v>
      </c>
      <c r="C5" s="487">
        <f ca="1">PLANTILLA!F8</f>
        <v>54</v>
      </c>
      <c r="D5" s="487" t="str">
        <f>PLANTILLA!G8</f>
        <v>CAB</v>
      </c>
      <c r="E5" s="290">
        <v>41519</v>
      </c>
      <c r="F5" s="341">
        <f>PLANTILLA!Q8</f>
        <v>2</v>
      </c>
      <c r="G5" s="406">
        <f t="shared" si="0"/>
        <v>0.53452248382484879</v>
      </c>
      <c r="H5" s="406">
        <f t="shared" si="1"/>
        <v>0.65356167049702141</v>
      </c>
      <c r="I5" s="496">
        <v>1.5</v>
      </c>
      <c r="J5" s="497">
        <f>PLANTILLA!I8</f>
        <v>7.9</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13.562218940113608</v>
      </c>
      <c r="T5" s="163">
        <f t="shared" si="4"/>
        <v>0.66729999999999978</v>
      </c>
      <c r="U5" s="163">
        <f t="shared" si="5"/>
        <v>0.91072666666666657</v>
      </c>
      <c r="V5" s="163">
        <f t="shared" ca="1" si="6"/>
        <v>9.5062759954257956</v>
      </c>
      <c r="W5" s="163">
        <f t="shared" ca="1" si="7"/>
        <v>11.623341969300697</v>
      </c>
      <c r="X5" s="159">
        <f t="shared" si="8"/>
        <v>5.4116819342620746</v>
      </c>
      <c r="Y5" s="159">
        <f t="shared" si="9"/>
        <v>8.1894820998079467</v>
      </c>
      <c r="Z5" s="159">
        <f t="shared" si="10"/>
        <v>5.4116819342620746</v>
      </c>
      <c r="AA5" s="159">
        <f t="shared" si="11"/>
        <v>7.1074714388078242</v>
      </c>
      <c r="AB5" s="159">
        <f t="shared" si="12"/>
        <v>13.774169455053922</v>
      </c>
      <c r="AC5" s="159">
        <f t="shared" si="13"/>
        <v>3.5537357194039121</v>
      </c>
      <c r="AD5" s="159">
        <f t="shared" si="14"/>
        <v>2.122074774747277</v>
      </c>
      <c r="AE5" s="159">
        <f t="shared" si="15"/>
        <v>5.2066360540103824</v>
      </c>
      <c r="AF5" s="159">
        <f t="shared" si="16"/>
        <v>9.9587245160039846</v>
      </c>
      <c r="AG5" s="159">
        <f t="shared" si="17"/>
        <v>2.6033180270051912</v>
      </c>
      <c r="AH5" s="159">
        <f t="shared" si="18"/>
        <v>3.4327680179735367</v>
      </c>
      <c r="AI5" s="159">
        <f t="shared" si="19"/>
        <v>12.672235898649609</v>
      </c>
      <c r="AJ5" s="159">
        <f t="shared" si="20"/>
        <v>5.7025061543923234</v>
      </c>
      <c r="AK5" s="159">
        <f t="shared" si="21"/>
        <v>1.4890188545495602</v>
      </c>
      <c r="AL5" s="159">
        <f t="shared" si="22"/>
        <v>5.1725396395717054</v>
      </c>
      <c r="AM5" s="159">
        <f t="shared" si="23"/>
        <v>10.385723769110657</v>
      </c>
      <c r="AN5" s="159">
        <f t="shared" si="24"/>
        <v>9.7521119741781757</v>
      </c>
      <c r="AO5" s="159">
        <f t="shared" si="25"/>
        <v>3.0535305212162269</v>
      </c>
      <c r="AP5" s="159">
        <f t="shared" si="26"/>
        <v>1.8395128030555294</v>
      </c>
      <c r="AQ5" s="159">
        <f t="shared" si="27"/>
        <v>3.7190257528645594</v>
      </c>
      <c r="AR5" s="159">
        <f t="shared" si="28"/>
        <v>8.1818566563020294</v>
      </c>
      <c r="AS5" s="159">
        <f t="shared" si="29"/>
        <v>1.8595128764322797</v>
      </c>
      <c r="AT5" s="159">
        <f t="shared" si="30"/>
        <v>8.4169688544597872</v>
      </c>
      <c r="AU5" s="159">
        <f t="shared" si="31"/>
        <v>1.3545498069347879</v>
      </c>
      <c r="AV5" s="159">
        <f t="shared" si="32"/>
        <v>2.4077529836641323</v>
      </c>
      <c r="AW5" s="159">
        <f t="shared" si="33"/>
        <v>0.67727490346739394</v>
      </c>
      <c r="AX5" s="159">
        <f t="shared" si="34"/>
        <v>2.6033180270051912</v>
      </c>
      <c r="AY5" s="159">
        <f t="shared" si="35"/>
        <v>5.5096677820215696</v>
      </c>
      <c r="AZ5" s="159">
        <f t="shared" si="36"/>
        <v>1.3016590135025956</v>
      </c>
      <c r="BA5" s="159">
        <f t="shared" si="37"/>
        <v>8.91628056616503</v>
      </c>
      <c r="BB5" s="159">
        <f t="shared" si="38"/>
        <v>2.636162316573087</v>
      </c>
      <c r="BC5" s="159">
        <f t="shared" si="39"/>
        <v>4.9580239252902665</v>
      </c>
      <c r="BD5" s="159">
        <f t="shared" si="40"/>
        <v>1.3180811582865435</v>
      </c>
      <c r="BE5" s="159">
        <f t="shared" si="41"/>
        <v>4.0082833114206915</v>
      </c>
      <c r="BF5" s="159">
        <f t="shared" si="42"/>
        <v>4.7934109703587646</v>
      </c>
      <c r="BG5" s="159">
        <f t="shared" si="43"/>
        <v>7.8552431787913912</v>
      </c>
      <c r="BH5" s="159">
        <f t="shared" si="44"/>
        <v>8.3315623122096039</v>
      </c>
      <c r="BI5" s="159">
        <f t="shared" si="45"/>
        <v>2.5111269497791064</v>
      </c>
      <c r="BJ5" s="159">
        <f t="shared" si="46"/>
        <v>6.6804721857011522</v>
      </c>
      <c r="BK5" s="159">
        <f t="shared" si="47"/>
        <v>3.6363807361342357</v>
      </c>
      <c r="BL5" s="159">
        <f t="shared" si="48"/>
        <v>3.3971028957088762</v>
      </c>
      <c r="BM5" s="159">
        <f t="shared" si="49"/>
        <v>8.014613103717128</v>
      </c>
      <c r="BN5" s="159">
        <f t="shared" si="50"/>
        <v>0.54181992277391511</v>
      </c>
      <c r="BO5" s="159">
        <f t="shared" si="51"/>
        <v>2.479350501909706</v>
      </c>
      <c r="BP5" s="159">
        <f t="shared" si="52"/>
        <v>0.93664352294366682</v>
      </c>
      <c r="BQ5" s="159">
        <f t="shared" si="53"/>
        <v>2.7194655726803343</v>
      </c>
      <c r="BR5" s="159">
        <f t="shared" si="54"/>
        <v>11.776845696977121</v>
      </c>
      <c r="BS5" s="159">
        <f t="shared" si="55"/>
        <v>1.4066478764322796</v>
      </c>
      <c r="BT5" s="159">
        <f t="shared" si="56"/>
        <v>3.9118641252353137</v>
      </c>
      <c r="BU5" s="159">
        <f t="shared" si="57"/>
        <v>3.3608973470331569</v>
      </c>
      <c r="BV5" s="159">
        <f t="shared" si="58"/>
        <v>4.0569076576050884</v>
      </c>
      <c r="BW5" s="159">
        <f t="shared" si="59"/>
        <v>10.142852200644189</v>
      </c>
      <c r="BX5" s="159">
        <f t="shared" si="60"/>
        <v>1.2607732818393025</v>
      </c>
      <c r="BY5" s="159">
        <f t="shared" si="61"/>
        <v>3.9118641252353137</v>
      </c>
      <c r="BZ5" s="159">
        <f t="shared" si="62"/>
        <v>3.3608973470331569</v>
      </c>
      <c r="CA5" s="159">
        <f t="shared" si="63"/>
        <v>5.6261730372501342</v>
      </c>
      <c r="CB5" s="159">
        <f t="shared" si="64"/>
        <v>8.1863644400510367</v>
      </c>
      <c r="CC5" s="159">
        <f t="shared" si="65"/>
        <v>1.5421028571257582</v>
      </c>
      <c r="CD5" s="159">
        <f t="shared" si="66"/>
        <v>3.6200099098630023</v>
      </c>
      <c r="CE5" s="159">
        <f t="shared" si="67"/>
        <v>4.7212993971942039</v>
      </c>
      <c r="CF5" s="159">
        <f t="shared" si="68"/>
        <v>9.5582191397240486</v>
      </c>
      <c r="CG5" s="159">
        <f t="shared" si="69"/>
        <v>4.7212993971942039</v>
      </c>
      <c r="CH5" s="159">
        <f t="shared" si="70"/>
        <v>5.0331300149430369</v>
      </c>
      <c r="CI5" s="159">
        <f t="shared" si="71"/>
        <v>10.535006983968819</v>
      </c>
      <c r="CJ5" s="159">
        <f t="shared" si="72"/>
        <v>5.0331300149430369</v>
      </c>
      <c r="CK5" s="159">
        <f t="shared" si="73"/>
        <v>2.2290701415412575</v>
      </c>
    </row>
    <row r="6" spans="1:89" x14ac:dyDescent="0.25">
      <c r="A6" t="str">
        <f>PLANTILLA!D9</f>
        <v>E. Toney</v>
      </c>
      <c r="B6" s="487">
        <f>PLANTILLA!E9</f>
        <v>32</v>
      </c>
      <c r="C6" s="487">
        <f ca="1">PLANTILLA!F9</f>
        <v>8</v>
      </c>
      <c r="D6" s="487"/>
      <c r="E6" s="290">
        <v>41539</v>
      </c>
      <c r="F6" s="341">
        <f>PLANTILLA!Q9</f>
        <v>6</v>
      </c>
      <c r="G6" s="406">
        <f t="shared" ref="G6:G10" si="74">(F6/7)^0.5</f>
        <v>0.92582009977255142</v>
      </c>
      <c r="H6" s="406">
        <f>IF(F6=7,1,((F6+0.99)/7)^0.5)</f>
        <v>0.99928545900129484</v>
      </c>
      <c r="I6" s="496">
        <v>1.5</v>
      </c>
      <c r="J6" s="497">
        <f>PLANTILLA!I9</f>
        <v>13.4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17.177777777777774</v>
      </c>
      <c r="R6" s="163">
        <f t="shared" si="2"/>
        <v>4.3000000000000007</v>
      </c>
      <c r="S6" s="163">
        <f t="shared" si="3"/>
        <v>14.595546583626076</v>
      </c>
      <c r="T6" s="163">
        <f t="shared" si="4"/>
        <v>0.69941666666666646</v>
      </c>
      <c r="U6" s="163">
        <f t="shared" si="5"/>
        <v>1.0033333333333334</v>
      </c>
      <c r="V6" s="163">
        <f t="shared" ca="1" si="6"/>
        <v>18.220680405033789</v>
      </c>
      <c r="W6" s="163">
        <f t="shared" ca="1" si="7"/>
        <v>19.666521591325584</v>
      </c>
      <c r="X6" s="159">
        <f t="shared" si="8"/>
        <v>5.9886499852966377</v>
      </c>
      <c r="Y6" s="159">
        <f t="shared" si="9"/>
        <v>9.0616230595852905</v>
      </c>
      <c r="Z6" s="159">
        <f t="shared" si="10"/>
        <v>5.9886499852966377</v>
      </c>
      <c r="AA6" s="159">
        <f t="shared" si="11"/>
        <v>7.8446481012749896</v>
      </c>
      <c r="AB6" s="159">
        <f t="shared" si="12"/>
        <v>15.202806397819748</v>
      </c>
      <c r="AC6" s="159">
        <f t="shared" si="13"/>
        <v>3.9223240506374948</v>
      </c>
      <c r="AD6" s="159">
        <f t="shared" si="14"/>
        <v>3.8709181449033201</v>
      </c>
      <c r="AE6" s="159">
        <f t="shared" si="15"/>
        <v>5.7466608183758643</v>
      </c>
      <c r="AF6" s="159">
        <f t="shared" si="16"/>
        <v>10.991629025623677</v>
      </c>
      <c r="AG6" s="159">
        <f t="shared" si="17"/>
        <v>2.8733304091879321</v>
      </c>
      <c r="AH6" s="159">
        <f t="shared" si="18"/>
        <v>6.2617793520494889</v>
      </c>
      <c r="AI6" s="159">
        <f t="shared" si="19"/>
        <v>13.986581885994168</v>
      </c>
      <c r="AJ6" s="159">
        <f t="shared" si="20"/>
        <v>6.293961848697375</v>
      </c>
      <c r="AK6" s="159">
        <f t="shared" si="21"/>
        <v>2.7161484462136745</v>
      </c>
      <c r="AL6" s="159">
        <f t="shared" si="22"/>
        <v>7.5721501619180112</v>
      </c>
      <c r="AM6" s="159">
        <f t="shared" si="23"/>
        <v>11.46291602395609</v>
      </c>
      <c r="AN6" s="159">
        <f t="shared" si="24"/>
        <v>10.76358692965638</v>
      </c>
      <c r="AO6" s="159">
        <f t="shared" si="25"/>
        <v>3.3701575573247853</v>
      </c>
      <c r="AP6" s="159">
        <f t="shared" si="26"/>
        <v>2.1032082425720864</v>
      </c>
      <c r="AQ6" s="159">
        <f t="shared" si="27"/>
        <v>4.1047577274113323</v>
      </c>
      <c r="AR6" s="159">
        <f t="shared" si="28"/>
        <v>9.0304670003049292</v>
      </c>
      <c r="AS6" s="159">
        <f t="shared" si="29"/>
        <v>2.0523788637056661</v>
      </c>
      <c r="AT6" s="159">
        <f t="shared" si="30"/>
        <v>15.35355768398628</v>
      </c>
      <c r="AU6" s="159">
        <f t="shared" si="31"/>
        <v>1.6383648317165667</v>
      </c>
      <c r="AV6" s="159">
        <f t="shared" si="32"/>
        <v>2.668750607894518</v>
      </c>
      <c r="AW6" s="159">
        <f t="shared" si="33"/>
        <v>0.81918241585828333</v>
      </c>
      <c r="AX6" s="159">
        <f t="shared" si="34"/>
        <v>2.8733304091879321</v>
      </c>
      <c r="AY6" s="159">
        <f t="shared" si="35"/>
        <v>6.0811225591278992</v>
      </c>
      <c r="AZ6" s="159">
        <f t="shared" si="36"/>
        <v>1.4366652045939661</v>
      </c>
      <c r="BA6" s="159">
        <f t="shared" si="37"/>
        <v>16.264361953375296</v>
      </c>
      <c r="BB6" s="159">
        <f t="shared" si="38"/>
        <v>3.1885100186483948</v>
      </c>
      <c r="BC6" s="159">
        <f t="shared" si="39"/>
        <v>5.7012963251986779</v>
      </c>
      <c r="BD6" s="159">
        <f t="shared" si="40"/>
        <v>1.5942550093241974</v>
      </c>
      <c r="BE6" s="159">
        <f t="shared" si="41"/>
        <v>4.4240166617655463</v>
      </c>
      <c r="BF6" s="159">
        <f t="shared" si="42"/>
        <v>5.2905766264412719</v>
      </c>
      <c r="BG6" s="159">
        <f t="shared" si="43"/>
        <v>14.328902880923636</v>
      </c>
      <c r="BH6" s="159">
        <f t="shared" si="44"/>
        <v>11.361744887661754</v>
      </c>
      <c r="BI6" s="159">
        <f t="shared" si="45"/>
        <v>3.0372763418745579</v>
      </c>
      <c r="BJ6" s="159">
        <f t="shared" si="46"/>
        <v>7.3733611029425772</v>
      </c>
      <c r="BK6" s="159">
        <f t="shared" si="47"/>
        <v>4.013540889024414</v>
      </c>
      <c r="BL6" s="159">
        <f t="shared" si="48"/>
        <v>6.1967219042359876</v>
      </c>
      <c r="BM6" s="159">
        <f t="shared" si="49"/>
        <v>11.19992779169446</v>
      </c>
      <c r="BN6" s="159">
        <f t="shared" si="50"/>
        <v>0.65534593268662655</v>
      </c>
      <c r="BO6" s="159">
        <f t="shared" si="51"/>
        <v>2.7365051516075543</v>
      </c>
      <c r="BP6" s="159">
        <f t="shared" si="52"/>
        <v>1.0337908350517429</v>
      </c>
      <c r="BQ6" s="159">
        <f t="shared" si="53"/>
        <v>4.9606303957794653</v>
      </c>
      <c r="BR6" s="159">
        <f t="shared" si="54"/>
        <v>16.482209027596195</v>
      </c>
      <c r="BS6" s="159">
        <f t="shared" si="55"/>
        <v>1.7013788637056653</v>
      </c>
      <c r="BT6" s="159">
        <f t="shared" si="56"/>
        <v>4.317597016980808</v>
      </c>
      <c r="BU6" s="159">
        <f t="shared" si="57"/>
        <v>3.7094847610680182</v>
      </c>
      <c r="BV6" s="159">
        <f t="shared" si="58"/>
        <v>7.4002846887857601</v>
      </c>
      <c r="BW6" s="159">
        <f t="shared" si="59"/>
        <v>14.201509488784279</v>
      </c>
      <c r="BX6" s="159">
        <f t="shared" si="60"/>
        <v>1.5249395741361889</v>
      </c>
      <c r="BY6" s="159">
        <f t="shared" si="61"/>
        <v>4.317597016980808</v>
      </c>
      <c r="BZ6" s="159">
        <f t="shared" si="62"/>
        <v>3.7094847610680182</v>
      </c>
      <c r="CA6" s="159">
        <f t="shared" si="63"/>
        <v>10.262812392579812</v>
      </c>
      <c r="CB6" s="159">
        <f t="shared" si="64"/>
        <v>11.472561726048674</v>
      </c>
      <c r="CC6" s="159">
        <f t="shared" si="65"/>
        <v>1.8652153468773218</v>
      </c>
      <c r="CD6" s="159">
        <f t="shared" si="66"/>
        <v>6.6033309530703708</v>
      </c>
      <c r="CE6" s="159">
        <f t="shared" si="67"/>
        <v>5.854033799930753</v>
      </c>
      <c r="CF6" s="159">
        <f t="shared" si="68"/>
        <v>10.740371670611697</v>
      </c>
      <c r="CG6" s="159">
        <f t="shared" si="69"/>
        <v>5.854033799930753</v>
      </c>
      <c r="CH6" s="159">
        <f t="shared" si="70"/>
        <v>6.2435567191750341</v>
      </c>
      <c r="CI6" s="159">
        <f t="shared" si="71"/>
        <v>11.334908625281894</v>
      </c>
      <c r="CJ6" s="159">
        <f t="shared" si="72"/>
        <v>6.2435567191750341</v>
      </c>
      <c r="CK6" s="159">
        <f t="shared" si="73"/>
        <v>4.066090488343824</v>
      </c>
    </row>
    <row r="7" spans="1:89" x14ac:dyDescent="0.25">
      <c r="A7" t="str">
        <f>PLANTILLA!D10</f>
        <v>B. Bartolache</v>
      </c>
      <c r="B7" s="487">
        <f>PLANTILLA!E10</f>
        <v>31</v>
      </c>
      <c r="C7" s="487">
        <f ca="1">PLANTILLA!F10</f>
        <v>105</v>
      </c>
      <c r="D7" s="487"/>
      <c r="E7" s="290">
        <v>41527</v>
      </c>
      <c r="F7" s="341">
        <f>PLANTILLA!Q10</f>
        <v>7</v>
      </c>
      <c r="G7" s="406">
        <f t="shared" si="74"/>
        <v>1</v>
      </c>
      <c r="H7" s="406">
        <f t="shared" ref="H7:H21" si="75">IF(F7=7,1,((F7+0.99)/7)^0.5)</f>
        <v>1</v>
      </c>
      <c r="I7" s="496">
        <v>1.5</v>
      </c>
      <c r="J7" s="497">
        <f>PLANTILLA!I10</f>
        <v>9.9</v>
      </c>
      <c r="K7" s="163">
        <f>PLANTILLA!X10</f>
        <v>0</v>
      </c>
      <c r="L7" s="163">
        <f>PLANTILLA!Y10</f>
        <v>11.95</v>
      </c>
      <c r="M7" s="163">
        <f>PLANTILLA!Z10</f>
        <v>7.0225000000000017</v>
      </c>
      <c r="N7" s="163">
        <f>PLANTILLA!AA10</f>
        <v>7.5000000000000018</v>
      </c>
      <c r="O7" s="163">
        <f>PLANTILLA!AB10</f>
        <v>8.99</v>
      </c>
      <c r="P7" s="163">
        <f>PLANTILLA!AC10</f>
        <v>4.6199999999999966</v>
      </c>
      <c r="Q7" s="163">
        <f>PLANTILLA!AD10</f>
        <v>16</v>
      </c>
      <c r="R7" s="163">
        <f t="shared" si="2"/>
        <v>4.11625</v>
      </c>
      <c r="S7" s="163">
        <f t="shared" si="3"/>
        <v>15.118005040080776</v>
      </c>
      <c r="T7" s="163">
        <f t="shared" si="4"/>
        <v>0.71099999999999974</v>
      </c>
      <c r="U7" s="163">
        <f t="shared" si="5"/>
        <v>0.95799999999999996</v>
      </c>
      <c r="V7" s="163">
        <f t="shared" ca="1" si="6"/>
        <v>18.327513592796734</v>
      </c>
      <c r="W7" s="163">
        <f t="shared" ca="1" si="7"/>
        <v>18.327513592796734</v>
      </c>
      <c r="X7" s="159">
        <f t="shared" si="8"/>
        <v>5.7666193665115486</v>
      </c>
      <c r="Y7" s="159">
        <f t="shared" si="9"/>
        <v>8.7290700483005814</v>
      </c>
      <c r="Z7" s="159">
        <f t="shared" si="10"/>
        <v>5.7666193665115486</v>
      </c>
      <c r="AA7" s="159">
        <f t="shared" si="11"/>
        <v>7.6251970138831142</v>
      </c>
      <c r="AB7" s="159">
        <f t="shared" si="12"/>
        <v>14.777513592796733</v>
      </c>
      <c r="AC7" s="159">
        <f t="shared" si="13"/>
        <v>3.8125985069415571</v>
      </c>
      <c r="AD7" s="159">
        <f t="shared" si="14"/>
        <v>2.344303235085623</v>
      </c>
      <c r="AE7" s="159">
        <f t="shared" si="15"/>
        <v>5.5859001380771653</v>
      </c>
      <c r="AF7" s="159">
        <f t="shared" si="16"/>
        <v>10.684142327592038</v>
      </c>
      <c r="AG7" s="159">
        <f t="shared" si="17"/>
        <v>2.7929500690385827</v>
      </c>
      <c r="AH7" s="159">
        <f t="shared" si="18"/>
        <v>3.7922552332267432</v>
      </c>
      <c r="AI7" s="159">
        <f t="shared" si="19"/>
        <v>13.595312505372995</v>
      </c>
      <c r="AJ7" s="159">
        <f t="shared" si="20"/>
        <v>6.1178906274178475</v>
      </c>
      <c r="AK7" s="159">
        <f t="shared" si="21"/>
        <v>1.6449522699970549</v>
      </c>
      <c r="AL7" s="159">
        <f t="shared" si="22"/>
        <v>6.0725779925644794</v>
      </c>
      <c r="AM7" s="159">
        <f t="shared" si="23"/>
        <v>11.142245248968736</v>
      </c>
      <c r="AN7" s="159">
        <f t="shared" si="24"/>
        <v>10.462479623700087</v>
      </c>
      <c r="AO7" s="159">
        <f t="shared" si="25"/>
        <v>3.1441947699970547</v>
      </c>
      <c r="AP7" s="159">
        <f t="shared" si="26"/>
        <v>1.9998039147254589</v>
      </c>
      <c r="AQ7" s="159">
        <f t="shared" si="27"/>
        <v>3.9899286700551184</v>
      </c>
      <c r="AR7" s="159">
        <f t="shared" si="28"/>
        <v>8.7778430741212592</v>
      </c>
      <c r="AS7" s="159">
        <f t="shared" si="29"/>
        <v>1.9949643350275592</v>
      </c>
      <c r="AT7" s="159">
        <f t="shared" si="30"/>
        <v>9.2984128316001176</v>
      </c>
      <c r="AU7" s="159">
        <f t="shared" si="31"/>
        <v>1.5362767670635753</v>
      </c>
      <c r="AV7" s="159">
        <f t="shared" si="32"/>
        <v>2.7065214826894417</v>
      </c>
      <c r="AW7" s="159">
        <f t="shared" si="33"/>
        <v>0.76813838353178765</v>
      </c>
      <c r="AX7" s="159">
        <f t="shared" si="34"/>
        <v>2.7929500690385827</v>
      </c>
      <c r="AY7" s="159">
        <f t="shared" si="35"/>
        <v>5.9110054371186935</v>
      </c>
      <c r="AZ7" s="159">
        <f t="shared" si="36"/>
        <v>1.3964750345192913</v>
      </c>
      <c r="BA7" s="159">
        <f t="shared" si="37"/>
        <v>9.8500135927967349</v>
      </c>
      <c r="BB7" s="159">
        <f t="shared" si="38"/>
        <v>2.9898309389775735</v>
      </c>
      <c r="BC7" s="159">
        <f t="shared" si="39"/>
        <v>5.5937499896309992</v>
      </c>
      <c r="BD7" s="159">
        <f t="shared" si="40"/>
        <v>1.4949154694887867</v>
      </c>
      <c r="BE7" s="159">
        <f t="shared" si="41"/>
        <v>4.3002564555038489</v>
      </c>
      <c r="BF7" s="159">
        <f t="shared" si="42"/>
        <v>5.142574730293263</v>
      </c>
      <c r="BG7" s="159">
        <f t="shared" si="43"/>
        <v>8.6778619752539239</v>
      </c>
      <c r="BH7" s="159">
        <f t="shared" si="44"/>
        <v>9.6505095839962962</v>
      </c>
      <c r="BI7" s="159">
        <f t="shared" si="45"/>
        <v>2.8480207758640126</v>
      </c>
      <c r="BJ7" s="159">
        <f t="shared" si="46"/>
        <v>7.1670940925064155</v>
      </c>
      <c r="BK7" s="159">
        <f t="shared" si="47"/>
        <v>3.9012635884983378</v>
      </c>
      <c r="BL7" s="159">
        <f t="shared" si="48"/>
        <v>3.752855178855556</v>
      </c>
      <c r="BM7" s="159">
        <f t="shared" si="49"/>
        <v>9.3257368801043459</v>
      </c>
      <c r="BN7" s="159">
        <f t="shared" si="50"/>
        <v>0.61451070682543008</v>
      </c>
      <c r="BO7" s="159">
        <f t="shared" si="51"/>
        <v>2.6599524467034117</v>
      </c>
      <c r="BP7" s="159">
        <f t="shared" si="52"/>
        <v>1.0048709243101779</v>
      </c>
      <c r="BQ7" s="159">
        <f t="shared" si="53"/>
        <v>3.0042541458030039</v>
      </c>
      <c r="BR7" s="159">
        <f t="shared" si="54"/>
        <v>13.7073224803366</v>
      </c>
      <c r="BS7" s="159">
        <f t="shared" si="55"/>
        <v>1.595364335027559</v>
      </c>
      <c r="BT7" s="159">
        <f t="shared" si="56"/>
        <v>4.196813860354272</v>
      </c>
      <c r="BU7" s="159">
        <f t="shared" si="57"/>
        <v>3.6057133166424027</v>
      </c>
      <c r="BV7" s="159">
        <f t="shared" si="58"/>
        <v>4.4817561847225145</v>
      </c>
      <c r="BW7" s="159">
        <f t="shared" si="59"/>
        <v>11.806445060818781</v>
      </c>
      <c r="BX7" s="159">
        <f t="shared" si="60"/>
        <v>1.4299191447284045</v>
      </c>
      <c r="BY7" s="159">
        <f t="shared" si="61"/>
        <v>4.196813860354272</v>
      </c>
      <c r="BZ7" s="159">
        <f t="shared" si="62"/>
        <v>3.6057133166424027</v>
      </c>
      <c r="CA7" s="159">
        <f t="shared" si="63"/>
        <v>6.2153585770547402</v>
      </c>
      <c r="CB7" s="159">
        <f t="shared" si="64"/>
        <v>9.5306946655530762</v>
      </c>
      <c r="CC7" s="159">
        <f t="shared" si="65"/>
        <v>1.7489920117339164</v>
      </c>
      <c r="CD7" s="159">
        <f t="shared" si="66"/>
        <v>3.9991055186754747</v>
      </c>
      <c r="CE7" s="159">
        <f t="shared" si="67"/>
        <v>5.3873745818470971</v>
      </c>
      <c r="CF7" s="159">
        <f t="shared" si="68"/>
        <v>10.758810305489121</v>
      </c>
      <c r="CG7" s="159">
        <f t="shared" si="69"/>
        <v>5.3873745818470971</v>
      </c>
      <c r="CH7" s="159">
        <f t="shared" si="70"/>
        <v>5.7668209683123637</v>
      </c>
      <c r="CI7" s="159">
        <f t="shared" si="71"/>
        <v>11.808176108538724</v>
      </c>
      <c r="CJ7" s="159">
        <f t="shared" si="72"/>
        <v>5.7668209683123637</v>
      </c>
      <c r="CK7" s="159">
        <f t="shared" si="73"/>
        <v>2.4625033981991837</v>
      </c>
    </row>
    <row r="8" spans="1:89" x14ac:dyDescent="0.25">
      <c r="A8" t="str">
        <f>PLANTILLA!D11</f>
        <v>F. Lasprilla</v>
      </c>
      <c r="B8" s="487">
        <f>PLANTILLA!E11</f>
        <v>28</v>
      </c>
      <c r="C8" s="487">
        <f ca="1">PLANTILLA!F11</f>
        <v>16</v>
      </c>
      <c r="D8" s="487"/>
      <c r="E8" s="290">
        <v>42106</v>
      </c>
      <c r="F8" s="341">
        <f>PLANTILLA!Q11</f>
        <v>3</v>
      </c>
      <c r="G8" s="406">
        <f t="shared" si="74"/>
        <v>0.65465367070797709</v>
      </c>
      <c r="H8" s="406">
        <f t="shared" si="75"/>
        <v>0.75498344352707503</v>
      </c>
      <c r="I8" s="496">
        <v>1.5</v>
      </c>
      <c r="J8" s="497">
        <f>PLANTILLA!I11</f>
        <v>5</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10.51555939055458</v>
      </c>
      <c r="T8" s="163">
        <f t="shared" si="4"/>
        <v>0.56291666666666662</v>
      </c>
      <c r="U8" s="163">
        <f t="shared" si="5"/>
        <v>0.78426999999999991</v>
      </c>
      <c r="V8" s="163">
        <f t="shared" ca="1" si="6"/>
        <v>9.9952988013040969</v>
      </c>
      <c r="W8" s="163">
        <f t="shared" ca="1" si="7"/>
        <v>11.52714090784775</v>
      </c>
      <c r="X8" s="159">
        <f t="shared" si="8"/>
        <v>4.773989085047126</v>
      </c>
      <c r="Y8" s="159">
        <f t="shared" si="9"/>
        <v>7.2216437007970669</v>
      </c>
      <c r="Z8" s="159">
        <f t="shared" si="10"/>
        <v>4.773989085047126</v>
      </c>
      <c r="AA8" s="159">
        <f t="shared" si="11"/>
        <v>6.2108993629831808</v>
      </c>
      <c r="AB8" s="159">
        <f t="shared" si="12"/>
        <v>12.036626672448024</v>
      </c>
      <c r="AC8" s="159">
        <f t="shared" si="13"/>
        <v>3.1054496814915904</v>
      </c>
      <c r="AD8" s="159">
        <f t="shared" si="14"/>
        <v>2.425858370264852</v>
      </c>
      <c r="AE8" s="159">
        <f t="shared" si="15"/>
        <v>4.5498448821853534</v>
      </c>
      <c r="AF8" s="159">
        <f t="shared" si="16"/>
        <v>8.7024810841799205</v>
      </c>
      <c r="AG8" s="159">
        <f t="shared" si="17"/>
        <v>2.2749224410926767</v>
      </c>
      <c r="AH8" s="159">
        <f t="shared" si="18"/>
        <v>3.9241826577813783</v>
      </c>
      <c r="AI8" s="159">
        <f t="shared" si="19"/>
        <v>11.073696538652182</v>
      </c>
      <c r="AJ8" s="159">
        <f t="shared" si="20"/>
        <v>4.9831634423934821</v>
      </c>
      <c r="AK8" s="159">
        <f t="shared" si="21"/>
        <v>1.702177932076598</v>
      </c>
      <c r="AL8" s="159">
        <f t="shared" si="22"/>
        <v>5.0520724833994368</v>
      </c>
      <c r="AM8" s="159">
        <f t="shared" si="23"/>
        <v>9.0756165110258102</v>
      </c>
      <c r="AN8" s="159">
        <f t="shared" si="24"/>
        <v>8.5219316840932002</v>
      </c>
      <c r="AO8" s="159">
        <f t="shared" si="25"/>
        <v>2.6332678765210424</v>
      </c>
      <c r="AP8" s="159">
        <f t="shared" si="26"/>
        <v>1.7923324816650312</v>
      </c>
      <c r="AQ8" s="159">
        <f t="shared" si="27"/>
        <v>3.2498892015609666</v>
      </c>
      <c r="AR8" s="159">
        <f t="shared" si="28"/>
        <v>7.1497562434341262</v>
      </c>
      <c r="AS8" s="159">
        <f t="shared" si="29"/>
        <v>1.6249446007804833</v>
      </c>
      <c r="AT8" s="159">
        <f t="shared" si="30"/>
        <v>9.6218920232353788</v>
      </c>
      <c r="AU8" s="159">
        <f t="shared" si="31"/>
        <v>1.4683881340849096</v>
      </c>
      <c r="AV8" s="159">
        <f t="shared" si="32"/>
        <v>2.3395676150272711</v>
      </c>
      <c r="AW8" s="159">
        <f t="shared" si="33"/>
        <v>0.73419406704245482</v>
      </c>
      <c r="AX8" s="159">
        <f t="shared" si="34"/>
        <v>2.2749224410926767</v>
      </c>
      <c r="AY8" s="159">
        <f t="shared" si="35"/>
        <v>4.8146506689792101</v>
      </c>
      <c r="AZ8" s="159">
        <f t="shared" si="36"/>
        <v>1.1374612205463384</v>
      </c>
      <c r="BA8" s="159">
        <f t="shared" si="37"/>
        <v>10.19268222800358</v>
      </c>
      <c r="BB8" s="159">
        <f t="shared" si="38"/>
        <v>2.8577092147960164</v>
      </c>
      <c r="BC8" s="159">
        <f t="shared" si="39"/>
        <v>5.0463066298521948</v>
      </c>
      <c r="BD8" s="159">
        <f t="shared" si="40"/>
        <v>1.4288546073980082</v>
      </c>
      <c r="BE8" s="159">
        <f t="shared" si="41"/>
        <v>3.502658361682375</v>
      </c>
      <c r="BF8" s="159">
        <f t="shared" si="42"/>
        <v>4.188746082011912</v>
      </c>
      <c r="BG8" s="159">
        <f t="shared" si="43"/>
        <v>8.9797530428711543</v>
      </c>
      <c r="BH8" s="159">
        <f t="shared" si="44"/>
        <v>8.4898024451396239</v>
      </c>
      <c r="BI8" s="159">
        <f t="shared" si="45"/>
        <v>2.7221656947266402</v>
      </c>
      <c r="BJ8" s="159">
        <f t="shared" si="46"/>
        <v>5.8377639361372919</v>
      </c>
      <c r="BK8" s="159">
        <f t="shared" si="47"/>
        <v>3.1776694415262785</v>
      </c>
      <c r="BL8" s="159">
        <f t="shared" si="48"/>
        <v>3.8834119288693643</v>
      </c>
      <c r="BM8" s="159">
        <f t="shared" si="49"/>
        <v>8.0527430450529049</v>
      </c>
      <c r="BN8" s="159">
        <f t="shared" si="50"/>
        <v>0.58735525363396379</v>
      </c>
      <c r="BO8" s="159">
        <f t="shared" si="51"/>
        <v>2.1665928010406441</v>
      </c>
      <c r="BP8" s="159">
        <f t="shared" si="52"/>
        <v>0.8184906137264657</v>
      </c>
      <c r="BQ8" s="159">
        <f t="shared" si="53"/>
        <v>3.1087680795410919</v>
      </c>
      <c r="BR8" s="159">
        <f t="shared" si="54"/>
        <v>11.822413900768158</v>
      </c>
      <c r="BS8" s="159">
        <f t="shared" si="55"/>
        <v>1.5248646007804831</v>
      </c>
      <c r="BT8" s="159">
        <f t="shared" si="56"/>
        <v>3.4184019749752386</v>
      </c>
      <c r="BU8" s="159">
        <f t="shared" si="57"/>
        <v>2.936936908077318</v>
      </c>
      <c r="BV8" s="159">
        <f t="shared" si="58"/>
        <v>4.6376704137416294</v>
      </c>
      <c r="BW8" s="159">
        <f t="shared" si="59"/>
        <v>10.179505019739075</v>
      </c>
      <c r="BX8" s="159">
        <f t="shared" si="60"/>
        <v>1.3667304940328773</v>
      </c>
      <c r="BY8" s="159">
        <f t="shared" si="61"/>
        <v>3.4184019749752386</v>
      </c>
      <c r="BZ8" s="159">
        <f t="shared" si="62"/>
        <v>2.936936908077318</v>
      </c>
      <c r="CA8" s="159">
        <f t="shared" si="63"/>
        <v>6.4315824858702593</v>
      </c>
      <c r="CB8" s="159">
        <f t="shared" si="64"/>
        <v>8.2115475385076468</v>
      </c>
      <c r="CC8" s="159">
        <f t="shared" si="65"/>
        <v>1.6717034141889739</v>
      </c>
      <c r="CD8" s="159">
        <f t="shared" si="66"/>
        <v>4.1382289845694542</v>
      </c>
      <c r="CE8" s="159">
        <f t="shared" si="67"/>
        <v>4.7835211630120869</v>
      </c>
      <c r="CF8" s="159">
        <f t="shared" si="68"/>
        <v>9.4498136331764755</v>
      </c>
      <c r="CG8" s="159">
        <f t="shared" si="69"/>
        <v>4.7835211630120869</v>
      </c>
      <c r="CH8" s="159">
        <f t="shared" si="70"/>
        <v>4.8517977502684522</v>
      </c>
      <c r="CI8" s="159">
        <f t="shared" si="71"/>
        <v>9.8565899145813454</v>
      </c>
      <c r="CJ8" s="159">
        <f t="shared" si="72"/>
        <v>4.8517977502684522</v>
      </c>
      <c r="CK8" s="159">
        <f t="shared" si="73"/>
        <v>2.548170557000895</v>
      </c>
    </row>
    <row r="9" spans="1:89" x14ac:dyDescent="0.25">
      <c r="A9" t="str">
        <f>PLANTILLA!D7</f>
        <v>B. Pinczehelyi</v>
      </c>
      <c r="B9" s="487">
        <f>PLANTILLA!E7</f>
        <v>31</v>
      </c>
      <c r="C9" s="487">
        <f ca="1">PLANTILLA!F7</f>
        <v>9</v>
      </c>
      <c r="D9" s="487" t="str">
        <f>PLANTILLA!G7</f>
        <v>CAB</v>
      </c>
      <c r="E9" s="290">
        <v>42716</v>
      </c>
      <c r="F9" s="341">
        <f>PLANTILLA!Q7</f>
        <v>6</v>
      </c>
      <c r="G9" s="406">
        <f>(F9/7)^0.5</f>
        <v>0.92582009977255142</v>
      </c>
      <c r="H9" s="406">
        <f>IF(F9=7,1,((F9+0.99)/7)^0.5)</f>
        <v>0.99928545900129484</v>
      </c>
      <c r="I9" s="496">
        <v>1</v>
      </c>
      <c r="J9" s="497">
        <f>PLANTILLA!I7</f>
        <v>15.1</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11</v>
      </c>
      <c r="R9" s="163">
        <f>((2*(O9+1))+(L9+1))/8</f>
        <v>4.5175000000000001</v>
      </c>
      <c r="S9" s="163">
        <f t="shared" si="3"/>
        <v>6.0311949285000637</v>
      </c>
      <c r="T9" s="163">
        <f>(0.5*P9+ 0.3*Q9)/10</f>
        <v>0.38714285714285712</v>
      </c>
      <c r="U9" s="163">
        <f>(0.4*L9+0.3*Q9)/10</f>
        <v>0.90200000000000036</v>
      </c>
      <c r="V9" s="163">
        <f t="shared" ref="V9" ca="1" si="76">IF(TODAY()-E9&gt;335,(Q9+1+(LOG(J9)*4/3))*(F9/7)^0.5,(Q9+((TODAY()-E9)^0.5)/(336^0.5)+(LOG(J9)*4/3))*(F9/7)^0.5)</f>
        <v>12.565201937233951</v>
      </c>
      <c r="W9" s="163">
        <f t="shared" ref="W9" ca="1" si="77">IF(F9=7,V9,IF(TODAY()-E9&gt;335,(Q9+1+(LOG(J9)*4/3))*((F9+0.99)/7)^0.5,(Q9+((TODAY()-E9)^0.5)/(336^0.5)+(LOG(J9)*4/3))*((F9+0.99)/7)^0.5))</f>
        <v>13.562271534585937</v>
      </c>
      <c r="X9" s="159">
        <f>((K9+I9+(LOG(J9)*4/3))*0.597)+((L9+I9+(LOG(J9)*4/3))*0.276)</f>
        <v>6.1921291666492513</v>
      </c>
      <c r="Y9" s="159">
        <f>((K9+I9+(LOG(J9)*4/3))*0.866)+((L9+I9+(LOG(J9)*4/3))*0.425)</f>
        <v>9.397912318607311</v>
      </c>
      <c r="Z9" s="159">
        <f>X9</f>
        <v>6.1921291666492513</v>
      </c>
      <c r="AA9" s="159">
        <f>((L9+I9+(LOG(J9)*4/3))*0.516)</f>
        <v>8.7059361397377035</v>
      </c>
      <c r="AB9" s="159">
        <f>(L9+I9+(LOG(J9)*4/3))*1</f>
        <v>16.871969263057565</v>
      </c>
      <c r="AC9" s="159">
        <f>AA9/2</f>
        <v>4.3529680698688518</v>
      </c>
      <c r="AD9" s="159">
        <f>(M9+I9+(LOG(J9)*4/3))*0.238</f>
        <v>2.8444100179410325</v>
      </c>
      <c r="AE9" s="159">
        <f>((L9+I9+(LOG(J9)*4/3))*0.378)</f>
        <v>6.3776043814357593</v>
      </c>
      <c r="AF9" s="159">
        <f>(L9+I9+(LOG(J9)*4/3))*0.723</f>
        <v>12.198433777190619</v>
      </c>
      <c r="AG9" s="159">
        <f>AE9/2</f>
        <v>3.1888021907178796</v>
      </c>
      <c r="AH9" s="159">
        <f>(M9+I9+(LOG(J9)*4/3))*0.385</f>
        <v>4.6012514996104947</v>
      </c>
      <c r="AI9" s="159">
        <f>((L9+I9+(LOG(J9)*4/3))*0.92)</f>
        <v>15.52221172201296</v>
      </c>
      <c r="AJ9" s="159">
        <f>(L9+I9+(LOG(J9)*4/3))*0.414</f>
        <v>6.9849952749058319</v>
      </c>
      <c r="AK9" s="159">
        <f>((M9+I9+(LOG(J9)*4/3))*0.167)</f>
        <v>1.9958675335972795</v>
      </c>
      <c r="AL9" s="159">
        <f>(N9+I9+(LOG(J9)*4/3))*0.588</f>
        <v>9.9403179266778423</v>
      </c>
      <c r="AM9" s="159">
        <f>((L9+I9+(LOG(J9)*4/3))*0.754)</f>
        <v>12.721464824345404</v>
      </c>
      <c r="AN9" s="159">
        <f>((L9+I9+(LOG(J9)*4/3))*0.708)</f>
        <v>11.945354238244756</v>
      </c>
      <c r="AO9" s="159">
        <f>((Q9+I9+(LOG(J9)*4/3))*0.167)</f>
        <v>2.2665188669306127</v>
      </c>
      <c r="AP9" s="159">
        <f>((R9+I9+(LOG(J9)*4/3))*0.288)</f>
        <v>2.0417671477605768</v>
      </c>
      <c r="AQ9" s="159">
        <f>((L9+I9+(LOG(J9)*4/3))*0.27)</f>
        <v>4.555431701025543</v>
      </c>
      <c r="AR9" s="159">
        <f>((L9+I9+(LOG(J9)*4/3))*0.594)</f>
        <v>10.021949742256194</v>
      </c>
      <c r="AS9" s="159">
        <f>AQ9/2</f>
        <v>2.2777158505127715</v>
      </c>
      <c r="AT9" s="159">
        <f>((M9+I9+(LOG(J9)*4/3))*0.944)</f>
        <v>11.282029650993003</v>
      </c>
      <c r="AU9" s="159">
        <f>((O9+I9+(LOG(J9)*4/3))*0.13)</f>
        <v>1.5589560041974826</v>
      </c>
      <c r="AV9" s="159">
        <f>((P9+I9+(LOG(J9)*4/3))*0.173)+((O9+I9+(LOG(J9)*4/3))*0.12)</f>
        <v>2.08170127979015</v>
      </c>
      <c r="AW9" s="159">
        <f>AU9/2</f>
        <v>0.7794780020987413</v>
      </c>
      <c r="AX9" s="159">
        <f>((L9+I9+(LOG(J9)*4/3))*0.189)</f>
        <v>3.1888021907178796</v>
      </c>
      <c r="AY9" s="159">
        <f>((L9+I9+(LOG(J9)*4/3))*0.4)</f>
        <v>6.7487877052230267</v>
      </c>
      <c r="AZ9" s="159">
        <f>AX9/2</f>
        <v>1.5944010953589398</v>
      </c>
      <c r="BA9" s="159">
        <f>((M9+I9+(LOG(J9)*4/3))*1)</f>
        <v>11.951302596390894</v>
      </c>
      <c r="BB9" s="159">
        <f>((O9+I9+(LOG(J9)*4/3))*0.253)</f>
        <v>3.0339682235535621</v>
      </c>
      <c r="BC9" s="159">
        <f>((P9+I9+(LOG(J9)*4/3))*0.21)+((O9+I9+(LOG(J9)*4/3))*0.341)</f>
        <v>4.8693750639447142</v>
      </c>
      <c r="BD9" s="159">
        <f>BB9/2</f>
        <v>1.5169841117767811</v>
      </c>
      <c r="BE9" s="159">
        <f>((L9+I9+(LOG(J9)*4/3))*0.291)</f>
        <v>4.9097430555497512</v>
      </c>
      <c r="BF9" s="159">
        <f>((L9+I9+(LOG(J9)*4/3))*0.348)</f>
        <v>5.8714453035440322</v>
      </c>
      <c r="BG9" s="159">
        <f>((M9+I9+(LOG(J9)*4/3))*0.881)</f>
        <v>10.529097587420377</v>
      </c>
      <c r="BH9" s="159">
        <f>((N9+I9+(LOG(J9)*4/3))*0.574)+((O9+I9+(LOG(J9)*4/3))*0.315)</f>
        <v>13.481114008191501</v>
      </c>
      <c r="BI9" s="159">
        <f>((O9+I9+(LOG(J9)*4/3))*0.241)</f>
        <v>2.8900645923968713</v>
      </c>
      <c r="BJ9" s="159">
        <f>((L9+I9+(LOG(J9)*4/3))*0.485)</f>
        <v>8.182905092582919</v>
      </c>
      <c r="BK9" s="159">
        <f>((L9+I9+(LOG(J9)*4/3))*0.264)</f>
        <v>4.4541998854471974</v>
      </c>
      <c r="BL9" s="159">
        <f>((M9+I9+(LOG(J9)*4/3))*0.381)</f>
        <v>4.5534462892249303</v>
      </c>
      <c r="BM9" s="159">
        <f>((N9+I9+(LOG(J9)*4/3))*0.673)+((O9+I9+(LOG(J9)*4/3))*0.201)</f>
        <v>13.787654469245638</v>
      </c>
      <c r="BN9" s="159">
        <f>((O9+I9+(LOG(J9)*4/3))*0.052)</f>
        <v>0.62358240167899293</v>
      </c>
      <c r="BO9" s="159">
        <f>((L9+I9+(LOG(J9)*4/3))*0.18)</f>
        <v>3.0369544673503617</v>
      </c>
      <c r="BP9" s="159">
        <f>(L9+I9+(LOG(J9)*4/3))*0.068</f>
        <v>1.1472939098879145</v>
      </c>
      <c r="BQ9" s="159">
        <f>((M9+I9+(LOG(J9)*4/3))*0.305)</f>
        <v>3.6451472918992227</v>
      </c>
      <c r="BR9" s="159">
        <f>((N9+I9+(LOG(J9)*4/3))*1)+((O9+I9+(LOG(J9)*4/3))*0.286)</f>
        <v>20.33500580562535</v>
      </c>
      <c r="BS9" s="159">
        <f>((O9+I9+(LOG(J9)*4/3))*0.135)</f>
        <v>1.6189158505127703</v>
      </c>
      <c r="BT9" s="159">
        <f t="shared" si="56"/>
        <v>4.7916392707083482</v>
      </c>
      <c r="BU9" s="159">
        <f t="shared" si="57"/>
        <v>4.1167605001860457</v>
      </c>
      <c r="BV9" s="159">
        <f t="shared" si="58"/>
        <v>5.4378426813578571</v>
      </c>
      <c r="BW9" s="159">
        <f t="shared" si="59"/>
        <v>17.532221943467771</v>
      </c>
      <c r="BX9" s="159">
        <f t="shared" si="60"/>
        <v>1.4510282808299644</v>
      </c>
      <c r="BY9" s="159">
        <f>((L9+I9+(LOG(J9)*4/3))*0.284)</f>
        <v>4.7916392707083482</v>
      </c>
      <c r="BZ9" s="159">
        <f>((L9+I9+(LOG(J9)*4/3))*0.244)</f>
        <v>4.1167605001860457</v>
      </c>
      <c r="CA9" s="159">
        <f>((M9+I9+(LOG(J9)*4/3))*0.631)</f>
        <v>7.5412719383226543</v>
      </c>
      <c r="CB9" s="159">
        <f>((N9+I9+(LOG(J9)*4/3))*0.702)+((O9+I9+(LOG(J9)*4/3))*0.193)</f>
        <v>14.181972490436513</v>
      </c>
      <c r="CC9" s="159">
        <f>((O9+I9+(LOG(J9)*4/3))*0.148)</f>
        <v>1.7748114509325184</v>
      </c>
      <c r="CD9" s="159">
        <f>((M9+I9+(LOG(J9)*4/3))*0.406)</f>
        <v>4.8522288541347036</v>
      </c>
      <c r="CE9" s="159">
        <f>IF(D9="TEC",((N9+I9+(LOG(J9)*4/3))*0.15)+((O9+I9+(LOG(J9)*4/3))*0.324)+((P9+I9+(LOG(J9)*4/3))*0.127),(((N9+I9+(LOG(J9)*4/3))*0.144)+((O9+I9+(LOG(J9)*4/3))*0.25)+((P9+I9+(LOG(J9)*4/3))*0.127)))</f>
        <v>5.9041388431958444</v>
      </c>
      <c r="CF9" s="159">
        <f>((O9+I9+(LOG(J9)*4/3))*0.543)+((P9+I9+(LOG(J9)*4/3))*0.583)</f>
        <v>8.6773831044885252</v>
      </c>
      <c r="CG9" s="159">
        <f>CE9</f>
        <v>5.9041388431958444</v>
      </c>
      <c r="CH9" s="159">
        <f>((P9+1+(LOG(J9)*4/3))*0.26)+((N9+I9+(LOG(J9)*4/3))*0.221)+((O9+I9+(LOG(J9)*4/3))*0.142)</f>
        <v>6.4047863746943827</v>
      </c>
      <c r="CI9" s="159">
        <f>((P9+I9+(LOG(J9)*4/3))*1)+((O9+I9+(LOG(J9)*4/3))*0.369)</f>
        <v>8.1398630639829399</v>
      </c>
      <c r="CJ9" s="159">
        <f>CH9</f>
        <v>6.4047863746943827</v>
      </c>
      <c r="CK9" s="159">
        <f>((M9+I9+(LOG(J9)*4/3))*0.25)</f>
        <v>2.9878256490977235</v>
      </c>
    </row>
    <row r="10" spans="1:89" x14ac:dyDescent="0.25">
      <c r="A10" t="str">
        <f>PLANTILLA!D12</f>
        <v>E. Romweber</v>
      </c>
      <c r="B10" s="487">
        <f>PLANTILLA!E12</f>
        <v>31</v>
      </c>
      <c r="C10" s="487">
        <f ca="1">PLANTILLA!F12</f>
        <v>82</v>
      </c>
      <c r="D10" s="487" t="str">
        <f>PLANTILLA!G12</f>
        <v>IMP</v>
      </c>
      <c r="E10" s="290">
        <v>41583</v>
      </c>
      <c r="F10" s="341">
        <f>PLANTILLA!Q12</f>
        <v>4</v>
      </c>
      <c r="G10" s="406">
        <f t="shared" si="74"/>
        <v>0.7559289460184544</v>
      </c>
      <c r="H10" s="406">
        <f t="shared" si="75"/>
        <v>0.84430867747355465</v>
      </c>
      <c r="I10" s="496">
        <v>1.5</v>
      </c>
      <c r="J10" s="497">
        <f>PLANTILLA!I12</f>
        <v>13.1</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17.529999999999998</v>
      </c>
      <c r="R10" s="163">
        <f t="shared" si="2"/>
        <v>4.6101388888888888</v>
      </c>
      <c r="S10" s="163">
        <f t="shared" si="3"/>
        <v>21.546926084532316</v>
      </c>
      <c r="T10" s="163">
        <f t="shared" si="4"/>
        <v>0.91439999999999999</v>
      </c>
      <c r="U10" s="163">
        <f t="shared" si="5"/>
        <v>1.0083444444444445</v>
      </c>
      <c r="V10" s="163">
        <f t="shared" ca="1" si="6"/>
        <v>15.133466986977606</v>
      </c>
      <c r="W10" s="163">
        <f t="shared" ca="1" si="7"/>
        <v>16.902802260270679</v>
      </c>
      <c r="X10" s="159">
        <f t="shared" si="8"/>
        <v>5.938870454809976</v>
      </c>
      <c r="Y10" s="159">
        <f t="shared" si="9"/>
        <v>8.9856685458110093</v>
      </c>
      <c r="Z10" s="159">
        <f t="shared" si="10"/>
        <v>5.938870454809976</v>
      </c>
      <c r="AA10" s="159">
        <f t="shared" si="11"/>
        <v>7.7662159847444983</v>
      </c>
      <c r="AB10" s="159">
        <f t="shared" si="12"/>
        <v>15.050806171985462</v>
      </c>
      <c r="AC10" s="159">
        <f t="shared" si="13"/>
        <v>3.8831079923722491</v>
      </c>
      <c r="AD10" s="159">
        <f t="shared" si="14"/>
        <v>3.7137058689325406</v>
      </c>
      <c r="AE10" s="159">
        <f t="shared" si="15"/>
        <v>5.6892047330105049</v>
      </c>
      <c r="AF10" s="159">
        <f t="shared" si="16"/>
        <v>10.881732862345489</v>
      </c>
      <c r="AG10" s="159">
        <f t="shared" si="17"/>
        <v>2.8446023665052524</v>
      </c>
      <c r="AH10" s="159">
        <f t="shared" si="18"/>
        <v>6.0074653762144044</v>
      </c>
      <c r="AI10" s="159">
        <f t="shared" si="19"/>
        <v>13.846741678226625</v>
      </c>
      <c r="AJ10" s="159">
        <f t="shared" si="20"/>
        <v>6.231033755201981</v>
      </c>
      <c r="AK10" s="159">
        <f t="shared" si="21"/>
        <v>2.6058356307215731</v>
      </c>
      <c r="AL10" s="159">
        <f t="shared" si="22"/>
        <v>9.5293406957941205</v>
      </c>
      <c r="AM10" s="159">
        <f t="shared" si="23"/>
        <v>11.348307853677039</v>
      </c>
      <c r="AN10" s="159">
        <f t="shared" si="24"/>
        <v>10.655970769765707</v>
      </c>
      <c r="AO10" s="159">
        <f t="shared" si="25"/>
        <v>3.4267890751660168</v>
      </c>
      <c r="AP10" s="159">
        <f t="shared" si="26"/>
        <v>2.1887521775318133</v>
      </c>
      <c r="AQ10" s="159">
        <f t="shared" si="27"/>
        <v>4.0637176664360748</v>
      </c>
      <c r="AR10" s="159">
        <f t="shared" si="28"/>
        <v>8.9401788661593642</v>
      </c>
      <c r="AS10" s="159">
        <f t="shared" si="29"/>
        <v>2.0318588332180374</v>
      </c>
      <c r="AT10" s="159">
        <f t="shared" si="30"/>
        <v>14.729993026354279</v>
      </c>
      <c r="AU10" s="159">
        <f t="shared" si="31"/>
        <v>1.8069603579136659</v>
      </c>
      <c r="AV10" s="159">
        <f t="shared" si="32"/>
        <v>3.5293906528361845</v>
      </c>
      <c r="AW10" s="159">
        <f t="shared" si="33"/>
        <v>0.90348017895683297</v>
      </c>
      <c r="AX10" s="159">
        <f t="shared" si="34"/>
        <v>2.8446023665052524</v>
      </c>
      <c r="AY10" s="159">
        <f t="shared" si="35"/>
        <v>6.020322468794185</v>
      </c>
      <c r="AZ10" s="159">
        <f t="shared" si="36"/>
        <v>1.4223011832526262</v>
      </c>
      <c r="BA10" s="159">
        <f t="shared" si="37"/>
        <v>15.603806171985466</v>
      </c>
      <c r="BB10" s="159">
        <f t="shared" si="38"/>
        <v>3.5166228504012111</v>
      </c>
      <c r="BC10" s="159">
        <f t="shared" si="39"/>
        <v>6.9993319785417683</v>
      </c>
      <c r="BD10" s="159">
        <f t="shared" si="40"/>
        <v>1.7583114252006056</v>
      </c>
      <c r="BE10" s="159">
        <f t="shared" si="41"/>
        <v>4.3797845960477693</v>
      </c>
      <c r="BF10" s="159">
        <f t="shared" si="42"/>
        <v>5.2376805478509407</v>
      </c>
      <c r="BG10" s="159">
        <f t="shared" si="43"/>
        <v>13.746953237519197</v>
      </c>
      <c r="BH10" s="159">
        <f t="shared" si="44"/>
        <v>13.680855575783967</v>
      </c>
      <c r="BI10" s="159">
        <f t="shared" si="45"/>
        <v>3.3498265096707187</v>
      </c>
      <c r="BJ10" s="159">
        <f t="shared" si="46"/>
        <v>7.2996409934129485</v>
      </c>
      <c r="BK10" s="159">
        <f t="shared" si="47"/>
        <v>3.973412829404162</v>
      </c>
      <c r="BL10" s="159">
        <f t="shared" si="48"/>
        <v>5.9450501515264627</v>
      </c>
      <c r="BM10" s="159">
        <f t="shared" si="49"/>
        <v>13.700720149870854</v>
      </c>
      <c r="BN10" s="159">
        <f t="shared" si="50"/>
        <v>0.72278414316546624</v>
      </c>
      <c r="BO10" s="159">
        <f t="shared" si="51"/>
        <v>2.7091451109573832</v>
      </c>
      <c r="BP10" s="159">
        <f t="shared" si="52"/>
        <v>1.0234548196950115</v>
      </c>
      <c r="BQ10" s="159">
        <f t="shared" si="53"/>
        <v>4.7591608824555669</v>
      </c>
      <c r="BR10" s="159">
        <f t="shared" si="54"/>
        <v>20.181674514951087</v>
      </c>
      <c r="BS10" s="159">
        <f t="shared" si="55"/>
        <v>1.8764588332180376</v>
      </c>
      <c r="BT10" s="159">
        <f t="shared" si="56"/>
        <v>4.2744289528438708</v>
      </c>
      <c r="BU10" s="159">
        <f t="shared" si="57"/>
        <v>3.6723967059644527</v>
      </c>
      <c r="BV10" s="159">
        <f t="shared" si="58"/>
        <v>7.0997318082533871</v>
      </c>
      <c r="BW10" s="159">
        <f t="shared" si="59"/>
        <v>17.393822127448786</v>
      </c>
      <c r="BX10" s="159">
        <f t="shared" si="60"/>
        <v>1.6818631023657966</v>
      </c>
      <c r="BY10" s="159">
        <f t="shared" si="61"/>
        <v>4.2744289528438708</v>
      </c>
      <c r="BZ10" s="159">
        <f t="shared" si="62"/>
        <v>3.6723967059644527</v>
      </c>
      <c r="CA10" s="159">
        <f t="shared" si="63"/>
        <v>9.8460016945228297</v>
      </c>
      <c r="CB10" s="159">
        <f t="shared" si="64"/>
        <v>14.059507079482547</v>
      </c>
      <c r="CC10" s="159">
        <f t="shared" si="65"/>
        <v>2.0571548690094041</v>
      </c>
      <c r="CD10" s="159">
        <f t="shared" si="66"/>
        <v>6.3351453058260994</v>
      </c>
      <c r="CE10" s="159">
        <f t="shared" si="67"/>
        <v>7.1751211267155375</v>
      </c>
      <c r="CF10" s="159">
        <f t="shared" si="68"/>
        <v>13.820436638544521</v>
      </c>
      <c r="CG10" s="159">
        <f t="shared" si="69"/>
        <v>7.1751211267155375</v>
      </c>
      <c r="CH10" s="159">
        <f t="shared" si="70"/>
        <v>8.2228833562580554</v>
      </c>
      <c r="CI10" s="159">
        <f t="shared" si="71"/>
        <v>15.888682538336987</v>
      </c>
      <c r="CJ10" s="159">
        <f t="shared" si="72"/>
        <v>8.2228833562580554</v>
      </c>
      <c r="CK10" s="159">
        <f t="shared" si="73"/>
        <v>3.9009515429963666</v>
      </c>
    </row>
    <row r="11" spans="1:89" x14ac:dyDescent="0.25">
      <c r="A11" t="str">
        <f>PLANTILLA!D13</f>
        <v>K. Helms</v>
      </c>
      <c r="B11" s="487">
        <f>PLANTILLA!E13</f>
        <v>31</v>
      </c>
      <c r="C11" s="487">
        <f ca="1">PLANTILLA!F13</f>
        <v>29</v>
      </c>
      <c r="D11" s="487" t="str">
        <f>PLANTILLA!G13</f>
        <v>TEC</v>
      </c>
      <c r="E11" s="290">
        <v>41722</v>
      </c>
      <c r="F11" s="341">
        <f>PLANTILLA!Q13</f>
        <v>3</v>
      </c>
      <c r="G11" s="406">
        <f t="shared" ref="G11:G21" si="78">(F11/7)^0.5</f>
        <v>0.65465367070797709</v>
      </c>
      <c r="H11" s="406">
        <f t="shared" si="75"/>
        <v>0.75498344352707503</v>
      </c>
      <c r="I11" s="496">
        <v>1.5</v>
      </c>
      <c r="J11" s="497">
        <f>PLANTILLA!I13</f>
        <v>10.7</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18</v>
      </c>
      <c r="R11" s="163">
        <f t="shared" si="2"/>
        <v>3.8712878787878782</v>
      </c>
      <c r="S11" s="163">
        <f t="shared" si="3"/>
        <v>17.620550864912417</v>
      </c>
      <c r="T11" s="163">
        <f t="shared" si="4"/>
        <v>0.81024999999999991</v>
      </c>
      <c r="U11" s="163">
        <f t="shared" si="5"/>
        <v>0.8300121212121212</v>
      </c>
      <c r="V11" s="163">
        <f t="shared" ca="1" si="6"/>
        <v>13.336939568290054</v>
      </c>
      <c r="W11" s="163">
        <f t="shared" ca="1" si="7"/>
        <v>15.380909039264678</v>
      </c>
      <c r="X11" s="159">
        <f t="shared" si="8"/>
        <v>4.5087863535892208</v>
      </c>
      <c r="Y11" s="159">
        <f t="shared" si="9"/>
        <v>6.7897913972009292</v>
      </c>
      <c r="Z11" s="159">
        <f t="shared" si="10"/>
        <v>4.5087863535892208</v>
      </c>
      <c r="AA11" s="159">
        <f t="shared" si="11"/>
        <v>5.223372402683788</v>
      </c>
      <c r="AB11" s="159">
        <f t="shared" si="12"/>
        <v>10.12281473388331</v>
      </c>
      <c r="AC11" s="159">
        <f t="shared" si="13"/>
        <v>2.611686201341894</v>
      </c>
      <c r="AD11" s="159">
        <f t="shared" si="14"/>
        <v>3.2064577854521077</v>
      </c>
      <c r="AE11" s="159">
        <f t="shared" si="15"/>
        <v>3.826423969407891</v>
      </c>
      <c r="AF11" s="159">
        <f t="shared" si="16"/>
        <v>7.3187950525976326</v>
      </c>
      <c r="AG11" s="159">
        <f t="shared" si="17"/>
        <v>1.9132119847039455</v>
      </c>
      <c r="AH11" s="159">
        <f t="shared" si="18"/>
        <v>5.18691700587841</v>
      </c>
      <c r="AI11" s="159">
        <f t="shared" si="19"/>
        <v>9.3129895551726456</v>
      </c>
      <c r="AJ11" s="159">
        <f t="shared" si="20"/>
        <v>4.1908452998276902</v>
      </c>
      <c r="AK11" s="159">
        <f t="shared" si="21"/>
        <v>2.2499094544979075</v>
      </c>
      <c r="AL11" s="159">
        <f t="shared" si="22"/>
        <v>9.6103768817052035</v>
      </c>
      <c r="AM11" s="159">
        <f t="shared" si="23"/>
        <v>7.6326023093480151</v>
      </c>
      <c r="AN11" s="159">
        <f t="shared" si="24"/>
        <v>7.1669528315893825</v>
      </c>
      <c r="AO11" s="159">
        <f t="shared" si="25"/>
        <v>3.4857094544979068</v>
      </c>
      <c r="AP11" s="159">
        <f t="shared" si="26"/>
        <v>1.9422142797220294</v>
      </c>
      <c r="AQ11" s="159">
        <f t="shared" si="27"/>
        <v>2.7331599781484939</v>
      </c>
      <c r="AR11" s="159">
        <f t="shared" si="28"/>
        <v>6.0129519519266861</v>
      </c>
      <c r="AS11" s="159">
        <f t="shared" si="29"/>
        <v>1.3665799890742469</v>
      </c>
      <c r="AT11" s="159">
        <f t="shared" si="30"/>
        <v>12.718051048179788</v>
      </c>
      <c r="AU11" s="159">
        <f t="shared" si="31"/>
        <v>1.7202265214654362</v>
      </c>
      <c r="AV11" s="159">
        <f t="shared" si="32"/>
        <v>3.0199109291490216</v>
      </c>
      <c r="AW11" s="159">
        <f t="shared" si="33"/>
        <v>0.8601132607327181</v>
      </c>
      <c r="AX11" s="159">
        <f t="shared" si="34"/>
        <v>1.9132119847039455</v>
      </c>
      <c r="AY11" s="159">
        <f t="shared" si="35"/>
        <v>4.0491258935533239</v>
      </c>
      <c r="AZ11" s="159">
        <f t="shared" si="36"/>
        <v>0.95660599235197274</v>
      </c>
      <c r="BA11" s="159">
        <f t="shared" si="37"/>
        <v>13.472511703580285</v>
      </c>
      <c r="BB11" s="159">
        <f t="shared" si="38"/>
        <v>3.3478254610058102</v>
      </c>
      <c r="BC11" s="159">
        <f t="shared" si="39"/>
        <v>6.2505639486727338</v>
      </c>
      <c r="BD11" s="159">
        <f t="shared" si="40"/>
        <v>1.6739127305029051</v>
      </c>
      <c r="BE11" s="159">
        <f t="shared" si="41"/>
        <v>2.9457390875600429</v>
      </c>
      <c r="BF11" s="159">
        <f t="shared" si="42"/>
        <v>3.5227395273913915</v>
      </c>
      <c r="BG11" s="159">
        <f t="shared" si="43"/>
        <v>11.86928281085423</v>
      </c>
      <c r="BH11" s="159">
        <f t="shared" si="44"/>
        <v>13.549799571149533</v>
      </c>
      <c r="BI11" s="159">
        <f t="shared" si="45"/>
        <v>3.1890353205628466</v>
      </c>
      <c r="BJ11" s="159">
        <f t="shared" si="46"/>
        <v>4.9095651459334047</v>
      </c>
      <c r="BK11" s="159">
        <f t="shared" si="47"/>
        <v>2.6724230897451937</v>
      </c>
      <c r="BL11" s="159">
        <f t="shared" si="48"/>
        <v>5.1330269590640887</v>
      </c>
      <c r="BM11" s="159">
        <f t="shared" si="49"/>
        <v>13.659366895595833</v>
      </c>
      <c r="BN11" s="159">
        <f t="shared" si="50"/>
        <v>0.68809060858617443</v>
      </c>
      <c r="BO11" s="159">
        <f t="shared" si="51"/>
        <v>1.8221066520989957</v>
      </c>
      <c r="BP11" s="159">
        <f t="shared" si="52"/>
        <v>0.68835140190406507</v>
      </c>
      <c r="BQ11" s="159">
        <f t="shared" si="53"/>
        <v>4.1091160695919866</v>
      </c>
      <c r="BR11" s="159">
        <f t="shared" si="54"/>
        <v>20.128676717470906</v>
      </c>
      <c r="BS11" s="159">
        <f t="shared" si="55"/>
        <v>1.7863890799833375</v>
      </c>
      <c r="BT11" s="159">
        <f t="shared" si="56"/>
        <v>2.8748793844228597</v>
      </c>
      <c r="BU11" s="159">
        <f t="shared" si="57"/>
        <v>2.4699667950675277</v>
      </c>
      <c r="BV11" s="159">
        <f t="shared" si="58"/>
        <v>6.1299928251290297</v>
      </c>
      <c r="BW11" s="159">
        <f t="shared" si="59"/>
        <v>17.350102967566951</v>
      </c>
      <c r="BX11" s="159">
        <f t="shared" si="60"/>
        <v>1.6011339161332134</v>
      </c>
      <c r="BY11" s="159">
        <f t="shared" si="61"/>
        <v>2.8748793844228597</v>
      </c>
      <c r="BZ11" s="159">
        <f t="shared" si="62"/>
        <v>2.4699667950675277</v>
      </c>
      <c r="CA11" s="159">
        <f t="shared" si="63"/>
        <v>8.5011548849591598</v>
      </c>
      <c r="CB11" s="159">
        <f t="shared" si="64"/>
        <v>14.02748797470435</v>
      </c>
      <c r="CC11" s="159">
        <f t="shared" si="65"/>
        <v>1.9584117321298808</v>
      </c>
      <c r="CD11" s="159">
        <f t="shared" si="66"/>
        <v>5.4698397516535957</v>
      </c>
      <c r="CE11" s="159">
        <f t="shared" si="67"/>
        <v>7.7902045338517478</v>
      </c>
      <c r="CF11" s="159">
        <f t="shared" si="68"/>
        <v>12.011043178231393</v>
      </c>
      <c r="CG11" s="159">
        <f t="shared" si="69"/>
        <v>7.7902045338517478</v>
      </c>
      <c r="CH11" s="159">
        <f t="shared" si="70"/>
        <v>7.5132331246638477</v>
      </c>
      <c r="CI11" s="159">
        <f t="shared" si="71"/>
        <v>13.160308522201403</v>
      </c>
      <c r="CJ11" s="159">
        <f t="shared" si="72"/>
        <v>7.5132331246638477</v>
      </c>
      <c r="CK11" s="159">
        <f t="shared" si="73"/>
        <v>3.3681279258950712</v>
      </c>
    </row>
    <row r="12" spans="1:89" x14ac:dyDescent="0.25">
      <c r="A12" t="str">
        <f>PLANTILLA!D14</f>
        <v>S. Zobbe</v>
      </c>
      <c r="B12" s="487">
        <f>PLANTILLA!E14</f>
        <v>28</v>
      </c>
      <c r="C12" s="487">
        <f ca="1">PLANTILLA!F14</f>
        <v>44</v>
      </c>
      <c r="D12" s="487" t="str">
        <f>PLANTILLA!G14</f>
        <v>CAB</v>
      </c>
      <c r="E12" s="290">
        <v>41911</v>
      </c>
      <c r="F12" s="341">
        <f>PLANTILLA!Q14</f>
        <v>7</v>
      </c>
      <c r="G12" s="406">
        <f t="shared" si="78"/>
        <v>1</v>
      </c>
      <c r="H12" s="406">
        <f t="shared" si="75"/>
        <v>1</v>
      </c>
      <c r="I12" s="496">
        <v>1.5</v>
      </c>
      <c r="J12" s="497">
        <f>PLANTILLA!I14</f>
        <v>9.6999999999999993</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16</v>
      </c>
      <c r="R12" s="163">
        <f t="shared" si="2"/>
        <v>3.9799999999999995</v>
      </c>
      <c r="S12" s="163">
        <f t="shared" si="3"/>
        <v>19.833954043637867</v>
      </c>
      <c r="T12" s="163">
        <f t="shared" si="4"/>
        <v>0.85383333333333344</v>
      </c>
      <c r="U12" s="163">
        <f t="shared" si="5"/>
        <v>0.81439999999999979</v>
      </c>
      <c r="V12" s="163">
        <f t="shared" ca="1" si="6"/>
        <v>18.315695645688326</v>
      </c>
      <c r="W12" s="163">
        <f t="shared" ca="1" si="7"/>
        <v>18.315695645688326</v>
      </c>
      <c r="X12" s="159">
        <f t="shared" si="8"/>
        <v>4.7654622986859083</v>
      </c>
      <c r="Y12" s="159">
        <f t="shared" si="9"/>
        <v>7.1880630785836281</v>
      </c>
      <c r="Z12" s="159">
        <f t="shared" si="10"/>
        <v>4.7654622986859083</v>
      </c>
      <c r="AA12" s="159">
        <f t="shared" si="11"/>
        <v>5.7666589531751749</v>
      </c>
      <c r="AB12" s="159">
        <f t="shared" si="12"/>
        <v>11.175695645688323</v>
      </c>
      <c r="AC12" s="159">
        <f t="shared" si="13"/>
        <v>2.8833294765875874</v>
      </c>
      <c r="AD12" s="159">
        <f t="shared" si="14"/>
        <v>3.586447785896044</v>
      </c>
      <c r="AE12" s="159">
        <f t="shared" si="15"/>
        <v>4.2244129540701865</v>
      </c>
      <c r="AF12" s="159">
        <f t="shared" si="16"/>
        <v>8.0800279518326583</v>
      </c>
      <c r="AG12" s="159">
        <f t="shared" si="17"/>
        <v>2.1122064770350932</v>
      </c>
      <c r="AH12" s="159">
        <f t="shared" si="18"/>
        <v>5.801606712478895</v>
      </c>
      <c r="AI12" s="159">
        <f t="shared" si="19"/>
        <v>10.281639994033258</v>
      </c>
      <c r="AJ12" s="159">
        <f t="shared" si="20"/>
        <v>4.626737997314966</v>
      </c>
      <c r="AK12" s="159">
        <f t="shared" si="21"/>
        <v>2.5165410934648711</v>
      </c>
      <c r="AL12" s="159">
        <f t="shared" si="22"/>
        <v>8.9233090396647352</v>
      </c>
      <c r="AM12" s="159">
        <f t="shared" si="23"/>
        <v>8.4264745168489963</v>
      </c>
      <c r="AN12" s="159">
        <f t="shared" si="24"/>
        <v>7.9123925171473326</v>
      </c>
      <c r="AO12" s="159">
        <f t="shared" si="25"/>
        <v>3.1422211728299505</v>
      </c>
      <c r="AP12" s="159">
        <f t="shared" si="26"/>
        <v>1.9571603459582378</v>
      </c>
      <c r="AQ12" s="159">
        <f t="shared" si="27"/>
        <v>3.0174378243358477</v>
      </c>
      <c r="AR12" s="159">
        <f t="shared" si="28"/>
        <v>6.6383632135388639</v>
      </c>
      <c r="AS12" s="159">
        <f t="shared" si="29"/>
        <v>1.5087189121679239</v>
      </c>
      <c r="AT12" s="159">
        <f t="shared" si="30"/>
        <v>14.225238276831368</v>
      </c>
      <c r="AU12" s="159">
        <f t="shared" si="31"/>
        <v>1.6972404339394824</v>
      </c>
      <c r="AV12" s="159">
        <f t="shared" si="32"/>
        <v>3.3472621575200128</v>
      </c>
      <c r="AW12" s="159">
        <f t="shared" si="33"/>
        <v>0.84862021696974121</v>
      </c>
      <c r="AX12" s="159">
        <f t="shared" si="34"/>
        <v>2.1122064770350932</v>
      </c>
      <c r="AY12" s="159">
        <f t="shared" si="35"/>
        <v>4.4702782582753295</v>
      </c>
      <c r="AZ12" s="159">
        <f t="shared" si="36"/>
        <v>1.0561032385175466</v>
      </c>
      <c r="BA12" s="159">
        <f t="shared" si="37"/>
        <v>15.069108344101025</v>
      </c>
      <c r="BB12" s="159">
        <f t="shared" si="38"/>
        <v>3.3030909983591465</v>
      </c>
      <c r="BC12" s="159">
        <f t="shared" si="39"/>
        <v>6.6133883007742673</v>
      </c>
      <c r="BD12" s="159">
        <f t="shared" si="40"/>
        <v>1.6515454991795733</v>
      </c>
      <c r="BE12" s="159">
        <f t="shared" si="41"/>
        <v>3.252127432895302</v>
      </c>
      <c r="BF12" s="159">
        <f t="shared" si="42"/>
        <v>3.8891420846995364</v>
      </c>
      <c r="BG12" s="159">
        <f t="shared" si="43"/>
        <v>13.275884451153003</v>
      </c>
      <c r="BH12" s="159">
        <f t="shared" si="44"/>
        <v>12.823393429016921</v>
      </c>
      <c r="BI12" s="159">
        <f t="shared" si="45"/>
        <v>3.1464226506108863</v>
      </c>
      <c r="BJ12" s="159">
        <f t="shared" si="46"/>
        <v>5.4202123881588369</v>
      </c>
      <c r="BK12" s="159">
        <f t="shared" si="47"/>
        <v>2.9503836504617174</v>
      </c>
      <c r="BL12" s="159">
        <f t="shared" si="48"/>
        <v>5.7413302791024909</v>
      </c>
      <c r="BM12" s="159">
        <f t="shared" si="49"/>
        <v>12.837437994331598</v>
      </c>
      <c r="BN12" s="159">
        <f t="shared" si="50"/>
        <v>0.67889617357579291</v>
      </c>
      <c r="BO12" s="159">
        <f t="shared" si="51"/>
        <v>2.0116252162238983</v>
      </c>
      <c r="BP12" s="159">
        <f t="shared" si="52"/>
        <v>0.75994730390680609</v>
      </c>
      <c r="BQ12" s="159">
        <f t="shared" si="53"/>
        <v>4.5960780449508123</v>
      </c>
      <c r="BR12" s="159">
        <f t="shared" si="54"/>
        <v>18.909624600355187</v>
      </c>
      <c r="BS12" s="159">
        <f t="shared" si="55"/>
        <v>1.7625189121679241</v>
      </c>
      <c r="BT12" s="159">
        <f t="shared" si="56"/>
        <v>3.1738975633754833</v>
      </c>
      <c r="BU12" s="159">
        <f t="shared" si="57"/>
        <v>2.7268697375479509</v>
      </c>
      <c r="BV12" s="159">
        <f t="shared" si="58"/>
        <v>6.8564442965659662</v>
      </c>
      <c r="BW12" s="159">
        <f t="shared" si="59"/>
        <v>16.297390775422663</v>
      </c>
      <c r="BX12" s="159">
        <f t="shared" si="60"/>
        <v>1.5797391731282875</v>
      </c>
      <c r="BY12" s="159">
        <f t="shared" si="61"/>
        <v>3.1738975633754833</v>
      </c>
      <c r="BZ12" s="159">
        <f t="shared" si="62"/>
        <v>2.7268697375479509</v>
      </c>
      <c r="CA12" s="159">
        <f t="shared" si="63"/>
        <v>9.5086073651277463</v>
      </c>
      <c r="CB12" s="159">
        <f t="shared" si="64"/>
        <v>13.17308760289105</v>
      </c>
      <c r="CC12" s="159">
        <f t="shared" si="65"/>
        <v>1.9322429555618721</v>
      </c>
      <c r="CD12" s="159">
        <f t="shared" si="66"/>
        <v>6.1180579877050167</v>
      </c>
      <c r="CE12" s="159">
        <f t="shared" si="67"/>
        <v>6.7563540980702843</v>
      </c>
      <c r="CF12" s="159">
        <f t="shared" si="68"/>
        <v>13.08968996371172</v>
      </c>
      <c r="CG12" s="159">
        <f t="shared" si="69"/>
        <v>6.7563540980702843</v>
      </c>
      <c r="CH12" s="159">
        <f t="shared" si="70"/>
        <v>7.75375172059716</v>
      </c>
      <c r="CI12" s="159">
        <f t="shared" si="71"/>
        <v>15.109914005613984</v>
      </c>
      <c r="CJ12" s="159">
        <f t="shared" si="72"/>
        <v>7.75375172059716</v>
      </c>
      <c r="CK12" s="159">
        <f t="shared" si="73"/>
        <v>3.7672770860252562</v>
      </c>
    </row>
    <row r="13" spans="1:89" x14ac:dyDescent="0.25">
      <c r="A13" t="str">
        <f>PLANTILLA!D15</f>
        <v>S. Buschelman</v>
      </c>
      <c r="B13" s="487">
        <f>PLANTILLA!E15</f>
        <v>30</v>
      </c>
      <c r="C13" s="487">
        <f ca="1">PLANTILLA!F15</f>
        <v>41</v>
      </c>
      <c r="D13" s="487" t="str">
        <f>PLANTILLA!G15</f>
        <v>TEC</v>
      </c>
      <c r="E13" s="290">
        <v>41747</v>
      </c>
      <c r="F13" s="341">
        <f>PLANTILLA!Q15</f>
        <v>6</v>
      </c>
      <c r="G13" s="406">
        <f t="shared" si="78"/>
        <v>0.92582009977255142</v>
      </c>
      <c r="H13" s="406">
        <f t="shared" si="75"/>
        <v>0.99928545900129484</v>
      </c>
      <c r="I13" s="496">
        <v>1.5</v>
      </c>
      <c r="J13" s="497">
        <f>PLANTILLA!I15</f>
        <v>11.4</v>
      </c>
      <c r="K13" s="163">
        <f>PLANTILLA!X15</f>
        <v>0</v>
      </c>
      <c r="L13" s="163">
        <f>PLANTILLA!Y15</f>
        <v>9.3036666666666648</v>
      </c>
      <c r="M13" s="163">
        <f>PLANTILLA!Z15</f>
        <v>14</v>
      </c>
      <c r="N13" s="163">
        <f>PLANTILLA!AA15</f>
        <v>12.945</v>
      </c>
      <c r="O13" s="163">
        <f>PLANTILLA!AB15</f>
        <v>9.6733333333333356</v>
      </c>
      <c r="P13" s="163">
        <f>PLANTILLA!AC15</f>
        <v>4.99</v>
      </c>
      <c r="Q13" s="163">
        <f>PLANTILLA!AD15</f>
        <v>15.588888888888887</v>
      </c>
      <c r="R13" s="163">
        <f t="shared" si="2"/>
        <v>3.956291666666667</v>
      </c>
      <c r="S13" s="163">
        <f t="shared" si="3"/>
        <v>15.686635184160361</v>
      </c>
      <c r="T13" s="163">
        <f t="shared" si="4"/>
        <v>0.71716666666666662</v>
      </c>
      <c r="U13" s="163">
        <f t="shared" si="5"/>
        <v>0.83981333333333319</v>
      </c>
      <c r="V13" s="163">
        <f t="shared" ca="1" si="6"/>
        <v>16.662998439446117</v>
      </c>
      <c r="W13" s="163">
        <f t="shared" ca="1" si="7"/>
        <v>17.985234980306096</v>
      </c>
      <c r="X13" s="159">
        <f t="shared" si="8"/>
        <v>5.1075492469556538</v>
      </c>
      <c r="Y13" s="159">
        <f t="shared" si="9"/>
        <v>7.7098438841005148</v>
      </c>
      <c r="Z13" s="159">
        <f t="shared" si="10"/>
        <v>5.1075492469556538</v>
      </c>
      <c r="AA13" s="159">
        <f t="shared" si="11"/>
        <v>6.3018425377194927</v>
      </c>
      <c r="AB13" s="159">
        <f t="shared" si="12"/>
        <v>12.212873135115295</v>
      </c>
      <c r="AC13" s="159">
        <f t="shared" si="13"/>
        <v>3.1509212688597463</v>
      </c>
      <c r="AD13" s="159">
        <f t="shared" si="14"/>
        <v>4.0243911394907741</v>
      </c>
      <c r="AE13" s="159">
        <f t="shared" si="15"/>
        <v>4.6164660450735813</v>
      </c>
      <c r="AF13" s="159">
        <f t="shared" si="16"/>
        <v>8.829907276688358</v>
      </c>
      <c r="AG13" s="159">
        <f t="shared" si="17"/>
        <v>2.3082330225367906</v>
      </c>
      <c r="AH13" s="159">
        <f t="shared" si="18"/>
        <v>6.5100444903527226</v>
      </c>
      <c r="AI13" s="159">
        <f t="shared" si="19"/>
        <v>11.235843284306071</v>
      </c>
      <c r="AJ13" s="159">
        <f t="shared" si="20"/>
        <v>5.0561294779377315</v>
      </c>
      <c r="AK13" s="159">
        <f t="shared" si="21"/>
        <v>2.8238374802309214</v>
      </c>
      <c r="AL13" s="159">
        <f t="shared" si="22"/>
        <v>9.3222734034477934</v>
      </c>
      <c r="AM13" s="159">
        <f t="shared" si="23"/>
        <v>9.2085063438769321</v>
      </c>
      <c r="AN13" s="159">
        <f t="shared" si="24"/>
        <v>8.6467141796616289</v>
      </c>
      <c r="AO13" s="159">
        <f t="shared" si="25"/>
        <v>3.089181924675366</v>
      </c>
      <c r="AP13" s="159">
        <f t="shared" si="26"/>
        <v>1.9772634629132055</v>
      </c>
      <c r="AQ13" s="159">
        <f t="shared" si="27"/>
        <v>3.2974757464811297</v>
      </c>
      <c r="AR13" s="159">
        <f t="shared" si="28"/>
        <v>7.2544466422584852</v>
      </c>
      <c r="AS13" s="159">
        <f t="shared" si="29"/>
        <v>1.6487378732405649</v>
      </c>
      <c r="AT13" s="159">
        <f t="shared" si="30"/>
        <v>15.962290906215506</v>
      </c>
      <c r="AU13" s="159">
        <f t="shared" si="31"/>
        <v>1.6357301742316557</v>
      </c>
      <c r="AV13" s="159">
        <f t="shared" si="32"/>
        <v>2.876467495255449</v>
      </c>
      <c r="AW13" s="159">
        <f t="shared" si="33"/>
        <v>0.81786508711582784</v>
      </c>
      <c r="AX13" s="159">
        <f t="shared" si="34"/>
        <v>2.3082330225367906</v>
      </c>
      <c r="AY13" s="159">
        <f t="shared" si="35"/>
        <v>4.8851492540461185</v>
      </c>
      <c r="AZ13" s="159">
        <f t="shared" si="36"/>
        <v>1.1541165112683953</v>
      </c>
      <c r="BA13" s="159">
        <f t="shared" si="37"/>
        <v>16.90920646844863</v>
      </c>
      <c r="BB13" s="159">
        <f t="shared" si="38"/>
        <v>3.1833825698508376</v>
      </c>
      <c r="BC13" s="159">
        <f t="shared" si="39"/>
        <v>5.9494794307818628</v>
      </c>
      <c r="BD13" s="159">
        <f t="shared" si="40"/>
        <v>1.5916912849254188</v>
      </c>
      <c r="BE13" s="159">
        <f t="shared" si="41"/>
        <v>3.5539460823185505</v>
      </c>
      <c r="BF13" s="159">
        <f t="shared" si="42"/>
        <v>4.2500798510201223</v>
      </c>
      <c r="BG13" s="159">
        <f t="shared" si="43"/>
        <v>14.897010898703243</v>
      </c>
      <c r="BH13" s="159">
        <f t="shared" si="44"/>
        <v>13.063814550450832</v>
      </c>
      <c r="BI13" s="159">
        <f t="shared" si="45"/>
        <v>3.0323920922294536</v>
      </c>
      <c r="BJ13" s="159">
        <f t="shared" si="46"/>
        <v>5.9232434705309176</v>
      </c>
      <c r="BK13" s="159">
        <f t="shared" si="47"/>
        <v>3.224198507670438</v>
      </c>
      <c r="BL13" s="159">
        <f t="shared" si="48"/>
        <v>6.4424076644789281</v>
      </c>
      <c r="BM13" s="159">
        <f t="shared" si="49"/>
        <v>13.198971453424104</v>
      </c>
      <c r="BN13" s="159">
        <f t="shared" si="50"/>
        <v>0.65429206969266218</v>
      </c>
      <c r="BO13" s="159">
        <f t="shared" si="51"/>
        <v>2.1983171643207529</v>
      </c>
      <c r="BP13" s="159">
        <f t="shared" si="52"/>
        <v>0.83047537318784015</v>
      </c>
      <c r="BQ13" s="159">
        <f t="shared" si="53"/>
        <v>5.1573079728768318</v>
      </c>
      <c r="BR13" s="159">
        <f t="shared" si="54"/>
        <v>19.452812851758274</v>
      </c>
      <c r="BS13" s="159">
        <f t="shared" si="55"/>
        <v>1.6986428732405654</v>
      </c>
      <c r="BT13" s="159">
        <f t="shared" si="56"/>
        <v>3.4684559703727436</v>
      </c>
      <c r="BU13" s="159">
        <f t="shared" si="57"/>
        <v>2.9799410449681321</v>
      </c>
      <c r="BV13" s="159">
        <f t="shared" si="58"/>
        <v>7.6936889431441271</v>
      </c>
      <c r="BW13" s="159">
        <f t="shared" si="59"/>
        <v>16.768174100374416</v>
      </c>
      <c r="BX13" s="159">
        <f t="shared" si="60"/>
        <v>1.5224873160156178</v>
      </c>
      <c r="BY13" s="159">
        <f t="shared" si="61"/>
        <v>3.4684559703727436</v>
      </c>
      <c r="BZ13" s="159">
        <f t="shared" si="62"/>
        <v>2.9799410449681321</v>
      </c>
      <c r="CA13" s="159">
        <f t="shared" si="63"/>
        <v>10.669709281591086</v>
      </c>
      <c r="CB13" s="159">
        <f t="shared" si="64"/>
        <v>13.558083122594859</v>
      </c>
      <c r="CC13" s="159">
        <f t="shared" si="65"/>
        <v>1.8622158906637309</v>
      </c>
      <c r="CD13" s="159">
        <f t="shared" si="66"/>
        <v>6.8651378261901446</v>
      </c>
      <c r="CE13" s="159">
        <f t="shared" si="67"/>
        <v>7.4580730875376284</v>
      </c>
      <c r="CF13" s="159">
        <f t="shared" si="68"/>
        <v>11.437556483473159</v>
      </c>
      <c r="CG13" s="159">
        <f t="shared" si="69"/>
        <v>7.4580730875376284</v>
      </c>
      <c r="CH13" s="159">
        <f t="shared" si="70"/>
        <v>7.2142939631768304</v>
      </c>
      <c r="CI13" s="159">
        <f t="shared" si="71"/>
        <v>12.542163655306176</v>
      </c>
      <c r="CJ13" s="159">
        <f t="shared" si="72"/>
        <v>7.2142939631768304</v>
      </c>
      <c r="CK13" s="159">
        <f t="shared" si="73"/>
        <v>4.2273016171121576</v>
      </c>
    </row>
    <row r="14" spans="1:89" x14ac:dyDescent="0.25">
      <c r="A14" t="str">
        <f>PLANTILLA!D16</f>
        <v>C. Rojas</v>
      </c>
      <c r="B14" s="487">
        <f>PLANTILLA!E16</f>
        <v>32</v>
      </c>
      <c r="C14" s="487">
        <f ca="1">PLANTILLA!F16</f>
        <v>75</v>
      </c>
      <c r="D14" s="487" t="str">
        <f>PLANTILLA!G16</f>
        <v>TEC</v>
      </c>
      <c r="E14" s="290">
        <v>41653</v>
      </c>
      <c r="F14" s="341">
        <f>PLANTILLA!Q16</f>
        <v>7</v>
      </c>
      <c r="G14" s="406">
        <f t="shared" si="78"/>
        <v>1</v>
      </c>
      <c r="H14" s="406">
        <f t="shared" si="75"/>
        <v>1</v>
      </c>
      <c r="I14" s="496">
        <v>1.5</v>
      </c>
      <c r="J14" s="497">
        <f>PLANTILLA!I16</f>
        <v>11.8</v>
      </c>
      <c r="K14" s="163">
        <f>PLANTILLA!X16</f>
        <v>0</v>
      </c>
      <c r="L14" s="163">
        <f>PLANTILLA!Y16</f>
        <v>8.6275555555555581</v>
      </c>
      <c r="M14" s="163">
        <f>PLANTILLA!Z16</f>
        <v>14.333255555555548</v>
      </c>
      <c r="N14" s="163">
        <f>PLANTILLA!AA16</f>
        <v>9.99</v>
      </c>
      <c r="O14" s="163">
        <f>PLANTILLA!AB16</f>
        <v>9.99</v>
      </c>
      <c r="P14" s="163">
        <f>PLANTILLA!AC16</f>
        <v>3.99</v>
      </c>
      <c r="Q14" s="163">
        <f>PLANTILLA!AD16</f>
        <v>17.144444444444439</v>
      </c>
      <c r="R14" s="163">
        <f t="shared" si="2"/>
        <v>3.9509444444444446</v>
      </c>
      <c r="S14" s="163">
        <f t="shared" si="3"/>
        <v>14.926323425973161</v>
      </c>
      <c r="T14" s="163">
        <f t="shared" si="4"/>
        <v>0.71383333333333321</v>
      </c>
      <c r="U14" s="163">
        <f t="shared" si="5"/>
        <v>0.85943555555555551</v>
      </c>
      <c r="V14" s="163">
        <f t="shared" ca="1" si="6"/>
        <v>19.573620454185939</v>
      </c>
      <c r="W14" s="163">
        <f t="shared" ca="1" si="7"/>
        <v>19.573620454185939</v>
      </c>
      <c r="X14" s="159">
        <f t="shared" si="8"/>
        <v>4.938375989837664</v>
      </c>
      <c r="Y14" s="159">
        <f t="shared" si="9"/>
        <v>7.4482773396873894</v>
      </c>
      <c r="Z14" s="159">
        <f t="shared" si="10"/>
        <v>4.938375989837664</v>
      </c>
      <c r="AA14" s="159">
        <f t="shared" si="11"/>
        <v>5.9632734876932822</v>
      </c>
      <c r="AB14" s="159">
        <f t="shared" si="12"/>
        <v>11.556731565297058</v>
      </c>
      <c r="AC14" s="159">
        <f t="shared" si="13"/>
        <v>2.9816367438466411</v>
      </c>
      <c r="AD14" s="159">
        <f t="shared" si="14"/>
        <v>4.1084587125406973</v>
      </c>
      <c r="AE14" s="159">
        <f t="shared" si="15"/>
        <v>4.3684445316822877</v>
      </c>
      <c r="AF14" s="159">
        <f t="shared" si="16"/>
        <v>8.3555169217097731</v>
      </c>
      <c r="AG14" s="159">
        <f t="shared" si="17"/>
        <v>2.1842222658411439</v>
      </c>
      <c r="AH14" s="159">
        <f t="shared" si="18"/>
        <v>6.6460361526393639</v>
      </c>
      <c r="AI14" s="159">
        <f t="shared" si="19"/>
        <v>10.632193040073293</v>
      </c>
      <c r="AJ14" s="159">
        <f t="shared" si="20"/>
        <v>4.7844868680329817</v>
      </c>
      <c r="AK14" s="159">
        <f t="shared" si="21"/>
        <v>2.8828260714046072</v>
      </c>
      <c r="AL14" s="159">
        <f t="shared" si="22"/>
        <v>7.5964754937280015</v>
      </c>
      <c r="AM14" s="159">
        <f t="shared" si="23"/>
        <v>8.7137756002339817</v>
      </c>
      <c r="AN14" s="159">
        <f t="shared" si="24"/>
        <v>8.1821659482303168</v>
      </c>
      <c r="AO14" s="159">
        <f t="shared" si="25"/>
        <v>3.3522946158490519</v>
      </c>
      <c r="AP14" s="159">
        <f t="shared" si="26"/>
        <v>1.9814746908055523</v>
      </c>
      <c r="AQ14" s="159">
        <f t="shared" si="27"/>
        <v>3.1203175226302058</v>
      </c>
      <c r="AR14" s="159">
        <f t="shared" si="28"/>
        <v>6.8646985497864526</v>
      </c>
      <c r="AS14" s="159">
        <f t="shared" si="29"/>
        <v>1.5601587613151029</v>
      </c>
      <c r="AT14" s="159">
        <f t="shared" si="30"/>
        <v>16.295735397640414</v>
      </c>
      <c r="AU14" s="159">
        <f t="shared" si="31"/>
        <v>1.6794928812663952</v>
      </c>
      <c r="AV14" s="159">
        <f t="shared" si="32"/>
        <v>2.7473185708542598</v>
      </c>
      <c r="AW14" s="159">
        <f t="shared" si="33"/>
        <v>0.83974644063319759</v>
      </c>
      <c r="AX14" s="159">
        <f t="shared" si="34"/>
        <v>2.1842222658411439</v>
      </c>
      <c r="AY14" s="159">
        <f t="shared" si="35"/>
        <v>4.6226926261188233</v>
      </c>
      <c r="AZ14" s="159">
        <f t="shared" si="36"/>
        <v>1.0921111329205719</v>
      </c>
      <c r="BA14" s="159">
        <f t="shared" si="37"/>
        <v>17.262431565297049</v>
      </c>
      <c r="BB14" s="159">
        <f t="shared" si="38"/>
        <v>3.2685515304645998</v>
      </c>
      <c r="BC14" s="159">
        <f t="shared" si="39"/>
        <v>5.8584659813675675</v>
      </c>
      <c r="BD14" s="159">
        <f t="shared" si="40"/>
        <v>1.6342757652322999</v>
      </c>
      <c r="BE14" s="159">
        <f t="shared" si="41"/>
        <v>3.3630088855014435</v>
      </c>
      <c r="BF14" s="159">
        <f t="shared" si="42"/>
        <v>4.0217425847233761</v>
      </c>
      <c r="BG14" s="159">
        <f t="shared" si="43"/>
        <v>15.2082022090267</v>
      </c>
      <c r="BH14" s="159">
        <f t="shared" si="44"/>
        <v>11.485147472660193</v>
      </c>
      <c r="BI14" s="159">
        <f t="shared" si="45"/>
        <v>3.1135214183477014</v>
      </c>
      <c r="BJ14" s="159">
        <f t="shared" si="46"/>
        <v>5.6050148091690728</v>
      </c>
      <c r="BK14" s="159">
        <f t="shared" si="47"/>
        <v>3.0509771332384235</v>
      </c>
      <c r="BL14" s="159">
        <f t="shared" si="48"/>
        <v>6.5769864263781761</v>
      </c>
      <c r="BM14" s="159">
        <f t="shared" si="49"/>
        <v>11.291359832514072</v>
      </c>
      <c r="BN14" s="159">
        <f t="shared" si="50"/>
        <v>0.67179715250655803</v>
      </c>
      <c r="BO14" s="159">
        <f t="shared" si="51"/>
        <v>2.0802116817534704</v>
      </c>
      <c r="BP14" s="159">
        <f t="shared" si="52"/>
        <v>0.78585774644020001</v>
      </c>
      <c r="BQ14" s="159">
        <f t="shared" si="53"/>
        <v>5.2650416274155996</v>
      </c>
      <c r="BR14" s="159">
        <f t="shared" si="54"/>
        <v>16.61406034852757</v>
      </c>
      <c r="BS14" s="159">
        <f t="shared" si="55"/>
        <v>1.7440887613151026</v>
      </c>
      <c r="BT14" s="159">
        <f t="shared" si="56"/>
        <v>3.2821117645443643</v>
      </c>
      <c r="BU14" s="159">
        <f t="shared" si="57"/>
        <v>2.8198425019324822</v>
      </c>
      <c r="BV14" s="159">
        <f t="shared" si="58"/>
        <v>7.8544063622101579</v>
      </c>
      <c r="BW14" s="159">
        <f t="shared" si="59"/>
        <v>14.314447018793583</v>
      </c>
      <c r="BX14" s="159">
        <f t="shared" si="60"/>
        <v>1.5632202971787215</v>
      </c>
      <c r="BY14" s="159">
        <f t="shared" si="61"/>
        <v>3.2821117645443643</v>
      </c>
      <c r="BZ14" s="159">
        <f t="shared" si="62"/>
        <v>2.8198425019324822</v>
      </c>
      <c r="CA14" s="159">
        <f t="shared" si="63"/>
        <v>10.892594317702438</v>
      </c>
      <c r="CB14" s="159">
        <f t="shared" si="64"/>
        <v>11.562662528718642</v>
      </c>
      <c r="CC14" s="159">
        <f t="shared" si="65"/>
        <v>1.9120380494417419</v>
      </c>
      <c r="CD14" s="159">
        <f t="shared" si="66"/>
        <v>7.0085472155106023</v>
      </c>
      <c r="CE14" s="159">
        <f t="shared" si="67"/>
        <v>7.0024247818546419</v>
      </c>
      <c r="CF14" s="159">
        <f t="shared" si="68"/>
        <v>11.048992186968931</v>
      </c>
      <c r="CG14" s="159">
        <f t="shared" si="69"/>
        <v>7.0024247818546419</v>
      </c>
      <c r="CH14" s="159">
        <f t="shared" si="70"/>
        <v>6.3586466540689548</v>
      </c>
      <c r="CI14" s="159">
        <f t="shared" si="71"/>
        <v>11.686351957336115</v>
      </c>
      <c r="CJ14" s="159">
        <f t="shared" si="72"/>
        <v>6.3586466540689548</v>
      </c>
      <c r="CK14" s="159">
        <f t="shared" si="73"/>
        <v>4.3156078913242624</v>
      </c>
    </row>
    <row r="15" spans="1:89" x14ac:dyDescent="0.25">
      <c r="A15" t="str">
        <f>PLANTILLA!D17</f>
        <v>E. Gross</v>
      </c>
      <c r="B15" s="487">
        <f>PLANTILLA!E17</f>
        <v>31</v>
      </c>
      <c r="C15" s="487">
        <f ca="1">PLANTILLA!F17</f>
        <v>69</v>
      </c>
      <c r="D15" s="487"/>
      <c r="E15" s="290">
        <v>41552</v>
      </c>
      <c r="F15" s="341">
        <f>PLANTILLA!Q17</f>
        <v>6</v>
      </c>
      <c r="G15" s="406">
        <f t="shared" si="78"/>
        <v>0.92582009977255142</v>
      </c>
      <c r="H15" s="406">
        <f t="shared" si="75"/>
        <v>0.99928545900129484</v>
      </c>
      <c r="I15" s="496">
        <v>1.5</v>
      </c>
      <c r="J15" s="497">
        <f>PLANTILLA!I17</f>
        <v>10</v>
      </c>
      <c r="K15" s="163">
        <f>PLANTILLA!X17</f>
        <v>0</v>
      </c>
      <c r="L15" s="163">
        <f>PLANTILLA!Y17</f>
        <v>10.549999999999995</v>
      </c>
      <c r="M15" s="163">
        <f>PLANTILLA!Z17</f>
        <v>13</v>
      </c>
      <c r="N15" s="163">
        <f>PLANTILLA!AA17</f>
        <v>5.1399999999999979</v>
      </c>
      <c r="O15" s="163">
        <f>PLANTILLA!AB17</f>
        <v>9.24</v>
      </c>
      <c r="P15" s="163">
        <f>PLANTILLA!AC17</f>
        <v>2.98</v>
      </c>
      <c r="Q15" s="163">
        <f>PLANTILLA!AD17</f>
        <v>17.459999999999997</v>
      </c>
      <c r="R15" s="163">
        <f t="shared" si="2"/>
        <v>4.0037499999999993</v>
      </c>
      <c r="S15" s="163">
        <f t="shared" si="3"/>
        <v>13.211466666666665</v>
      </c>
      <c r="T15" s="163">
        <f t="shared" si="4"/>
        <v>0.67279999999999984</v>
      </c>
      <c r="U15" s="163">
        <f t="shared" si="5"/>
        <v>0.94579999999999964</v>
      </c>
      <c r="V15" s="163">
        <f t="shared" ca="1" si="6"/>
        <v>18.325065841498031</v>
      </c>
      <c r="W15" s="163">
        <f t="shared" ca="1" si="7"/>
        <v>19.779190185165625</v>
      </c>
      <c r="X15" s="159">
        <f t="shared" si="8"/>
        <v>5.3852999999999991</v>
      </c>
      <c r="Y15" s="159">
        <f t="shared" si="9"/>
        <v>8.1415833333333314</v>
      </c>
      <c r="Z15" s="159">
        <f t="shared" si="10"/>
        <v>5.3852999999999991</v>
      </c>
      <c r="AA15" s="159">
        <f t="shared" si="11"/>
        <v>6.9057999999999984</v>
      </c>
      <c r="AB15" s="159">
        <f t="shared" si="12"/>
        <v>13.383333333333329</v>
      </c>
      <c r="AC15" s="159">
        <f t="shared" si="13"/>
        <v>3.4528999999999992</v>
      </c>
      <c r="AD15" s="159">
        <f t="shared" si="14"/>
        <v>3.7683333333333331</v>
      </c>
      <c r="AE15" s="159">
        <f t="shared" si="15"/>
        <v>5.0588999999999986</v>
      </c>
      <c r="AF15" s="159">
        <f t="shared" si="16"/>
        <v>9.6761499999999963</v>
      </c>
      <c r="AG15" s="159">
        <f t="shared" si="17"/>
        <v>2.5294499999999993</v>
      </c>
      <c r="AH15" s="159">
        <f t="shared" si="18"/>
        <v>6.0958333333333341</v>
      </c>
      <c r="AI15" s="159">
        <f t="shared" si="19"/>
        <v>12.312666666666663</v>
      </c>
      <c r="AJ15" s="159">
        <f t="shared" si="20"/>
        <v>5.5406999999999984</v>
      </c>
      <c r="AK15" s="159">
        <f t="shared" si="21"/>
        <v>2.644166666666667</v>
      </c>
      <c r="AL15" s="159">
        <f t="shared" si="22"/>
        <v>4.6883199999999983</v>
      </c>
      <c r="AM15" s="159">
        <f t="shared" si="23"/>
        <v>10.09103333333333</v>
      </c>
      <c r="AN15" s="159">
        <f t="shared" si="24"/>
        <v>9.4753999999999969</v>
      </c>
      <c r="AO15" s="159">
        <f t="shared" si="25"/>
        <v>3.3889866666666664</v>
      </c>
      <c r="AP15" s="159">
        <f t="shared" si="26"/>
        <v>1.9690799999999995</v>
      </c>
      <c r="AQ15" s="159">
        <f t="shared" si="27"/>
        <v>3.6134999999999993</v>
      </c>
      <c r="AR15" s="159">
        <f t="shared" si="28"/>
        <v>7.9496999999999973</v>
      </c>
      <c r="AS15" s="159">
        <f t="shared" si="29"/>
        <v>1.8067499999999996</v>
      </c>
      <c r="AT15" s="159">
        <f t="shared" si="30"/>
        <v>14.946666666666667</v>
      </c>
      <c r="AU15" s="159">
        <f t="shared" si="31"/>
        <v>1.5695333333333334</v>
      </c>
      <c r="AV15" s="159">
        <f t="shared" si="32"/>
        <v>2.4545066666666666</v>
      </c>
      <c r="AW15" s="159">
        <f t="shared" si="33"/>
        <v>0.78476666666666672</v>
      </c>
      <c r="AX15" s="159">
        <f t="shared" si="34"/>
        <v>2.5294499999999993</v>
      </c>
      <c r="AY15" s="159">
        <f t="shared" si="35"/>
        <v>5.3533333333333317</v>
      </c>
      <c r="AZ15" s="159">
        <f t="shared" si="36"/>
        <v>1.2647249999999997</v>
      </c>
      <c r="BA15" s="159">
        <f t="shared" si="37"/>
        <v>15.833333333333334</v>
      </c>
      <c r="BB15" s="159">
        <f t="shared" si="38"/>
        <v>3.0545533333333337</v>
      </c>
      <c r="BC15" s="159">
        <f t="shared" si="39"/>
        <v>5.3378066666666673</v>
      </c>
      <c r="BD15" s="159">
        <f t="shared" si="40"/>
        <v>1.5272766666666668</v>
      </c>
      <c r="BE15" s="159">
        <f t="shared" si="41"/>
        <v>3.8945499999999984</v>
      </c>
      <c r="BF15" s="159">
        <f t="shared" si="42"/>
        <v>4.6573999999999982</v>
      </c>
      <c r="BG15" s="159">
        <f t="shared" si="43"/>
        <v>13.949166666666667</v>
      </c>
      <c r="BH15" s="159">
        <f t="shared" si="44"/>
        <v>8.3797933333333319</v>
      </c>
      <c r="BI15" s="159">
        <f t="shared" si="45"/>
        <v>2.9096733333333336</v>
      </c>
      <c r="BJ15" s="159">
        <f t="shared" si="46"/>
        <v>6.4909166666666644</v>
      </c>
      <c r="BK15" s="159">
        <f t="shared" si="47"/>
        <v>3.533199999999999</v>
      </c>
      <c r="BL15" s="159">
        <f t="shared" si="48"/>
        <v>6.0325000000000006</v>
      </c>
      <c r="BM15" s="159">
        <f t="shared" si="49"/>
        <v>7.7927933333333321</v>
      </c>
      <c r="BN15" s="159">
        <f t="shared" si="50"/>
        <v>0.62781333333333333</v>
      </c>
      <c r="BO15" s="159">
        <f t="shared" si="51"/>
        <v>2.4089999999999994</v>
      </c>
      <c r="BP15" s="159">
        <f t="shared" si="52"/>
        <v>0.91006666666666647</v>
      </c>
      <c r="BQ15" s="159">
        <f t="shared" si="53"/>
        <v>4.8291666666666666</v>
      </c>
      <c r="BR15" s="159">
        <f t="shared" si="54"/>
        <v>11.426306666666665</v>
      </c>
      <c r="BS15" s="159">
        <f t="shared" si="55"/>
        <v>1.6299000000000001</v>
      </c>
      <c r="BT15" s="159">
        <f t="shared" si="56"/>
        <v>3.8008666666666651</v>
      </c>
      <c r="BU15" s="159">
        <f t="shared" si="57"/>
        <v>3.2655333333333321</v>
      </c>
      <c r="BV15" s="159">
        <f t="shared" si="58"/>
        <v>7.2041666666666675</v>
      </c>
      <c r="BW15" s="159">
        <f t="shared" si="59"/>
        <v>9.8348533333333314</v>
      </c>
      <c r="BX15" s="159">
        <f t="shared" si="60"/>
        <v>1.4608733333333335</v>
      </c>
      <c r="BY15" s="159">
        <f t="shared" si="61"/>
        <v>3.8008666666666651</v>
      </c>
      <c r="BZ15" s="159">
        <f t="shared" si="62"/>
        <v>3.2655333333333321</v>
      </c>
      <c r="CA15" s="159">
        <f t="shared" si="63"/>
        <v>9.9908333333333346</v>
      </c>
      <c r="CB15" s="159">
        <f t="shared" si="64"/>
        <v>7.9274333333333313</v>
      </c>
      <c r="CC15" s="159">
        <f t="shared" si="65"/>
        <v>1.7868533333333334</v>
      </c>
      <c r="CD15" s="159">
        <f t="shared" si="66"/>
        <v>6.4283333333333337</v>
      </c>
      <c r="CE15" s="159">
        <f t="shared" si="67"/>
        <v>4.9047866666666664</v>
      </c>
      <c r="CF15" s="159">
        <f t="shared" si="68"/>
        <v>9.9449933333333345</v>
      </c>
      <c r="CG15" s="159">
        <f t="shared" si="69"/>
        <v>4.9047866666666664</v>
      </c>
      <c r="CH15" s="159">
        <f t="shared" si="70"/>
        <v>4.8579866666666662</v>
      </c>
      <c r="CI15" s="159">
        <f t="shared" si="71"/>
        <v>10.268393333333334</v>
      </c>
      <c r="CJ15" s="159">
        <f t="shared" si="72"/>
        <v>4.8579866666666662</v>
      </c>
      <c r="CK15" s="159">
        <f t="shared" si="73"/>
        <v>3.9583333333333335</v>
      </c>
    </row>
    <row r="16" spans="1:89" x14ac:dyDescent="0.25">
      <c r="A16" t="str">
        <f>PLANTILLA!D18</f>
        <v>L. Bauman</v>
      </c>
      <c r="B16" s="487">
        <f>PLANTILLA!E18</f>
        <v>31</v>
      </c>
      <c r="C16" s="487">
        <f ca="1">PLANTILLA!F18</f>
        <v>44</v>
      </c>
      <c r="D16" s="487"/>
      <c r="E16" s="290">
        <v>41686</v>
      </c>
      <c r="F16" s="341">
        <f>PLANTILLA!Q18</f>
        <v>6</v>
      </c>
      <c r="G16" s="406">
        <f t="shared" si="78"/>
        <v>0.92582009977255142</v>
      </c>
      <c r="H16" s="406">
        <f t="shared" si="75"/>
        <v>0.99928545900129484</v>
      </c>
      <c r="I16" s="496">
        <v>1.5</v>
      </c>
      <c r="J16" s="497">
        <f>PLANTILLA!I18</f>
        <v>8.9</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16.669999999999998</v>
      </c>
      <c r="R16" s="163">
        <f t="shared" si="2"/>
        <v>3.3430555555555568</v>
      </c>
      <c r="S16" s="163">
        <f t="shared" si="3"/>
        <v>20.017971441802565</v>
      </c>
      <c r="T16" s="163">
        <f t="shared" si="4"/>
        <v>0.87169444444444433</v>
      </c>
      <c r="U16" s="163">
        <f t="shared" si="5"/>
        <v>0.71867777777777775</v>
      </c>
      <c r="V16" s="163">
        <f t="shared" ca="1" si="6"/>
        <v>17.531193630547726</v>
      </c>
      <c r="W16" s="163">
        <f t="shared" ca="1" si="7"/>
        <v>18.92232289863475</v>
      </c>
      <c r="X16" s="159">
        <f t="shared" si="8"/>
        <v>3.9227766344013451</v>
      </c>
      <c r="Y16" s="159">
        <f t="shared" si="9"/>
        <v>5.8931055536603321</v>
      </c>
      <c r="Z16" s="159">
        <f t="shared" si="10"/>
        <v>3.9227766344013451</v>
      </c>
      <c r="AA16" s="159">
        <f t="shared" si="11"/>
        <v>4.2468336579050332</v>
      </c>
      <c r="AB16" s="159">
        <f t="shared" si="12"/>
        <v>8.2302977866376619</v>
      </c>
      <c r="AC16" s="159">
        <f t="shared" si="13"/>
        <v>2.1234168289525166</v>
      </c>
      <c r="AD16" s="159">
        <f t="shared" si="14"/>
        <v>4.0918151028493899</v>
      </c>
      <c r="AE16" s="159">
        <f t="shared" si="15"/>
        <v>3.1110525633490362</v>
      </c>
      <c r="AF16" s="159">
        <f t="shared" si="16"/>
        <v>5.9505052997390298</v>
      </c>
      <c r="AG16" s="159">
        <f t="shared" si="17"/>
        <v>1.5555262816745181</v>
      </c>
      <c r="AH16" s="159">
        <f t="shared" si="18"/>
        <v>6.6191126663740141</v>
      </c>
      <c r="AI16" s="159">
        <f t="shared" si="19"/>
        <v>7.5718739637066497</v>
      </c>
      <c r="AJ16" s="159">
        <f t="shared" si="20"/>
        <v>3.4073432836679918</v>
      </c>
      <c r="AK16" s="159">
        <f t="shared" si="21"/>
        <v>2.8711475721674296</v>
      </c>
      <c r="AL16" s="159">
        <f t="shared" si="22"/>
        <v>3.6916717652096107</v>
      </c>
      <c r="AM16" s="159">
        <f t="shared" si="23"/>
        <v>6.205644531124797</v>
      </c>
      <c r="AN16" s="159">
        <f t="shared" si="24"/>
        <v>5.8270508329394639</v>
      </c>
      <c r="AO16" s="159">
        <f t="shared" si="25"/>
        <v>3.2457875081462673</v>
      </c>
      <c r="AP16" s="159">
        <f t="shared" si="26"/>
        <v>1.7593657625516466</v>
      </c>
      <c r="AQ16" s="159">
        <f t="shared" si="27"/>
        <v>2.2221804023921687</v>
      </c>
      <c r="AR16" s="159">
        <f t="shared" si="28"/>
        <v>4.8887968852627708</v>
      </c>
      <c r="AS16" s="159">
        <f t="shared" si="29"/>
        <v>1.1110902011960844</v>
      </c>
      <c r="AT16" s="159">
        <f t="shared" si="30"/>
        <v>16.229720407940437</v>
      </c>
      <c r="AU16" s="159">
        <f t="shared" si="31"/>
        <v>1.5477609344851189</v>
      </c>
      <c r="AV16" s="159">
        <f t="shared" si="32"/>
        <v>3.1929118070403906</v>
      </c>
      <c r="AW16" s="159">
        <f t="shared" si="33"/>
        <v>0.77388046724255943</v>
      </c>
      <c r="AX16" s="159">
        <f t="shared" si="34"/>
        <v>1.5555262816745181</v>
      </c>
      <c r="AY16" s="159">
        <f t="shared" si="35"/>
        <v>3.292119114655065</v>
      </c>
      <c r="AZ16" s="159">
        <f t="shared" si="36"/>
        <v>0.77776314083725906</v>
      </c>
      <c r="BA16" s="159">
        <f t="shared" si="37"/>
        <v>17.192500432140296</v>
      </c>
      <c r="BB16" s="159">
        <f t="shared" si="38"/>
        <v>3.0121808955748852</v>
      </c>
      <c r="BC16" s="159">
        <f t="shared" si="39"/>
        <v>6.2014218582151308</v>
      </c>
      <c r="BD16" s="159">
        <f t="shared" si="40"/>
        <v>1.5060904477874426</v>
      </c>
      <c r="BE16" s="159">
        <f t="shared" si="41"/>
        <v>2.3950166559115593</v>
      </c>
      <c r="BF16" s="159">
        <f t="shared" si="42"/>
        <v>2.8641436297499063</v>
      </c>
      <c r="BG16" s="159">
        <f t="shared" si="43"/>
        <v>15.1465928807156</v>
      </c>
      <c r="BH16" s="159">
        <f t="shared" si="44"/>
        <v>7.3541186212097704</v>
      </c>
      <c r="BI16" s="159">
        <f t="shared" si="45"/>
        <v>2.8693106554685666</v>
      </c>
      <c r="BJ16" s="159">
        <f t="shared" si="46"/>
        <v>3.991694426519266</v>
      </c>
      <c r="BK16" s="159">
        <f t="shared" si="47"/>
        <v>2.1727986156723427</v>
      </c>
      <c r="BL16" s="159">
        <f t="shared" si="48"/>
        <v>6.550342664645453</v>
      </c>
      <c r="BM16" s="159">
        <f t="shared" si="49"/>
        <v>6.6184083210768723</v>
      </c>
      <c r="BN16" s="159">
        <f t="shared" si="50"/>
        <v>0.61910437379404748</v>
      </c>
      <c r="BO16" s="159">
        <f t="shared" si="51"/>
        <v>1.481453601594779</v>
      </c>
      <c r="BP16" s="159">
        <f t="shared" si="52"/>
        <v>0.55966024949136106</v>
      </c>
      <c r="BQ16" s="159">
        <f t="shared" si="53"/>
        <v>5.24371263180279</v>
      </c>
      <c r="BR16" s="159">
        <f t="shared" si="54"/>
        <v>9.683427398060477</v>
      </c>
      <c r="BS16" s="159">
        <f t="shared" si="55"/>
        <v>1.607290201196085</v>
      </c>
      <c r="BT16" s="159">
        <f t="shared" si="56"/>
        <v>2.3374045714050959</v>
      </c>
      <c r="BU16" s="159">
        <f t="shared" si="57"/>
        <v>2.0081926599395894</v>
      </c>
      <c r="BV16" s="159">
        <f t="shared" si="58"/>
        <v>7.8225876966238346</v>
      </c>
      <c r="BW16" s="159">
        <f t="shared" si="59"/>
        <v>8.3295255031500837</v>
      </c>
      <c r="BX16" s="159">
        <f t="shared" si="60"/>
        <v>1.4406082544053798</v>
      </c>
      <c r="BY16" s="159">
        <f t="shared" si="61"/>
        <v>2.3374045714050959</v>
      </c>
      <c r="BZ16" s="159">
        <f t="shared" si="62"/>
        <v>2.0081926599395894</v>
      </c>
      <c r="CA16" s="159">
        <f t="shared" si="63"/>
        <v>10.848467772680527</v>
      </c>
      <c r="CB16" s="159">
        <f t="shared" si="64"/>
        <v>6.7052337412629299</v>
      </c>
      <c r="CC16" s="159">
        <f t="shared" si="65"/>
        <v>1.7620662946445966</v>
      </c>
      <c r="CD16" s="159">
        <f t="shared" si="66"/>
        <v>6.980155175448961</v>
      </c>
      <c r="CE16" s="159">
        <f t="shared" si="67"/>
        <v>5.1756594801715554</v>
      </c>
      <c r="CF16" s="159">
        <f t="shared" si="68"/>
        <v>12.410162085531788</v>
      </c>
      <c r="CG16" s="159">
        <f t="shared" si="69"/>
        <v>5.1756594801715554</v>
      </c>
      <c r="CH16" s="159">
        <f t="shared" si="70"/>
        <v>5.5995602432974856</v>
      </c>
      <c r="CI16" s="159">
        <f t="shared" si="71"/>
        <v>14.591002114351404</v>
      </c>
      <c r="CJ16" s="159">
        <f t="shared" si="72"/>
        <v>5.5995602432974856</v>
      </c>
      <c r="CK16" s="159">
        <f t="shared" si="73"/>
        <v>4.298125108035074</v>
      </c>
    </row>
    <row r="17" spans="1:89" x14ac:dyDescent="0.25">
      <c r="A17" t="str">
        <f>PLANTILLA!D19</f>
        <v>W. Gelifini</v>
      </c>
      <c r="B17" s="487">
        <f>PLANTILLA!E19</f>
        <v>29</v>
      </c>
      <c r="C17" s="487">
        <f ca="1">PLANTILLA!F19</f>
        <v>106</v>
      </c>
      <c r="D17" s="487"/>
      <c r="E17" s="290">
        <v>41737</v>
      </c>
      <c r="F17" s="341">
        <f>PLANTILLA!Q19</f>
        <v>3</v>
      </c>
      <c r="G17" s="406">
        <f t="shared" si="78"/>
        <v>0.65465367070797709</v>
      </c>
      <c r="H17" s="406">
        <f t="shared" si="75"/>
        <v>0.75498344352707503</v>
      </c>
      <c r="I17" s="496">
        <v>1.5</v>
      </c>
      <c r="J17" s="497">
        <f>PLANTILLA!I19</f>
        <v>4.2</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12.847222222222223</v>
      </c>
      <c r="R17" s="163">
        <f t="shared" si="2"/>
        <v>3.3981111111111098</v>
      </c>
      <c r="S17" s="163">
        <f t="shared" si="3"/>
        <v>10.496831242372478</v>
      </c>
      <c r="T17" s="163">
        <f t="shared" si="4"/>
        <v>0.56250555555555548</v>
      </c>
      <c r="U17" s="163">
        <f t="shared" si="5"/>
        <v>0.61147888888888879</v>
      </c>
      <c r="V17" s="163">
        <f t="shared" ca="1" si="6"/>
        <v>9.6091514378536864</v>
      </c>
      <c r="W17" s="163">
        <f t="shared" ca="1" si="7"/>
        <v>11.081814043871853</v>
      </c>
      <c r="X17" s="159">
        <f t="shared" si="8"/>
        <v>3.5947915073564887</v>
      </c>
      <c r="Y17" s="159">
        <f t="shared" si="9"/>
        <v>5.4112308896493619</v>
      </c>
      <c r="Z17" s="159">
        <f t="shared" si="10"/>
        <v>3.5947915073564887</v>
      </c>
      <c r="AA17" s="159">
        <f t="shared" si="11"/>
        <v>4.1189981784604202</v>
      </c>
      <c r="AB17" s="159">
        <f t="shared" si="12"/>
        <v>7.9825546094194193</v>
      </c>
      <c r="AC17" s="159">
        <f t="shared" si="13"/>
        <v>2.0594990892302101</v>
      </c>
      <c r="AD17" s="159">
        <f t="shared" si="14"/>
        <v>2.904394430375155</v>
      </c>
      <c r="AE17" s="159">
        <f t="shared" si="15"/>
        <v>3.0174056423605404</v>
      </c>
      <c r="AF17" s="159">
        <f t="shared" si="16"/>
        <v>5.77138698261024</v>
      </c>
      <c r="AG17" s="159">
        <f t="shared" si="17"/>
        <v>1.5087028211802702</v>
      </c>
      <c r="AH17" s="159">
        <f t="shared" si="18"/>
        <v>4.6982851079598102</v>
      </c>
      <c r="AI17" s="159">
        <f t="shared" si="19"/>
        <v>7.3439502406658663</v>
      </c>
      <c r="AJ17" s="159">
        <f t="shared" si="20"/>
        <v>3.3047776082996396</v>
      </c>
      <c r="AK17" s="159">
        <f t="shared" si="21"/>
        <v>2.0379574364397102</v>
      </c>
      <c r="AL17" s="159">
        <f t="shared" si="22"/>
        <v>5.5293554436719532</v>
      </c>
      <c r="AM17" s="159">
        <f t="shared" si="23"/>
        <v>6.018846175502242</v>
      </c>
      <c r="AN17" s="159">
        <f t="shared" si="24"/>
        <v>5.6516486634689489</v>
      </c>
      <c r="AO17" s="159">
        <f t="shared" si="25"/>
        <v>2.5347629531063771</v>
      </c>
      <c r="AP17" s="159">
        <f t="shared" si="26"/>
        <v>1.6499837275127933</v>
      </c>
      <c r="AQ17" s="159">
        <f t="shared" si="27"/>
        <v>2.1552897445432433</v>
      </c>
      <c r="AR17" s="159">
        <f t="shared" si="28"/>
        <v>4.7416374379951352</v>
      </c>
      <c r="AS17" s="159">
        <f t="shared" si="29"/>
        <v>1.0776448722716216</v>
      </c>
      <c r="AT17" s="159">
        <f t="shared" si="30"/>
        <v>11.519951017958599</v>
      </c>
      <c r="AU17" s="159">
        <f t="shared" si="31"/>
        <v>1.5076965436689691</v>
      </c>
      <c r="AV17" s="159">
        <f t="shared" si="32"/>
        <v>2.4077102783376678</v>
      </c>
      <c r="AW17" s="159">
        <f t="shared" si="33"/>
        <v>0.75384827183448455</v>
      </c>
      <c r="AX17" s="159">
        <f t="shared" si="34"/>
        <v>1.5087028211802702</v>
      </c>
      <c r="AY17" s="159">
        <f t="shared" si="35"/>
        <v>3.193021843767768</v>
      </c>
      <c r="AZ17" s="159">
        <f t="shared" si="36"/>
        <v>0.75435141059013511</v>
      </c>
      <c r="BA17" s="159">
        <f t="shared" si="37"/>
        <v>12.203337942752754</v>
      </c>
      <c r="BB17" s="159">
        <f t="shared" si="38"/>
        <v>2.9342094272942241</v>
      </c>
      <c r="BC17" s="159">
        <f t="shared" si="39"/>
        <v>5.1880871453456558</v>
      </c>
      <c r="BD17" s="159">
        <f t="shared" si="40"/>
        <v>1.467104713647112</v>
      </c>
      <c r="BE17" s="159">
        <f t="shared" si="41"/>
        <v>2.322923391341051</v>
      </c>
      <c r="BF17" s="159">
        <f t="shared" si="42"/>
        <v>2.7779290040779578</v>
      </c>
      <c r="BG17" s="159">
        <f t="shared" si="43"/>
        <v>10.751140727565176</v>
      </c>
      <c r="BH17" s="159">
        <f t="shared" si="44"/>
        <v>9.0509688255516423</v>
      </c>
      <c r="BI17" s="159">
        <f t="shared" si="45"/>
        <v>2.7950374386478578</v>
      </c>
      <c r="BJ17" s="159">
        <f t="shared" si="46"/>
        <v>3.8715389855684181</v>
      </c>
      <c r="BK17" s="159">
        <f t="shared" si="47"/>
        <v>2.1073944168867267</v>
      </c>
      <c r="BL17" s="159">
        <f t="shared" si="48"/>
        <v>4.6494717561887988</v>
      </c>
      <c r="BM17" s="159">
        <f t="shared" si="49"/>
        <v>8.6597978397436854</v>
      </c>
      <c r="BN17" s="159">
        <f t="shared" si="50"/>
        <v>0.60307861746758751</v>
      </c>
      <c r="BO17" s="159">
        <f t="shared" si="51"/>
        <v>1.4368598296954955</v>
      </c>
      <c r="BP17" s="159">
        <f t="shared" si="52"/>
        <v>0.54281371344052054</v>
      </c>
      <c r="BQ17" s="159">
        <f t="shared" si="53"/>
        <v>3.7220180725395897</v>
      </c>
      <c r="BR17" s="159">
        <f t="shared" si="54"/>
        <v>12.720598116602265</v>
      </c>
      <c r="BS17" s="159">
        <f t="shared" si="55"/>
        <v>1.5656848722716217</v>
      </c>
      <c r="BT17" s="159">
        <f t="shared" si="56"/>
        <v>2.2670455090751149</v>
      </c>
      <c r="BU17" s="159">
        <f t="shared" si="57"/>
        <v>1.9477433246983382</v>
      </c>
      <c r="BV17" s="159">
        <f t="shared" si="58"/>
        <v>5.5525187639525031</v>
      </c>
      <c r="BW17" s="159">
        <f t="shared" si="59"/>
        <v>10.95459761834783</v>
      </c>
      <c r="BX17" s="159">
        <f t="shared" si="60"/>
        <v>1.4033175521841941</v>
      </c>
      <c r="BY17" s="159">
        <f t="shared" si="61"/>
        <v>2.2670455090751149</v>
      </c>
      <c r="BZ17" s="159">
        <f t="shared" si="62"/>
        <v>1.9477433246983382</v>
      </c>
      <c r="CA17" s="159">
        <f t="shared" si="63"/>
        <v>7.7003062418769872</v>
      </c>
      <c r="CB17" s="159">
        <f t="shared" si="64"/>
        <v>8.8397228198748259</v>
      </c>
      <c r="CC17" s="159">
        <f t="shared" si="65"/>
        <v>1.7164545266385185</v>
      </c>
      <c r="CD17" s="159">
        <f t="shared" si="66"/>
        <v>4.954555204757618</v>
      </c>
      <c r="CE17" s="159">
        <f t="shared" si="67"/>
        <v>4.9993869515075184</v>
      </c>
      <c r="CF17" s="159">
        <f t="shared" si="68"/>
        <v>9.721361379095157</v>
      </c>
      <c r="CG17" s="159">
        <f t="shared" si="69"/>
        <v>4.9993869515075184</v>
      </c>
      <c r="CH17" s="159">
        <f t="shared" si="70"/>
        <v>5.122000632779411</v>
      </c>
      <c r="CI17" s="159">
        <f t="shared" si="71"/>
        <v>10.152315482517409</v>
      </c>
      <c r="CJ17" s="159">
        <f t="shared" si="72"/>
        <v>5.122000632779411</v>
      </c>
      <c r="CK17" s="159">
        <f t="shared" si="73"/>
        <v>3.0508344856881884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81</v>
      </c>
      <c r="D19" s="487" t="str">
        <f>PLANTILLA!G21</f>
        <v>RAP</v>
      </c>
      <c r="E19" s="290">
        <v>41664</v>
      </c>
      <c r="F19" s="341">
        <f>PLANTILLA!Q21</f>
        <v>5</v>
      </c>
      <c r="G19" s="406">
        <f t="shared" si="78"/>
        <v>0.84515425472851657</v>
      </c>
      <c r="H19" s="406">
        <f t="shared" si="75"/>
        <v>0.92504826128926143</v>
      </c>
      <c r="I19" s="496">
        <v>1.5</v>
      </c>
      <c r="J19" s="497">
        <f>PLANTILLA!I21</f>
        <v>11</v>
      </c>
      <c r="K19" s="163">
        <f>PLANTILLA!X21</f>
        <v>0</v>
      </c>
      <c r="L19" s="163">
        <f>PLANTILLA!Y21</f>
        <v>6.8376190476190493</v>
      </c>
      <c r="M19" s="163">
        <f>PLANTILLA!Z21</f>
        <v>9</v>
      </c>
      <c r="N19" s="163">
        <f>PLANTILLA!AA21</f>
        <v>8.7399999999999967</v>
      </c>
      <c r="O19" s="163">
        <f>PLANTILLA!AB21</f>
        <v>9.6900000000000013</v>
      </c>
      <c r="P19" s="163">
        <f>PLANTILLA!AC21</f>
        <v>8.5625000000000018</v>
      </c>
      <c r="Q19" s="163">
        <f>PLANTILLA!AD21</f>
        <v>18.999999999999993</v>
      </c>
      <c r="R19" s="163">
        <f t="shared" si="2"/>
        <v>3.6522023809523816</v>
      </c>
      <c r="S19" s="163">
        <f t="shared" si="3"/>
        <v>23.447387112266235</v>
      </c>
      <c r="T19" s="163">
        <f t="shared" si="4"/>
        <v>0.99812499999999993</v>
      </c>
      <c r="U19" s="163">
        <f t="shared" si="5"/>
        <v>0.84350476190476176</v>
      </c>
      <c r="V19" s="163">
        <f t="shared" ca="1" si="6"/>
        <v>18.076601706176497</v>
      </c>
      <c r="W19" s="163">
        <f t="shared" ca="1" si="7"/>
        <v>19.785416549418517</v>
      </c>
      <c r="X19" s="159">
        <f t="shared" si="8"/>
        <v>4.4088639426670317</v>
      </c>
      <c r="Y19" s="159">
        <f t="shared" si="9"/>
        <v>6.6350720372904544</v>
      </c>
      <c r="Z19" s="159">
        <f t="shared" si="10"/>
        <v>4.4088639426670317</v>
      </c>
      <c r="AA19" s="159">
        <f t="shared" si="11"/>
        <v>5.0186895959602884</v>
      </c>
      <c r="AB19" s="159">
        <f t="shared" si="12"/>
        <v>9.7261426278300167</v>
      </c>
      <c r="AC19" s="159">
        <f t="shared" si="13"/>
        <v>2.5093447979801442</v>
      </c>
      <c r="AD19" s="159">
        <f t="shared" si="14"/>
        <v>2.8294686120902099</v>
      </c>
      <c r="AE19" s="159">
        <f t="shared" si="15"/>
        <v>3.6764819133197464</v>
      </c>
      <c r="AF19" s="159">
        <f t="shared" si="16"/>
        <v>7.0320011199211017</v>
      </c>
      <c r="AG19" s="159">
        <f t="shared" si="17"/>
        <v>1.8382409566598732</v>
      </c>
      <c r="AH19" s="159">
        <f t="shared" si="18"/>
        <v>4.5770815783812226</v>
      </c>
      <c r="AI19" s="159">
        <f t="shared" si="19"/>
        <v>8.9480512176036164</v>
      </c>
      <c r="AJ19" s="159">
        <f t="shared" si="20"/>
        <v>4.0266230479216265</v>
      </c>
      <c r="AK19" s="159">
        <f t="shared" si="21"/>
        <v>1.9853834378952315</v>
      </c>
      <c r="AL19" s="159">
        <f t="shared" si="22"/>
        <v>6.8375718651640458</v>
      </c>
      <c r="AM19" s="159">
        <f t="shared" si="23"/>
        <v>7.3335115413838325</v>
      </c>
      <c r="AN19" s="159">
        <f t="shared" si="24"/>
        <v>6.8861089805036517</v>
      </c>
      <c r="AO19" s="159">
        <f t="shared" si="25"/>
        <v>3.6553834378952308</v>
      </c>
      <c r="AP19" s="159">
        <f t="shared" si="26"/>
        <v>1.8837290768150441</v>
      </c>
      <c r="AQ19" s="159">
        <f t="shared" si="27"/>
        <v>2.6260585095141047</v>
      </c>
      <c r="AR19" s="159">
        <f t="shared" si="28"/>
        <v>5.7773287209310293</v>
      </c>
      <c r="AS19" s="159">
        <f t="shared" si="29"/>
        <v>1.3130292547570523</v>
      </c>
      <c r="AT19" s="159">
        <f t="shared" si="30"/>
        <v>11.222766259719151</v>
      </c>
      <c r="AU19" s="159">
        <f t="shared" si="31"/>
        <v>1.6352080654274259</v>
      </c>
      <c r="AV19" s="159">
        <f t="shared" si="32"/>
        <v>3.4904499090018133</v>
      </c>
      <c r="AW19" s="159">
        <f t="shared" si="33"/>
        <v>0.81760403271371296</v>
      </c>
      <c r="AX19" s="159">
        <f t="shared" si="34"/>
        <v>1.8382409566598732</v>
      </c>
      <c r="AY19" s="159">
        <f t="shared" si="35"/>
        <v>3.8904570511320067</v>
      </c>
      <c r="AZ19" s="159">
        <f t="shared" si="36"/>
        <v>0.9191204783299366</v>
      </c>
      <c r="BA19" s="159">
        <f t="shared" si="37"/>
        <v>11.888523580210967</v>
      </c>
      <c r="BB19" s="159">
        <f t="shared" si="38"/>
        <v>3.182366465793375</v>
      </c>
      <c r="BC19" s="159">
        <f t="shared" si="39"/>
        <v>6.6939914926962434</v>
      </c>
      <c r="BD19" s="159">
        <f t="shared" si="40"/>
        <v>1.5911832328966875</v>
      </c>
      <c r="BE19" s="159">
        <f t="shared" si="41"/>
        <v>2.8303075046985349</v>
      </c>
      <c r="BF19" s="159">
        <f t="shared" si="42"/>
        <v>3.3846976344848456</v>
      </c>
      <c r="BG19" s="159">
        <f t="shared" si="43"/>
        <v>10.473789274165862</v>
      </c>
      <c r="BH19" s="159">
        <f t="shared" si="44"/>
        <v>10.637007462807547</v>
      </c>
      <c r="BI19" s="159">
        <f t="shared" si="45"/>
        <v>3.0314241828308433</v>
      </c>
      <c r="BJ19" s="159">
        <f t="shared" si="46"/>
        <v>4.7171791744975584</v>
      </c>
      <c r="BK19" s="159">
        <f t="shared" si="47"/>
        <v>2.5677016537471244</v>
      </c>
      <c r="BL19" s="159">
        <f t="shared" si="48"/>
        <v>4.5295274840603783</v>
      </c>
      <c r="BM19" s="159">
        <f t="shared" si="49"/>
        <v>10.354279609104383</v>
      </c>
      <c r="BN19" s="159">
        <f t="shared" si="50"/>
        <v>0.65408322617097026</v>
      </c>
      <c r="BO19" s="159">
        <f t="shared" si="51"/>
        <v>1.7507056730094031</v>
      </c>
      <c r="BP19" s="159">
        <f t="shared" si="52"/>
        <v>0.66137769869244123</v>
      </c>
      <c r="BQ19" s="159">
        <f t="shared" si="53"/>
        <v>3.6259996919643447</v>
      </c>
      <c r="BR19" s="159">
        <f t="shared" si="54"/>
        <v>15.225981324151299</v>
      </c>
      <c r="BS19" s="159">
        <f t="shared" si="55"/>
        <v>1.6981006833284809</v>
      </c>
      <c r="BT19" s="159">
        <f t="shared" si="56"/>
        <v>2.7622245063037245</v>
      </c>
      <c r="BU19" s="159">
        <f t="shared" si="57"/>
        <v>2.3731788011905239</v>
      </c>
      <c r="BV19" s="159">
        <f t="shared" si="58"/>
        <v>5.4092782289959898</v>
      </c>
      <c r="BW19" s="159">
        <f t="shared" si="59"/>
        <v>13.116204126873749</v>
      </c>
      <c r="BX19" s="159">
        <f t="shared" si="60"/>
        <v>1.522001353205527</v>
      </c>
      <c r="BY19" s="159">
        <f t="shared" si="61"/>
        <v>2.7622245063037245</v>
      </c>
      <c r="BZ19" s="159">
        <f t="shared" si="62"/>
        <v>2.3731788011905239</v>
      </c>
      <c r="CA19" s="159">
        <f t="shared" si="63"/>
        <v>7.5016583791131204</v>
      </c>
      <c r="CB19" s="159">
        <f t="shared" si="64"/>
        <v>10.590878604288813</v>
      </c>
      <c r="CC19" s="159">
        <f t="shared" si="65"/>
        <v>1.8616214898712231</v>
      </c>
      <c r="CD19" s="159">
        <f t="shared" si="66"/>
        <v>4.8267405735656528</v>
      </c>
      <c r="CE19" s="159">
        <f t="shared" si="67"/>
        <v>6.2734182852899139</v>
      </c>
      <c r="CF19" s="159">
        <f t="shared" si="68"/>
        <v>13.50608505131755</v>
      </c>
      <c r="CG19" s="159">
        <f t="shared" si="69"/>
        <v>6.2734182852899139</v>
      </c>
      <c r="CH19" s="159">
        <f t="shared" si="70"/>
        <v>7.2033201904714312</v>
      </c>
      <c r="CI19" s="159">
        <f t="shared" si="71"/>
        <v>16.092498781308816</v>
      </c>
      <c r="CJ19" s="159">
        <f t="shared" si="72"/>
        <v>7.2033201904714312</v>
      </c>
      <c r="CK19" s="159">
        <f t="shared" si="73"/>
        <v>2.9721308950527416</v>
      </c>
    </row>
    <row r="20" spans="1:89" x14ac:dyDescent="0.25">
      <c r="A20" t="str">
        <f>PLANTILLA!D22</f>
        <v>L. Calosso</v>
      </c>
      <c r="B20" s="487">
        <f>PLANTILLA!E22</f>
        <v>31</v>
      </c>
      <c r="C20" s="487">
        <f ca="1">PLANTILLA!F22</f>
        <v>38</v>
      </c>
      <c r="D20" s="487" t="str">
        <f>PLANTILLA!G22</f>
        <v>TEC</v>
      </c>
      <c r="E20" s="290">
        <v>41890</v>
      </c>
      <c r="F20" s="341">
        <f>PLANTILLA!Q22</f>
        <v>7</v>
      </c>
      <c r="G20" s="406">
        <f t="shared" si="78"/>
        <v>1</v>
      </c>
      <c r="H20" s="406">
        <f t="shared" si="75"/>
        <v>1</v>
      </c>
      <c r="I20" s="496">
        <v>1.5</v>
      </c>
      <c r="J20" s="497">
        <f>PLANTILLA!I22</f>
        <v>11.4</v>
      </c>
      <c r="K20" s="163">
        <f>PLANTILLA!X22</f>
        <v>0</v>
      </c>
      <c r="L20" s="163">
        <f>PLANTILLA!Y22</f>
        <v>3.02</v>
      </c>
      <c r="M20" s="163">
        <f>PLANTILLA!Z22</f>
        <v>14.277609523809524</v>
      </c>
      <c r="N20" s="163">
        <f>PLANTILLA!AA22</f>
        <v>3.04</v>
      </c>
      <c r="O20" s="163">
        <f>PLANTILLA!AB22</f>
        <v>15.02</v>
      </c>
      <c r="P20" s="163">
        <f>PLANTILLA!AC22</f>
        <v>10</v>
      </c>
      <c r="Q20" s="163">
        <f>PLANTILLA!AD22</f>
        <v>11</v>
      </c>
      <c r="R20" s="163">
        <f t="shared" si="2"/>
        <v>4.5075000000000003</v>
      </c>
      <c r="S20" s="163">
        <f t="shared" si="3"/>
        <v>21.479346295271469</v>
      </c>
      <c r="T20" s="163">
        <f t="shared" si="4"/>
        <v>0.83000000000000007</v>
      </c>
      <c r="U20" s="163">
        <f t="shared" si="5"/>
        <v>0.45079999999999998</v>
      </c>
      <c r="V20" s="163">
        <f t="shared" ca="1" si="6"/>
        <v>13.40920646844863</v>
      </c>
      <c r="W20" s="163">
        <f t="shared" ca="1" si="7"/>
        <v>13.40920646844863</v>
      </c>
      <c r="X20" s="159">
        <f t="shared" si="8"/>
        <v>3.3732572469556539</v>
      </c>
      <c r="Y20" s="159">
        <f t="shared" si="9"/>
        <v>5.0392855507671808</v>
      </c>
      <c r="Z20" s="159">
        <f t="shared" si="10"/>
        <v>3.3732572469556539</v>
      </c>
      <c r="AA20" s="159">
        <f t="shared" si="11"/>
        <v>3.0594705377194931</v>
      </c>
      <c r="AB20" s="159">
        <f t="shared" si="12"/>
        <v>5.9292064684486299</v>
      </c>
      <c r="AC20" s="159">
        <f t="shared" si="13"/>
        <v>1.5297352688597465</v>
      </c>
      <c r="AD20" s="159">
        <f t="shared" si="14"/>
        <v>4.0904622061574401</v>
      </c>
      <c r="AE20" s="159">
        <f t="shared" si="15"/>
        <v>2.2412400450735821</v>
      </c>
      <c r="AF20" s="159">
        <f t="shared" si="16"/>
        <v>4.2868162766883593</v>
      </c>
      <c r="AG20" s="159">
        <f t="shared" si="17"/>
        <v>1.120620022536791</v>
      </c>
      <c r="AH20" s="159">
        <f t="shared" si="18"/>
        <v>6.6169241570193895</v>
      </c>
      <c r="AI20" s="159">
        <f t="shared" si="19"/>
        <v>5.4548699509727401</v>
      </c>
      <c r="AJ20" s="159">
        <f t="shared" si="20"/>
        <v>2.4546914779377325</v>
      </c>
      <c r="AK20" s="159">
        <f t="shared" si="21"/>
        <v>2.8701982707071121</v>
      </c>
      <c r="AL20" s="159">
        <f t="shared" si="22"/>
        <v>3.4981334034477944</v>
      </c>
      <c r="AM20" s="159">
        <f t="shared" si="23"/>
        <v>4.4706216772102669</v>
      </c>
      <c r="AN20" s="159">
        <f t="shared" si="24"/>
        <v>4.1978781796616298</v>
      </c>
      <c r="AO20" s="159">
        <f t="shared" si="25"/>
        <v>2.3228374802309215</v>
      </c>
      <c r="AP20" s="159">
        <f t="shared" si="26"/>
        <v>2.1360114629132054</v>
      </c>
      <c r="AQ20" s="159">
        <f t="shared" si="27"/>
        <v>1.6008857464811301</v>
      </c>
      <c r="AR20" s="159">
        <f t="shared" si="28"/>
        <v>3.521948642258486</v>
      </c>
      <c r="AS20" s="159">
        <f t="shared" si="29"/>
        <v>0.80044287324056507</v>
      </c>
      <c r="AT20" s="159">
        <f t="shared" si="30"/>
        <v>16.224354296691697</v>
      </c>
      <c r="AU20" s="159">
        <f t="shared" si="31"/>
        <v>2.330796840898322</v>
      </c>
      <c r="AV20" s="159">
        <f t="shared" si="32"/>
        <v>4.384797495255448</v>
      </c>
      <c r="AW20" s="159">
        <f t="shared" si="33"/>
        <v>1.165398420449161</v>
      </c>
      <c r="AX20" s="159">
        <f t="shared" si="34"/>
        <v>1.120620022536791</v>
      </c>
      <c r="AY20" s="159">
        <f t="shared" si="35"/>
        <v>2.371682587379452</v>
      </c>
      <c r="AZ20" s="159">
        <f t="shared" si="36"/>
        <v>0.56031001126839552</v>
      </c>
      <c r="BA20" s="159">
        <f t="shared" si="37"/>
        <v>17.186815992258154</v>
      </c>
      <c r="BB20" s="159">
        <f t="shared" si="38"/>
        <v>4.5360892365175038</v>
      </c>
      <c r="BC20" s="159">
        <f t="shared" si="39"/>
        <v>8.8247927641151964</v>
      </c>
      <c r="BD20" s="159">
        <f t="shared" si="40"/>
        <v>2.2680446182587519</v>
      </c>
      <c r="BE20" s="159">
        <f t="shared" si="41"/>
        <v>1.7253990823185512</v>
      </c>
      <c r="BF20" s="159">
        <f t="shared" si="42"/>
        <v>2.0633638510201231</v>
      </c>
      <c r="BG20" s="159">
        <f t="shared" si="43"/>
        <v>15.141584889179434</v>
      </c>
      <c r="BH20" s="159">
        <f t="shared" si="44"/>
        <v>9.0625445504508324</v>
      </c>
      <c r="BI20" s="159">
        <f t="shared" si="45"/>
        <v>4.3209387588961192</v>
      </c>
      <c r="BJ20" s="159">
        <f t="shared" si="46"/>
        <v>2.8756651371975854</v>
      </c>
      <c r="BK20" s="159">
        <f t="shared" si="47"/>
        <v>1.5653105076704383</v>
      </c>
      <c r="BL20" s="159">
        <f t="shared" si="48"/>
        <v>6.548176893050357</v>
      </c>
      <c r="BM20" s="159">
        <f t="shared" si="49"/>
        <v>7.6075864534241031</v>
      </c>
      <c r="BN20" s="159">
        <f t="shared" si="50"/>
        <v>0.93231873635932871</v>
      </c>
      <c r="BO20" s="159">
        <f t="shared" si="51"/>
        <v>1.0672571643207533</v>
      </c>
      <c r="BP20" s="159">
        <f t="shared" si="52"/>
        <v>0.40318603985450685</v>
      </c>
      <c r="BQ20" s="159">
        <f t="shared" si="53"/>
        <v>5.2419788776387373</v>
      </c>
      <c r="BR20" s="159">
        <f t="shared" si="54"/>
        <v>11.076959518424939</v>
      </c>
      <c r="BS20" s="159">
        <f t="shared" si="55"/>
        <v>2.4204428732405652</v>
      </c>
      <c r="BT20" s="159">
        <f t="shared" si="56"/>
        <v>1.6838946370394108</v>
      </c>
      <c r="BU20" s="159">
        <f t="shared" si="57"/>
        <v>1.4467263783014657</v>
      </c>
      <c r="BV20" s="159">
        <f t="shared" si="58"/>
        <v>7.82000127647746</v>
      </c>
      <c r="BW20" s="159">
        <f t="shared" si="59"/>
        <v>9.5148407670410826</v>
      </c>
      <c r="BX20" s="159">
        <f t="shared" si="60"/>
        <v>2.1694339826822842</v>
      </c>
      <c r="BY20" s="159">
        <f t="shared" si="61"/>
        <v>1.6838946370394108</v>
      </c>
      <c r="BZ20" s="159">
        <f t="shared" si="62"/>
        <v>1.4467263783014657</v>
      </c>
      <c r="CA20" s="159">
        <f t="shared" si="63"/>
        <v>10.844880891114896</v>
      </c>
      <c r="CB20" s="159">
        <f t="shared" si="64"/>
        <v>7.6366797892615246</v>
      </c>
      <c r="CC20" s="159">
        <f t="shared" si="65"/>
        <v>2.6535225573303971</v>
      </c>
      <c r="CD20" s="159">
        <f t="shared" si="66"/>
        <v>6.9778472928568114</v>
      </c>
      <c r="CE20" s="159">
        <f t="shared" si="67"/>
        <v>8.3409130875376256</v>
      </c>
      <c r="CF20" s="159">
        <f t="shared" si="68"/>
        <v>17.261626483473158</v>
      </c>
      <c r="CG20" s="159">
        <f t="shared" si="69"/>
        <v>8.3409130875376256</v>
      </c>
      <c r="CH20" s="159">
        <f t="shared" si="70"/>
        <v>7.0871156298434972</v>
      </c>
      <c r="CI20" s="159">
        <f t="shared" si="71"/>
        <v>19.525083655306176</v>
      </c>
      <c r="CJ20" s="159">
        <f t="shared" si="72"/>
        <v>7.0871156298434972</v>
      </c>
      <c r="CK20" s="159">
        <f t="shared" si="73"/>
        <v>4.2967039980645385</v>
      </c>
    </row>
    <row r="21" spans="1:89" x14ac:dyDescent="0.25">
      <c r="A21" t="str">
        <f>PLANTILLA!D23</f>
        <v>P .Trivadi</v>
      </c>
      <c r="B21" s="487">
        <f>PLANTILLA!E23</f>
        <v>28</v>
      </c>
      <c r="C21" s="487">
        <f ca="1">PLANTILLA!F23</f>
        <v>0</v>
      </c>
      <c r="D21" s="487"/>
      <c r="E21" s="290">
        <v>41973</v>
      </c>
      <c r="F21" s="341">
        <f>PLANTILLA!Q23</f>
        <v>4</v>
      </c>
      <c r="G21" s="406">
        <f t="shared" si="78"/>
        <v>0.7559289460184544</v>
      </c>
      <c r="H21" s="406">
        <f t="shared" si="75"/>
        <v>0.84430867747355465</v>
      </c>
      <c r="I21" s="496">
        <v>1.5</v>
      </c>
      <c r="J21" s="497">
        <f>PLANTILLA!I23</f>
        <v>5.6</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19.299597386244933</v>
      </c>
      <c r="T21" s="163">
        <f t="shared" si="4"/>
        <v>0.82622500000000021</v>
      </c>
      <c r="U21" s="163">
        <f t="shared" si="5"/>
        <v>0.56779999999999997</v>
      </c>
      <c r="V21" s="163">
        <f t="shared" ca="1" si="6"/>
        <v>11.765467629240051</v>
      </c>
      <c r="W21" s="163">
        <f t="shared" ca="1" si="7"/>
        <v>13.141031926642318</v>
      </c>
      <c r="X21" s="159">
        <f t="shared" si="8"/>
        <v>3.2899108634352174</v>
      </c>
      <c r="Y21" s="159">
        <f t="shared" si="9"/>
        <v>4.9328809904866731</v>
      </c>
      <c r="Z21" s="159">
        <f t="shared" si="10"/>
        <v>3.2899108634352174</v>
      </c>
      <c r="AA21" s="159">
        <f t="shared" si="11"/>
        <v>3.3630733625802658</v>
      </c>
      <c r="AB21" s="159">
        <f t="shared" si="12"/>
        <v>6.5175840360082669</v>
      </c>
      <c r="AC21" s="159">
        <f t="shared" si="13"/>
        <v>1.6815366812901329</v>
      </c>
      <c r="AD21" s="159">
        <f t="shared" si="14"/>
        <v>1.9210065894588559</v>
      </c>
      <c r="AE21" s="159">
        <f t="shared" si="15"/>
        <v>2.4636467656111249</v>
      </c>
      <c r="AF21" s="159">
        <f t="shared" si="16"/>
        <v>4.7122132580339766</v>
      </c>
      <c r="AG21" s="159">
        <f t="shared" si="17"/>
        <v>1.2318233828055625</v>
      </c>
      <c r="AH21" s="159">
        <f t="shared" si="18"/>
        <v>3.1075106594187378</v>
      </c>
      <c r="AI21" s="159">
        <f t="shared" si="19"/>
        <v>5.9961773131276059</v>
      </c>
      <c r="AJ21" s="159">
        <f t="shared" si="20"/>
        <v>2.6982797909074225</v>
      </c>
      <c r="AK21" s="159">
        <f t="shared" si="21"/>
        <v>1.3479331951244915</v>
      </c>
      <c r="AL21" s="159">
        <f t="shared" si="22"/>
        <v>4.7084594131728599</v>
      </c>
      <c r="AM21" s="159">
        <f t="shared" si="23"/>
        <v>4.9142583631502337</v>
      </c>
      <c r="AN21" s="159">
        <f t="shared" si="24"/>
        <v>4.6144494974938528</v>
      </c>
      <c r="AO21" s="159">
        <f t="shared" si="25"/>
        <v>2.6827298673467146</v>
      </c>
      <c r="AP21" s="159">
        <f t="shared" si="26"/>
        <v>1.7496242023703807</v>
      </c>
      <c r="AQ21" s="159">
        <f t="shared" si="27"/>
        <v>1.7597476897222322</v>
      </c>
      <c r="AR21" s="159">
        <f t="shared" si="28"/>
        <v>3.8714449173889105</v>
      </c>
      <c r="AS21" s="159">
        <f t="shared" si="29"/>
        <v>0.87987384486111608</v>
      </c>
      <c r="AT21" s="159">
        <f t="shared" si="30"/>
        <v>7.6194547077695791</v>
      </c>
      <c r="AU21" s="159">
        <f t="shared" si="31"/>
        <v>1.7286859246810746</v>
      </c>
      <c r="AV21" s="159">
        <f t="shared" si="32"/>
        <v>3.4783106225504219</v>
      </c>
      <c r="AW21" s="159">
        <f t="shared" si="33"/>
        <v>0.86434296234053731</v>
      </c>
      <c r="AX21" s="159">
        <f t="shared" si="34"/>
        <v>1.2318233828055625</v>
      </c>
      <c r="AY21" s="159">
        <f t="shared" si="35"/>
        <v>2.6070336144033068</v>
      </c>
      <c r="AZ21" s="159">
        <f t="shared" si="36"/>
        <v>0.61591169140278124</v>
      </c>
      <c r="BA21" s="159">
        <f t="shared" si="37"/>
        <v>8.0714562582304872</v>
      </c>
      <c r="BB21" s="159">
        <f t="shared" si="38"/>
        <v>3.3642887611100911</v>
      </c>
      <c r="BC21" s="159">
        <f t="shared" si="39"/>
        <v>6.8197138038405551</v>
      </c>
      <c r="BD21" s="159">
        <f t="shared" si="40"/>
        <v>1.6821443805550456</v>
      </c>
      <c r="BE21" s="159">
        <f t="shared" si="41"/>
        <v>1.8966169544784055</v>
      </c>
      <c r="BF21" s="159">
        <f t="shared" si="42"/>
        <v>2.2681192445308769</v>
      </c>
      <c r="BG21" s="159">
        <f t="shared" si="43"/>
        <v>7.1109529635010595</v>
      </c>
      <c r="BH21" s="159">
        <f t="shared" si="44"/>
        <v>8.7850922080113492</v>
      </c>
      <c r="BI21" s="159">
        <f t="shared" si="45"/>
        <v>3.204717752677992</v>
      </c>
      <c r="BJ21" s="159">
        <f t="shared" si="46"/>
        <v>3.1610282574640092</v>
      </c>
      <c r="BK21" s="159">
        <f t="shared" si="47"/>
        <v>1.7206421855061826</v>
      </c>
      <c r="BL21" s="159">
        <f t="shared" si="48"/>
        <v>3.0752248343858155</v>
      </c>
      <c r="BM21" s="159">
        <f t="shared" si="49"/>
        <v>8.0619184474712249</v>
      </c>
      <c r="BN21" s="159">
        <f t="shared" si="50"/>
        <v>0.69147436987242972</v>
      </c>
      <c r="BO21" s="159">
        <f t="shared" si="51"/>
        <v>1.173165126481488</v>
      </c>
      <c r="BP21" s="159">
        <f t="shared" si="52"/>
        <v>0.44319571444856221</v>
      </c>
      <c r="BQ21" s="159">
        <f t="shared" si="53"/>
        <v>2.4617941587602985</v>
      </c>
      <c r="BR21" s="159">
        <f t="shared" si="54"/>
        <v>11.81069307030663</v>
      </c>
      <c r="BS21" s="159">
        <f t="shared" si="55"/>
        <v>1.7951738448611159</v>
      </c>
      <c r="BT21" s="159">
        <f t="shared" si="56"/>
        <v>1.8509938662263477</v>
      </c>
      <c r="BU21" s="159">
        <f t="shared" si="57"/>
        <v>1.590290504786017</v>
      </c>
      <c r="BV21" s="159">
        <f t="shared" si="58"/>
        <v>3.6725125974948716</v>
      </c>
      <c r="BW21" s="159">
        <f t="shared" si="59"/>
        <v>10.163163111897159</v>
      </c>
      <c r="BX21" s="159">
        <f t="shared" si="60"/>
        <v>1.609007668357</v>
      </c>
      <c r="BY21" s="159">
        <f t="shared" si="61"/>
        <v>1.8509938662263477</v>
      </c>
      <c r="BZ21" s="159">
        <f t="shared" si="62"/>
        <v>1.590290504786017</v>
      </c>
      <c r="CA21" s="159">
        <f t="shared" si="63"/>
        <v>5.0930888989434377</v>
      </c>
      <c r="CB21" s="159">
        <f t="shared" si="64"/>
        <v>8.1877577122273983</v>
      </c>
      <c r="CC21" s="159">
        <f t="shared" si="65"/>
        <v>1.9680424373292231</v>
      </c>
      <c r="CD21" s="159">
        <f t="shared" si="66"/>
        <v>3.2770112408415781</v>
      </c>
      <c r="CE21" s="159">
        <f t="shared" si="67"/>
        <v>5.8595127827603068</v>
      </c>
      <c r="CF21" s="159">
        <f t="shared" si="68"/>
        <v>13.564843124545309</v>
      </c>
      <c r="CG21" s="159">
        <f t="shared" si="69"/>
        <v>5.8595127827603068</v>
      </c>
      <c r="CH21" s="159">
        <f t="shared" si="70"/>
        <v>6.3572748544331494</v>
      </c>
      <c r="CI21" s="159">
        <f t="shared" si="71"/>
        <v>15.788892545295317</v>
      </c>
      <c r="CJ21" s="159">
        <f t="shared" si="72"/>
        <v>6.3572748544331494</v>
      </c>
      <c r="CK21" s="159">
        <f t="shared" si="73"/>
        <v>2.0178640645576218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9.7674020526004135</v>
      </c>
      <c r="M25">
        <f>L15*H15</f>
        <v>10.542461592463656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8.6275555555555581</v>
      </c>
      <c r="M27">
        <f>L14*H14</f>
        <v>8.6275555555555581</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0.18163746864176206</v>
      </c>
      <c r="M29" s="47">
        <f>(L25-M27)/M27</f>
        <v>0.13211696983056481</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109</v>
      </c>
      <c r="E3" s="632"/>
      <c r="F3" s="290">
        <v>42468</v>
      </c>
      <c r="G3" s="496">
        <v>1</v>
      </c>
      <c r="H3" s="497">
        <f>PLANTILLA!I5</f>
        <v>19.2</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8.6347831761353486</v>
      </c>
      <c r="S3" s="163">
        <f>(0.5*O3+ 0.3*P3)/10</f>
        <v>0.55302777777777778</v>
      </c>
      <c r="T3" s="163">
        <f>(0.4*K3+0.3*P3)/10</f>
        <v>1.0292223776223779</v>
      </c>
      <c r="U3" s="163">
        <f t="shared" ref="U3:U22" ca="1" si="0">IF(TODAY()-F3&gt;335,(P3+1+(LOG(H3)*4/3)),(P3+((TODAY()-F3)^0.5)/(336^0.5)+(LOG(H3)*4/3)))</f>
        <v>20.911068304938066</v>
      </c>
      <c r="V3" s="159">
        <f t="shared" ref="V3:V22" si="1">((J3+G3+(LOG(H3)*4/3))*0.597)+((K3+G3+(LOG(H3)*4/3))*0.276)</f>
        <v>15.650997035805339</v>
      </c>
      <c r="W3" s="159">
        <f t="shared" ref="W3:W22" si="2">((J3+G3+(LOG(H3)*4/3))*0.866)+((K3+G3+(LOG(H3)*4/3))*0.425)</f>
        <v>23.067560277246141</v>
      </c>
      <c r="X3" s="159">
        <f>V3</f>
        <v>15.650997035805339</v>
      </c>
      <c r="Y3" s="159">
        <f t="shared" ref="Y3:Y22" si="3">((K3+G3+(LOG(H3)*4/3))*0.516)</f>
        <v>7.6324799166767159</v>
      </c>
      <c r="Z3" s="159">
        <f t="shared" ref="Z3:Z22" si="4">(K3+G3+(LOG(H3)*4/3))*1</f>
        <v>14.791627745497511</v>
      </c>
      <c r="AA3" s="159">
        <f>Y3/2</f>
        <v>3.8162399583383579</v>
      </c>
      <c r="AB3" s="159">
        <f t="shared" ref="AB3:AB22" si="5">(L3+G3+(LOG(H3)*4/3))*0.238</f>
        <v>1.1378942565752592</v>
      </c>
      <c r="AC3" s="159">
        <f t="shared" ref="AC3:AC22" si="6">((K3+G3+(LOG(H3)*4/3))*0.378)</f>
        <v>5.5912352877980593</v>
      </c>
      <c r="AD3" s="159">
        <f t="shared" ref="AD3:AD22" si="7">(K3+G3+(LOG(H3)*4/3))*0.723</f>
        <v>10.694346859994701</v>
      </c>
      <c r="AE3" s="159">
        <f>AC3/2</f>
        <v>2.7956176438990297</v>
      </c>
      <c r="AF3" s="159">
        <f t="shared" ref="AF3:AF22" si="8">(L3+G3+(LOG(H3)*4/3))*0.385</f>
        <v>1.8407112974011548</v>
      </c>
      <c r="AG3" s="357">
        <f t="shared" ref="AG3:AG22" si="9">((K3+G3+(LOG(H3)*4/3))*0.92)</f>
        <v>13.608297525857711</v>
      </c>
      <c r="AH3" s="159">
        <f t="shared" ref="AH3:AH22" si="10">(K3+G3+(LOG(H3)*4/3))*0.414</f>
        <v>6.1237338866359696</v>
      </c>
      <c r="AI3" s="159">
        <f t="shared" ref="AI3:AI22" si="11">((L3+G3+(LOG(H3)*4/3))*0.167)</f>
        <v>0.79843840692465684</v>
      </c>
      <c r="AJ3" s="357">
        <f t="shared" ref="AJ3:AJ22" si="12">(M3+G3+(LOG(H3)*4/3))*0.588</f>
        <v>2.8583081633035823</v>
      </c>
      <c r="AK3" s="159">
        <f t="shared" ref="AK3:AK22" si="13">((K3+G3+(LOG(H3)*4/3))*0.754)</f>
        <v>11.152887320105123</v>
      </c>
      <c r="AL3" s="159">
        <f t="shared" ref="AL3:AL22" si="14">((K3+G3+(LOG(H3)*4/3))*0.708)</f>
        <v>10.472472443812237</v>
      </c>
      <c r="AM3" s="159">
        <f t="shared" ref="AM3:AM22" si="15">((P3+G3+(LOG(H3)*4/3))*0.167)</f>
        <v>3.4921484069246573</v>
      </c>
      <c r="AN3" s="159">
        <f t="shared" ref="AN3:AN22" si="16">((Q3+G3+(LOG(H3)*4/3))*0.288)</f>
        <v>1.398567811682303</v>
      </c>
      <c r="AO3" s="159">
        <f t="shared" ref="AO3:AO22" si="17">((K3+G3+(LOG(H3)*4/3))*0.27)</f>
        <v>3.993739491284328</v>
      </c>
      <c r="AP3" s="159">
        <f t="shared" ref="AP3:AP22" si="18">((K3+G3+(LOG(H3)*4/3))*0.594)</f>
        <v>8.7862268808255219</v>
      </c>
      <c r="AQ3" s="159">
        <f>AO3/2</f>
        <v>1.996869745642164</v>
      </c>
      <c r="AR3" s="159">
        <f t="shared" ref="AR3:AR22" si="19">((L3+G3+(LOG(H3)*4/3))*0.944)</f>
        <v>4.5133284798615323</v>
      </c>
      <c r="AS3" s="159">
        <f t="shared" ref="AS3:AS22" si="20">((N3+G3+(LOG(H3)*4/3))*0.13)</f>
        <v>0.48763887964194857</v>
      </c>
      <c r="AT3" s="159">
        <f t="shared" ref="AT3:AT22" si="21">((O3+G3+(LOG(H3)*4/3))*0.173)+((N3+G3+(LOG(H3)*4/3))*0.12)</f>
        <v>0.94345912445796443</v>
      </c>
      <c r="AU3" s="159">
        <f>AS3/2</f>
        <v>0.24381943982097429</v>
      </c>
      <c r="AV3" s="159">
        <f t="shared" ref="AV3:AV22" si="22">((K3+G3+(LOG(H3)*4/3))*0.189)</f>
        <v>2.7956176438990297</v>
      </c>
      <c r="AW3" s="159">
        <f t="shared" ref="AW3:AW22" si="23">((K3+G3+(LOG(H3)*4/3))*0.4)</f>
        <v>5.9166510981990044</v>
      </c>
      <c r="AX3" s="159">
        <f>AV3/2</f>
        <v>1.3978088219495148</v>
      </c>
      <c r="AY3" s="159">
        <f t="shared" ref="AY3:AY22" si="24">((L3+G3+(LOG(H3)*4/3))*1)</f>
        <v>4.7810683049380645</v>
      </c>
      <c r="AZ3" s="159">
        <f t="shared" ref="AZ3:AZ22" si="25">((N3+G3+(LOG(H3)*4/3))*0.253)</f>
        <v>0.94902028114933068</v>
      </c>
      <c r="BA3" s="159">
        <f t="shared" ref="BA3:BA22" si="26">((O3+G3+(LOG(H3)*4/3))*0.21)+((N3+G3+(LOG(H3)*4/3))*0.341)</f>
        <v>1.8779553026875411</v>
      </c>
      <c r="BB3" s="159">
        <f>AZ3/2</f>
        <v>0.47451014057466534</v>
      </c>
      <c r="BC3" s="159">
        <f t="shared" ref="BC3:BC22" si="27">((K3+G3+(LOG(H3)*4/3))*0.291)</f>
        <v>4.3043636739397755</v>
      </c>
      <c r="BD3" s="159">
        <f t="shared" ref="BD3:BD22" si="28">((K3+G3+(LOG(H3)*4/3))*0.348)</f>
        <v>5.1474864554331337</v>
      </c>
      <c r="BE3" s="159">
        <f t="shared" ref="BE3:BE22" si="29">((L3+G3+(LOG(H3)*4/3))*0.881)</f>
        <v>4.2121211766504345</v>
      </c>
      <c r="BF3" s="159">
        <f t="shared" ref="BF3:BF22" si="30">((M3+G3+(LOG(H3)*4/3))*0.574)+((N3+G3+(LOG(H3)*4/3))*0.315)</f>
        <v>3.97183972308994</v>
      </c>
      <c r="BG3" s="159">
        <f t="shared" ref="BG3:BG22" si="31">((N3+G3+(LOG(H3)*4/3))*0.241)</f>
        <v>0.90400746149007383</v>
      </c>
      <c r="BH3" s="159">
        <f t="shared" ref="BH3:BH22" si="32">((K3+G3+(LOG(H3)*4/3))*0.485)</f>
        <v>7.1739394565662922</v>
      </c>
      <c r="BI3" s="159">
        <f t="shared" ref="BI3:BI22" si="33">((K3+G3+(LOG(H3)*4/3))*0.264)</f>
        <v>3.904989724811343</v>
      </c>
      <c r="BJ3" s="159">
        <f t="shared" ref="BJ3:BJ22" si="34">((L3+G3+(LOG(H3)*4/3))*0.381)</f>
        <v>1.8215870241814025</v>
      </c>
      <c r="BK3" s="159">
        <f t="shared" ref="BK3:BK22" si="35">((M3+G3+(LOG(H3)*4/3))*0.673)+((N3+G3+(LOG(H3)*4/3))*0.201)</f>
        <v>4.0254636985158694</v>
      </c>
      <c r="BL3" s="159">
        <f t="shared" ref="BL3:BL22" si="36">((N3+G3+(LOG(H3)*4/3))*0.052)</f>
        <v>0.19505555185677942</v>
      </c>
      <c r="BM3" s="159">
        <f t="shared" ref="BM3:BM22" si="37">((K3+G3+(LOG(H3)*4/3))*0.18)</f>
        <v>2.6624929941895519</v>
      </c>
      <c r="BN3" s="159">
        <f t="shared" ref="BN3:BN22" si="38">(K3+G3+(LOG(H3)*4/3))*0.068</f>
        <v>1.0058306866938309</v>
      </c>
      <c r="BO3" s="159">
        <f t="shared" ref="BO3:BO22" si="39">((L3+G3+(LOG(H3)*4/3))*0.305)</f>
        <v>1.4582258330061095</v>
      </c>
      <c r="BP3" s="159">
        <f t="shared" ref="BP3:BP22" si="40">((M3+G3+(LOG(H3)*4/3))*1)+((N3+G3+(LOG(H3)*4/3))*0.286)</f>
        <v>5.9338738401503521</v>
      </c>
      <c r="BQ3" s="159">
        <f t="shared" ref="BQ3:BQ22" si="41">((N3+G3+(LOG(H3)*4/3))*0.135)</f>
        <v>0.5063942211666389</v>
      </c>
      <c r="BR3" s="159">
        <f t="shared" ref="BR3:BR22" si="42">((K3+G3+(LOG(H3)*4/3))*0.284)</f>
        <v>4.2008222797212929</v>
      </c>
      <c r="BS3" s="159">
        <f t="shared" ref="BS3:BS22" si="43">(K3+G3+(LOG(H3)*4/3))*0.244</f>
        <v>3.6091571699013927</v>
      </c>
      <c r="BT3" s="159">
        <f t="shared" ref="BT3:BT22" si="44">((L3+G3+(LOG(H3)*4/3))*0.455)</f>
        <v>2.1753860787468193</v>
      </c>
      <c r="BU3" s="159">
        <f t="shared" ref="BU3:BU22" si="45">((M3+G3+(LOG(H3)*4/3))*0.864)+((N3+G3+(LOG(H3)*4/3))*0.244)</f>
        <v>5.1152236818713774</v>
      </c>
      <c r="BV3" s="159">
        <f t="shared" ref="BV3:BV22" si="46">((N3+G3+(LOG(H3)*4/3))*0.121)</f>
        <v>0.45387926489750596</v>
      </c>
      <c r="BW3" s="159">
        <f t="shared" ref="BW3:BW22" si="47">((K3+G3+(LOG(H3)*4/3))*0.284)</f>
        <v>4.2008222797212929</v>
      </c>
      <c r="BX3" s="159">
        <f t="shared" ref="BX3:BX22" si="48">((K3+G3+(LOG(H3)*4/3))*0.244)</f>
        <v>3.6091571699013927</v>
      </c>
      <c r="BY3" s="159">
        <f t="shared" ref="BY3:BY22" si="49">((L3+G3+(LOG(H3)*4/3))*0.631)</f>
        <v>3.0168541004159186</v>
      </c>
      <c r="BZ3" s="159">
        <f t="shared" ref="BZ3:BZ22" si="50">((M3+G3+(LOG(H3)*4/3))*0.702)+((N3+G3+(LOG(H3)*4/3))*0.193)</f>
        <v>4.1364261329195688</v>
      </c>
      <c r="CA3" s="159">
        <f t="shared" ref="CA3:CA22" si="51">((N3+G3+(LOG(H3)*4/3))*0.148)</f>
        <v>0.55515810913083374</v>
      </c>
      <c r="CB3" s="159">
        <f t="shared" ref="CB3:CB22" si="52">((L3+G3+(LOG(H3)*4/3))*0.406)</f>
        <v>1.9411137318048544</v>
      </c>
      <c r="CC3" s="159">
        <f t="shared" ref="CC3:CC22" si="53">IF(E3="TEC",((M3+G3+(LOG(H3)*4/3))*0.15)+((N3+G3+(LOG(H3)*4/3))*0.324)+((O3+G3+(LOG(H3)*4/3))*0.127),(((M3+G3+(LOG(H3)*4/3))*0.144)+((N3+G3+(LOG(H3)*4/3))*0.25)+((O3+G3+(LOG(H3)*4/3))*0.127)))</f>
        <v>1.9999171424282878</v>
      </c>
      <c r="CD3" s="159">
        <f t="shared" ref="CD3:CD22" si="54">((N3+G3+(LOG(H3)*4/3))*0.543)+((O3+G3+(LOG(H3)*4/3))*0.583)</f>
        <v>3.6993268002491515</v>
      </c>
      <c r="CE3" s="159">
        <f>CC3</f>
        <v>1.9999171424282878</v>
      </c>
      <c r="CF3" s="159">
        <f t="shared" ref="CF3:CF22" si="55">((O3+1+(LOG(H3)*4/3))*0.26)+((M3+G3+(LOG(H3)*4/3))*0.221)+((N3+G3+(LOG(H3)*4/3))*0.142)</f>
        <v>2.3483699984208597</v>
      </c>
      <c r="CG3" s="159">
        <f t="shared" ref="CG3:CG22" si="56">((O3+G3+(LOG(H3)*4/3))*1)+((N3+G3+(LOG(H3)*4/3))*0.369)</f>
        <v>4.2357680650157681</v>
      </c>
      <c r="CH3" s="159">
        <f>CF3</f>
        <v>2.3483699984208597</v>
      </c>
      <c r="CI3" s="159">
        <f>((L3+G3+(LOG(H3)*4/3))*0.25)</f>
        <v>1.1952670762345161</v>
      </c>
    </row>
    <row r="4" spans="1:87" x14ac:dyDescent="0.25">
      <c r="A4" t="str">
        <f>PLANTILLA!D6</f>
        <v>T. Hammond</v>
      </c>
      <c r="B4" t="s">
        <v>854</v>
      </c>
      <c r="C4" s="632">
        <f>PLANTILLA!E6</f>
        <v>35</v>
      </c>
      <c r="D4" s="632">
        <f ca="1">PLANTILLA!F6</f>
        <v>6</v>
      </c>
      <c r="E4" s="632" t="str">
        <f>PLANTILLA!G6</f>
        <v>CAB</v>
      </c>
      <c r="F4" s="290">
        <v>41400</v>
      </c>
      <c r="G4" s="496">
        <v>1.5</v>
      </c>
      <c r="H4" s="497">
        <f>PLANTILLA!I6</f>
        <v>8.1</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13.693791411184643</v>
      </c>
      <c r="S4" s="163">
        <f t="shared" ref="S4:S22" si="59">(0.5*O4+ 0.3*P4)/10</f>
        <v>0.67286666666666661</v>
      </c>
      <c r="T4" s="163">
        <f t="shared" ref="T4:T22" si="60">(0.4*K4+0.3*P4)/10</f>
        <v>0.90596666666666648</v>
      </c>
      <c r="U4" s="163">
        <f t="shared" ca="1" si="0"/>
        <v>17.990202247393754</v>
      </c>
      <c r="V4" s="159">
        <f t="shared" si="1"/>
        <v>11.501016561974749</v>
      </c>
      <c r="W4" s="159">
        <f t="shared" si="2"/>
        <v>17.016480545829783</v>
      </c>
      <c r="X4" s="159">
        <f t="shared" ref="X4:X22" si="61">V4</f>
        <v>11.501016561974749</v>
      </c>
      <c r="Y4" s="159">
        <f t="shared" si="3"/>
        <v>6.9795776929885109</v>
      </c>
      <c r="Z4" s="159">
        <f t="shared" si="4"/>
        <v>13.526313358504865</v>
      </c>
      <c r="AA4" s="159">
        <f t="shared" ref="AA4:AA22" si="62">Y4/2</f>
        <v>3.4897888464942555</v>
      </c>
      <c r="AB4" s="159">
        <f t="shared" si="5"/>
        <v>1.5949125793241581</v>
      </c>
      <c r="AC4" s="159">
        <f t="shared" si="6"/>
        <v>5.1129464495148387</v>
      </c>
      <c r="AD4" s="159">
        <f t="shared" si="7"/>
        <v>9.7795245581990162</v>
      </c>
      <c r="AE4" s="159">
        <f t="shared" ref="AE4:AE22" si="63">AC4/2</f>
        <v>2.5564732247574193</v>
      </c>
      <c r="AF4" s="159">
        <f t="shared" si="8"/>
        <v>2.5800056430243736</v>
      </c>
      <c r="AG4" s="357">
        <f t="shared" si="9"/>
        <v>12.444208289824477</v>
      </c>
      <c r="AH4" s="159">
        <f t="shared" si="10"/>
        <v>5.5998937304210141</v>
      </c>
      <c r="AI4" s="159">
        <f t="shared" si="11"/>
        <v>1.1191193308703127</v>
      </c>
      <c r="AJ4" s="357">
        <f t="shared" si="12"/>
        <v>4.5048522548008609</v>
      </c>
      <c r="AK4" s="159">
        <f t="shared" si="13"/>
        <v>10.198840272312669</v>
      </c>
      <c r="AL4" s="159">
        <f t="shared" si="14"/>
        <v>9.5766298578214446</v>
      </c>
      <c r="AM4" s="159">
        <f t="shared" si="15"/>
        <v>3.0878637753147569</v>
      </c>
      <c r="AN4" s="159">
        <f t="shared" si="16"/>
        <v>1.7094782472494015</v>
      </c>
      <c r="AO4" s="159">
        <f t="shared" si="17"/>
        <v>3.6521046067963137</v>
      </c>
      <c r="AP4" s="159">
        <f t="shared" si="18"/>
        <v>8.0346301349518896</v>
      </c>
      <c r="AQ4" s="159">
        <f t="shared" ref="AQ4:AQ22" si="64">AO4/2</f>
        <v>1.8260523033981568</v>
      </c>
      <c r="AR4" s="159">
        <f t="shared" si="19"/>
        <v>6.3260398104285933</v>
      </c>
      <c r="AS4" s="159">
        <f t="shared" si="20"/>
        <v>1.1311707366056325</v>
      </c>
      <c r="AT4" s="159">
        <f t="shared" si="21"/>
        <v>2.2034848140419259</v>
      </c>
      <c r="AU4" s="159">
        <f t="shared" ref="AU4:AU22" si="65">AS4/2</f>
        <v>0.56558536830281625</v>
      </c>
      <c r="AV4" s="159">
        <f t="shared" si="22"/>
        <v>2.5564732247574193</v>
      </c>
      <c r="AW4" s="159">
        <f t="shared" si="23"/>
        <v>5.4105253434019467</v>
      </c>
      <c r="AX4" s="159">
        <f t="shared" ref="AX4:AX22" si="66">AV4/2</f>
        <v>1.2782366123787097</v>
      </c>
      <c r="AY4" s="159">
        <f t="shared" si="24"/>
        <v>6.7013133585048665</v>
      </c>
      <c r="AZ4" s="159">
        <f t="shared" si="25"/>
        <v>2.2014322797017312</v>
      </c>
      <c r="BA4" s="159">
        <f t="shared" si="26"/>
        <v>4.3744236605361815</v>
      </c>
      <c r="BB4" s="159">
        <f t="shared" ref="BB4:BB22" si="67">AZ4/2</f>
        <v>1.1007161398508656</v>
      </c>
      <c r="BC4" s="159">
        <f t="shared" si="27"/>
        <v>3.9361571873249153</v>
      </c>
      <c r="BD4" s="159">
        <f t="shared" si="28"/>
        <v>4.7071570487596928</v>
      </c>
      <c r="BE4" s="159">
        <f t="shared" si="29"/>
        <v>5.9038570688427878</v>
      </c>
      <c r="BF4" s="159">
        <f t="shared" si="30"/>
        <v>7.1385075757108254</v>
      </c>
      <c r="BG4" s="159">
        <f t="shared" si="31"/>
        <v>2.0970165193996726</v>
      </c>
      <c r="BH4" s="159">
        <f t="shared" si="32"/>
        <v>6.5602619788748591</v>
      </c>
      <c r="BI4" s="159">
        <f t="shared" si="33"/>
        <v>3.5709467266452846</v>
      </c>
      <c r="BJ4" s="159">
        <f t="shared" si="34"/>
        <v>2.5532003895903541</v>
      </c>
      <c r="BK4" s="159">
        <f t="shared" si="35"/>
        <v>6.9050278753332535</v>
      </c>
      <c r="BL4" s="159">
        <f t="shared" si="36"/>
        <v>0.45246829464225297</v>
      </c>
      <c r="BM4" s="159">
        <f t="shared" si="37"/>
        <v>2.4347364045308755</v>
      </c>
      <c r="BN4" s="159">
        <f t="shared" si="38"/>
        <v>0.91978930837833084</v>
      </c>
      <c r="BO4" s="159">
        <f t="shared" si="39"/>
        <v>2.0439005743439842</v>
      </c>
      <c r="BP4" s="159">
        <f t="shared" si="40"/>
        <v>10.149888979037257</v>
      </c>
      <c r="BQ4" s="159">
        <f t="shared" si="41"/>
        <v>1.174677303398157</v>
      </c>
      <c r="BR4" s="159">
        <f t="shared" si="42"/>
        <v>3.8414729938153811</v>
      </c>
      <c r="BS4" s="159">
        <f t="shared" si="43"/>
        <v>3.3004204594751871</v>
      </c>
      <c r="BT4" s="159">
        <f t="shared" si="44"/>
        <v>3.0490975781197145</v>
      </c>
      <c r="BU4" s="159">
        <f t="shared" si="45"/>
        <v>8.7424952012233916</v>
      </c>
      <c r="BV4" s="159">
        <f t="shared" si="46"/>
        <v>1.0528589163790887</v>
      </c>
      <c r="BW4" s="159">
        <f t="shared" si="47"/>
        <v>3.8414729938153811</v>
      </c>
      <c r="BX4" s="159">
        <f t="shared" si="48"/>
        <v>3.3004204594751871</v>
      </c>
      <c r="BY4" s="159">
        <f t="shared" si="49"/>
        <v>4.2285287292165705</v>
      </c>
      <c r="BZ4" s="159">
        <f t="shared" si="50"/>
        <v>7.057595455861855</v>
      </c>
      <c r="CA4" s="159">
        <f t="shared" si="51"/>
        <v>1.2877943770587201</v>
      </c>
      <c r="CB4" s="159">
        <f t="shared" si="52"/>
        <v>2.7207332235529762</v>
      </c>
      <c r="CC4" s="159">
        <f t="shared" si="53"/>
        <v>4.1296242597810346</v>
      </c>
      <c r="CD4" s="159">
        <f t="shared" si="54"/>
        <v>8.6316788416764787</v>
      </c>
      <c r="CE4" s="159">
        <f t="shared" ref="CE4:CE22" si="68">CC4</f>
        <v>4.1296242597810346</v>
      </c>
      <c r="CF4" s="159">
        <f t="shared" si="55"/>
        <v>4.5410782223485313</v>
      </c>
      <c r="CG4" s="159">
        <f t="shared" si="56"/>
        <v>9.9120979877931621</v>
      </c>
      <c r="CH4" s="159">
        <f t="shared" ref="CH4:CH22" si="69">CF4</f>
        <v>4.5410782223485313</v>
      </c>
      <c r="CI4" s="159">
        <f t="shared" ref="CI4:CI22" si="70">((L4+G4+(LOG(H4)*4/3))*0.25)</f>
        <v>1.6753283396262166</v>
      </c>
    </row>
    <row r="5" spans="1:87" x14ac:dyDescent="0.25">
      <c r="A5" t="str">
        <f>PLANTILLA!D8</f>
        <v>D. Toh</v>
      </c>
      <c r="B5" t="s">
        <v>854</v>
      </c>
      <c r="C5" s="632">
        <f>PLANTILLA!E8</f>
        <v>32</v>
      </c>
      <c r="D5" s="632">
        <f ca="1">PLANTILLA!F8</f>
        <v>54</v>
      </c>
      <c r="E5" s="632" t="str">
        <f>PLANTILLA!G8</f>
        <v>CAB</v>
      </c>
      <c r="F5" s="290">
        <v>41519</v>
      </c>
      <c r="G5" s="496">
        <v>1.5</v>
      </c>
      <c r="H5" s="497">
        <f>PLANTILLA!I8</f>
        <v>7.9</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13.562218940113608</v>
      </c>
      <c r="S5" s="163">
        <f t="shared" si="59"/>
        <v>0.66729999999999978</v>
      </c>
      <c r="T5" s="163">
        <f t="shared" si="60"/>
        <v>0.91072666666666657</v>
      </c>
      <c r="U5" s="163">
        <f t="shared" ca="1" si="0"/>
        <v>17.784613899498364</v>
      </c>
      <c r="V5" s="159">
        <f t="shared" si="1"/>
        <v>5.4116819342620746</v>
      </c>
      <c r="W5" s="159">
        <f t="shared" si="2"/>
        <v>8.1894820998079467</v>
      </c>
      <c r="X5" s="159">
        <f t="shared" si="61"/>
        <v>5.4116819342620746</v>
      </c>
      <c r="Y5" s="159">
        <f t="shared" si="3"/>
        <v>7.1074714388078242</v>
      </c>
      <c r="Z5" s="159">
        <f t="shared" si="4"/>
        <v>13.774169455053922</v>
      </c>
      <c r="AA5" s="159">
        <f t="shared" si="62"/>
        <v>3.5537357194039121</v>
      </c>
      <c r="AB5" s="159">
        <f t="shared" si="5"/>
        <v>2.122074774747277</v>
      </c>
      <c r="AC5" s="159">
        <f t="shared" si="6"/>
        <v>5.2066360540103824</v>
      </c>
      <c r="AD5" s="159">
        <f t="shared" si="7"/>
        <v>9.9587245160039846</v>
      </c>
      <c r="AE5" s="159">
        <f t="shared" si="63"/>
        <v>2.6033180270051912</v>
      </c>
      <c r="AF5" s="159">
        <f t="shared" si="8"/>
        <v>3.4327680179735367</v>
      </c>
      <c r="AG5" s="357">
        <f t="shared" si="9"/>
        <v>12.672235898649609</v>
      </c>
      <c r="AH5" s="159">
        <f t="shared" si="10"/>
        <v>5.7025061543923234</v>
      </c>
      <c r="AI5" s="159">
        <f t="shared" si="11"/>
        <v>1.4890188545495602</v>
      </c>
      <c r="AJ5" s="357">
        <f t="shared" si="12"/>
        <v>5.1725396395717054</v>
      </c>
      <c r="AK5" s="159">
        <f t="shared" si="13"/>
        <v>10.385723769110657</v>
      </c>
      <c r="AL5" s="159">
        <f t="shared" si="14"/>
        <v>9.7521119741781757</v>
      </c>
      <c r="AM5" s="159">
        <f t="shared" si="15"/>
        <v>3.0535305212162269</v>
      </c>
      <c r="AN5" s="159">
        <f t="shared" si="16"/>
        <v>1.8395128030555294</v>
      </c>
      <c r="AO5" s="159">
        <f t="shared" si="17"/>
        <v>3.7190257528645594</v>
      </c>
      <c r="AP5" s="159">
        <f t="shared" si="18"/>
        <v>8.1818566563020294</v>
      </c>
      <c r="AQ5" s="159">
        <f t="shared" si="64"/>
        <v>1.8595128764322797</v>
      </c>
      <c r="AR5" s="159">
        <f t="shared" si="19"/>
        <v>8.4169688544597872</v>
      </c>
      <c r="AS5" s="159">
        <f t="shared" si="20"/>
        <v>1.3545498069347879</v>
      </c>
      <c r="AT5" s="159">
        <f t="shared" si="21"/>
        <v>2.4077529836641323</v>
      </c>
      <c r="AU5" s="159">
        <f t="shared" si="65"/>
        <v>0.67727490346739394</v>
      </c>
      <c r="AV5" s="159">
        <f t="shared" si="22"/>
        <v>2.6033180270051912</v>
      </c>
      <c r="AW5" s="159">
        <f t="shared" si="23"/>
        <v>5.5096677820215696</v>
      </c>
      <c r="AX5" s="159">
        <f t="shared" si="66"/>
        <v>1.3016590135025956</v>
      </c>
      <c r="AY5" s="159">
        <f t="shared" si="24"/>
        <v>8.91628056616503</v>
      </c>
      <c r="AZ5" s="159">
        <f t="shared" si="25"/>
        <v>2.636162316573087</v>
      </c>
      <c r="BA5" s="159">
        <f t="shared" si="26"/>
        <v>4.9580239252902665</v>
      </c>
      <c r="BB5" s="159">
        <f t="shared" si="67"/>
        <v>1.3180811582865435</v>
      </c>
      <c r="BC5" s="159">
        <f t="shared" si="27"/>
        <v>4.0082833114206915</v>
      </c>
      <c r="BD5" s="159">
        <f t="shared" si="28"/>
        <v>4.7934109703587646</v>
      </c>
      <c r="BE5" s="159">
        <f t="shared" si="29"/>
        <v>7.8552431787913912</v>
      </c>
      <c r="BF5" s="159">
        <f t="shared" si="30"/>
        <v>8.3315623122096039</v>
      </c>
      <c r="BG5" s="159">
        <f t="shared" si="31"/>
        <v>2.5111269497791064</v>
      </c>
      <c r="BH5" s="159">
        <f t="shared" si="32"/>
        <v>6.6804721857011522</v>
      </c>
      <c r="BI5" s="159">
        <f t="shared" si="33"/>
        <v>3.6363807361342357</v>
      </c>
      <c r="BJ5" s="159">
        <f t="shared" si="34"/>
        <v>3.3971028957088762</v>
      </c>
      <c r="BK5" s="159">
        <f t="shared" si="35"/>
        <v>8.014613103717128</v>
      </c>
      <c r="BL5" s="159">
        <f t="shared" si="36"/>
        <v>0.54181992277391511</v>
      </c>
      <c r="BM5" s="159">
        <f t="shared" si="37"/>
        <v>2.479350501909706</v>
      </c>
      <c r="BN5" s="159">
        <f t="shared" si="38"/>
        <v>0.93664352294366682</v>
      </c>
      <c r="BO5" s="159">
        <f t="shared" si="39"/>
        <v>2.7194655726803343</v>
      </c>
      <c r="BP5" s="159">
        <f t="shared" si="40"/>
        <v>11.776845696977121</v>
      </c>
      <c r="BQ5" s="159">
        <f t="shared" si="41"/>
        <v>1.4066478764322796</v>
      </c>
      <c r="BR5" s="159">
        <f t="shared" si="42"/>
        <v>3.9118641252353137</v>
      </c>
      <c r="BS5" s="159">
        <f t="shared" si="43"/>
        <v>3.3608973470331569</v>
      </c>
      <c r="BT5" s="159">
        <f t="shared" si="44"/>
        <v>4.0569076576050884</v>
      </c>
      <c r="BU5" s="159">
        <f t="shared" si="45"/>
        <v>10.142852200644189</v>
      </c>
      <c r="BV5" s="159">
        <f t="shared" si="46"/>
        <v>1.2607732818393025</v>
      </c>
      <c r="BW5" s="159">
        <f t="shared" si="47"/>
        <v>3.9118641252353137</v>
      </c>
      <c r="BX5" s="159">
        <f t="shared" si="48"/>
        <v>3.3608973470331569</v>
      </c>
      <c r="BY5" s="159">
        <f t="shared" si="49"/>
        <v>5.6261730372501342</v>
      </c>
      <c r="BZ5" s="159">
        <f t="shared" si="50"/>
        <v>8.1863644400510367</v>
      </c>
      <c r="CA5" s="159">
        <f t="shared" si="51"/>
        <v>1.5421028571257582</v>
      </c>
      <c r="CB5" s="159">
        <f t="shared" si="52"/>
        <v>3.6200099098630023</v>
      </c>
      <c r="CC5" s="159">
        <f t="shared" si="53"/>
        <v>4.7212993971942039</v>
      </c>
      <c r="CD5" s="159">
        <f t="shared" si="54"/>
        <v>9.5582191397240486</v>
      </c>
      <c r="CE5" s="159">
        <f t="shared" si="68"/>
        <v>4.7212993971942039</v>
      </c>
      <c r="CF5" s="159">
        <f t="shared" si="55"/>
        <v>5.0331300149430369</v>
      </c>
      <c r="CG5" s="159">
        <f t="shared" si="56"/>
        <v>10.535006983968819</v>
      </c>
      <c r="CH5" s="159">
        <f t="shared" si="69"/>
        <v>5.0331300149430369</v>
      </c>
      <c r="CI5" s="159">
        <f t="shared" si="70"/>
        <v>2.2290701415412575</v>
      </c>
    </row>
    <row r="6" spans="1:87" x14ac:dyDescent="0.25">
      <c r="A6" t="str">
        <f>PLANTILLA!D9</f>
        <v>E. Toney</v>
      </c>
      <c r="B6" t="s">
        <v>854</v>
      </c>
      <c r="C6" s="632">
        <f>PLANTILLA!E9</f>
        <v>32</v>
      </c>
      <c r="D6" s="632">
        <f ca="1">PLANTILLA!F9</f>
        <v>8</v>
      </c>
      <c r="E6" s="632"/>
      <c r="F6" s="290">
        <v>41539</v>
      </c>
      <c r="G6" s="496">
        <v>1.5</v>
      </c>
      <c r="H6" s="497">
        <f>PLANTILLA!I9</f>
        <v>13.4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17.177777777777774</v>
      </c>
      <c r="Q6" s="163">
        <f t="shared" si="57"/>
        <v>4.3000000000000007</v>
      </c>
      <c r="R6" s="163">
        <f t="shared" si="58"/>
        <v>14.595546583626076</v>
      </c>
      <c r="S6" s="163">
        <f t="shared" si="59"/>
        <v>0.69941666666666646</v>
      </c>
      <c r="T6" s="163">
        <f t="shared" si="60"/>
        <v>1.0033333333333334</v>
      </c>
      <c r="U6" s="163">
        <f t="shared" ca="1" si="0"/>
        <v>19.680584175597517</v>
      </c>
      <c r="V6" s="159">
        <f t="shared" si="1"/>
        <v>5.9886499852966377</v>
      </c>
      <c r="W6" s="159">
        <f t="shared" si="2"/>
        <v>9.0616230595852905</v>
      </c>
      <c r="X6" s="159">
        <f t="shared" si="61"/>
        <v>5.9886499852966377</v>
      </c>
      <c r="Y6" s="159">
        <f t="shared" si="3"/>
        <v>7.8446481012749896</v>
      </c>
      <c r="Z6" s="159">
        <f t="shared" si="4"/>
        <v>15.202806397819748</v>
      </c>
      <c r="AA6" s="159">
        <f t="shared" si="62"/>
        <v>3.9223240506374948</v>
      </c>
      <c r="AB6" s="159">
        <f t="shared" si="5"/>
        <v>3.8709181449033201</v>
      </c>
      <c r="AC6" s="159">
        <f t="shared" si="6"/>
        <v>5.7466608183758643</v>
      </c>
      <c r="AD6" s="159">
        <f t="shared" si="7"/>
        <v>10.991629025623677</v>
      </c>
      <c r="AE6" s="159">
        <f t="shared" si="63"/>
        <v>2.8733304091879321</v>
      </c>
      <c r="AF6" s="159">
        <f t="shared" si="8"/>
        <v>6.2617793520494889</v>
      </c>
      <c r="AG6" s="357">
        <f t="shared" si="9"/>
        <v>13.986581885994168</v>
      </c>
      <c r="AH6" s="159">
        <f t="shared" si="10"/>
        <v>6.293961848697375</v>
      </c>
      <c r="AI6" s="159">
        <f t="shared" si="11"/>
        <v>2.7161484462136745</v>
      </c>
      <c r="AJ6" s="357">
        <f t="shared" si="12"/>
        <v>7.5721501619180112</v>
      </c>
      <c r="AK6" s="159">
        <f t="shared" si="13"/>
        <v>11.46291602395609</v>
      </c>
      <c r="AL6" s="159">
        <f t="shared" si="14"/>
        <v>10.76358692965638</v>
      </c>
      <c r="AM6" s="159">
        <f t="shared" si="15"/>
        <v>3.3701575573247853</v>
      </c>
      <c r="AN6" s="159">
        <f t="shared" si="16"/>
        <v>2.1032082425720864</v>
      </c>
      <c r="AO6" s="159">
        <f t="shared" si="17"/>
        <v>4.1047577274113323</v>
      </c>
      <c r="AP6" s="159">
        <f t="shared" si="18"/>
        <v>9.0304670003049292</v>
      </c>
      <c r="AQ6" s="159">
        <f t="shared" si="64"/>
        <v>2.0523788637056661</v>
      </c>
      <c r="AR6" s="159">
        <f t="shared" si="19"/>
        <v>15.35355768398628</v>
      </c>
      <c r="AS6" s="159">
        <f t="shared" si="20"/>
        <v>1.6383648317165667</v>
      </c>
      <c r="AT6" s="159">
        <f t="shared" si="21"/>
        <v>2.668750607894518</v>
      </c>
      <c r="AU6" s="159">
        <f t="shared" si="65"/>
        <v>0.81918241585828333</v>
      </c>
      <c r="AV6" s="159">
        <f t="shared" si="22"/>
        <v>2.8733304091879321</v>
      </c>
      <c r="AW6" s="159">
        <f t="shared" si="23"/>
        <v>6.0811225591278992</v>
      </c>
      <c r="AX6" s="159">
        <f t="shared" si="66"/>
        <v>1.4366652045939661</v>
      </c>
      <c r="AY6" s="159">
        <f t="shared" si="24"/>
        <v>16.264361953375296</v>
      </c>
      <c r="AZ6" s="159">
        <f t="shared" si="25"/>
        <v>3.1885100186483948</v>
      </c>
      <c r="BA6" s="159">
        <f t="shared" si="26"/>
        <v>5.7012963251986779</v>
      </c>
      <c r="BB6" s="159">
        <f t="shared" si="67"/>
        <v>1.5942550093241974</v>
      </c>
      <c r="BC6" s="159">
        <f t="shared" si="27"/>
        <v>4.4240166617655463</v>
      </c>
      <c r="BD6" s="159">
        <f t="shared" si="28"/>
        <v>5.2905766264412719</v>
      </c>
      <c r="BE6" s="159">
        <f t="shared" si="29"/>
        <v>14.328902880923636</v>
      </c>
      <c r="BF6" s="159">
        <f t="shared" si="30"/>
        <v>11.361744887661754</v>
      </c>
      <c r="BG6" s="159">
        <f t="shared" si="31"/>
        <v>3.0372763418745579</v>
      </c>
      <c r="BH6" s="159">
        <f t="shared" si="32"/>
        <v>7.3733611029425772</v>
      </c>
      <c r="BI6" s="159">
        <f t="shared" si="33"/>
        <v>4.013540889024414</v>
      </c>
      <c r="BJ6" s="159">
        <f t="shared" si="34"/>
        <v>6.1967219042359876</v>
      </c>
      <c r="BK6" s="159">
        <f t="shared" si="35"/>
        <v>11.19992779169446</v>
      </c>
      <c r="BL6" s="159">
        <f t="shared" si="36"/>
        <v>0.65534593268662655</v>
      </c>
      <c r="BM6" s="159">
        <f t="shared" si="37"/>
        <v>2.7365051516075543</v>
      </c>
      <c r="BN6" s="159">
        <f t="shared" si="38"/>
        <v>1.0337908350517429</v>
      </c>
      <c r="BO6" s="159">
        <f t="shared" si="39"/>
        <v>4.9606303957794653</v>
      </c>
      <c r="BP6" s="159">
        <f t="shared" si="40"/>
        <v>16.482209027596195</v>
      </c>
      <c r="BQ6" s="159">
        <f t="shared" si="41"/>
        <v>1.7013788637056653</v>
      </c>
      <c r="BR6" s="159">
        <f t="shared" si="42"/>
        <v>4.317597016980808</v>
      </c>
      <c r="BS6" s="159">
        <f t="shared" si="43"/>
        <v>3.7094847610680182</v>
      </c>
      <c r="BT6" s="159">
        <f t="shared" si="44"/>
        <v>7.4002846887857601</v>
      </c>
      <c r="BU6" s="159">
        <f t="shared" si="45"/>
        <v>14.201509488784279</v>
      </c>
      <c r="BV6" s="159">
        <f t="shared" si="46"/>
        <v>1.5249395741361889</v>
      </c>
      <c r="BW6" s="159">
        <f t="shared" si="47"/>
        <v>4.317597016980808</v>
      </c>
      <c r="BX6" s="159">
        <f t="shared" si="48"/>
        <v>3.7094847610680182</v>
      </c>
      <c r="BY6" s="159">
        <f t="shared" si="49"/>
        <v>10.262812392579812</v>
      </c>
      <c r="BZ6" s="159">
        <f t="shared" si="50"/>
        <v>11.472561726048674</v>
      </c>
      <c r="CA6" s="159">
        <f t="shared" si="51"/>
        <v>1.8652153468773218</v>
      </c>
      <c r="CB6" s="159">
        <f t="shared" si="52"/>
        <v>6.6033309530703708</v>
      </c>
      <c r="CC6" s="159">
        <f t="shared" si="53"/>
        <v>5.854033799930753</v>
      </c>
      <c r="CD6" s="159">
        <f t="shared" si="54"/>
        <v>10.740371670611697</v>
      </c>
      <c r="CE6" s="159">
        <f t="shared" si="68"/>
        <v>5.854033799930753</v>
      </c>
      <c r="CF6" s="159">
        <f t="shared" si="55"/>
        <v>6.2435567191750341</v>
      </c>
      <c r="CG6" s="159">
        <f t="shared" si="56"/>
        <v>11.334908625281894</v>
      </c>
      <c r="CH6" s="159">
        <f t="shared" si="69"/>
        <v>6.2435567191750341</v>
      </c>
      <c r="CI6" s="159">
        <f t="shared" si="70"/>
        <v>4.066090488343824</v>
      </c>
    </row>
    <row r="7" spans="1:87" x14ac:dyDescent="0.25">
      <c r="A7" t="str">
        <f>PLANTILLA!D10</f>
        <v>B. Bartolache</v>
      </c>
      <c r="B7" t="s">
        <v>854</v>
      </c>
      <c r="C7" s="632">
        <f>PLANTILLA!E10</f>
        <v>31</v>
      </c>
      <c r="D7" s="632">
        <f ca="1">PLANTILLA!F10</f>
        <v>105</v>
      </c>
      <c r="E7" s="632"/>
      <c r="F7" s="290">
        <v>41527</v>
      </c>
      <c r="G7" s="496">
        <v>1.5</v>
      </c>
      <c r="H7" s="497">
        <f>PLANTILLA!I10</f>
        <v>9.9</v>
      </c>
      <c r="I7" s="341"/>
      <c r="J7" s="163">
        <f>PLANTILLA!X10</f>
        <v>0</v>
      </c>
      <c r="K7" s="163">
        <f>PLANTILLA!Y10</f>
        <v>11.95</v>
      </c>
      <c r="L7" s="163">
        <f>PLANTILLA!Z10</f>
        <v>7.0225000000000017</v>
      </c>
      <c r="M7" s="163">
        <f>PLANTILLA!AA10</f>
        <v>7.5000000000000018</v>
      </c>
      <c r="N7" s="163">
        <f>PLANTILLA!AB10</f>
        <v>8.99</v>
      </c>
      <c r="O7" s="163">
        <f>PLANTILLA!AC10</f>
        <v>4.6199999999999966</v>
      </c>
      <c r="P7" s="163">
        <f>PLANTILLA!AD10</f>
        <v>16</v>
      </c>
      <c r="Q7" s="163">
        <f t="shared" si="57"/>
        <v>4.11625</v>
      </c>
      <c r="R7" s="163">
        <f t="shared" si="58"/>
        <v>15.118005040080776</v>
      </c>
      <c r="S7" s="163">
        <f t="shared" si="59"/>
        <v>0.71099999999999974</v>
      </c>
      <c r="T7" s="163">
        <f t="shared" si="60"/>
        <v>0.95799999999999996</v>
      </c>
      <c r="U7" s="163">
        <f t="shared" ca="1" si="0"/>
        <v>18.327513592796734</v>
      </c>
      <c r="V7" s="159">
        <f t="shared" si="1"/>
        <v>5.7666193665115486</v>
      </c>
      <c r="W7" s="159">
        <f t="shared" si="2"/>
        <v>8.7290700483005814</v>
      </c>
      <c r="X7" s="159">
        <f t="shared" si="61"/>
        <v>5.7666193665115486</v>
      </c>
      <c r="Y7" s="159">
        <f t="shared" si="3"/>
        <v>7.6251970138831142</v>
      </c>
      <c r="Z7" s="159">
        <f t="shared" si="4"/>
        <v>14.777513592796733</v>
      </c>
      <c r="AA7" s="159">
        <f t="shared" si="62"/>
        <v>3.8125985069415571</v>
      </c>
      <c r="AB7" s="159">
        <f t="shared" si="5"/>
        <v>2.344303235085623</v>
      </c>
      <c r="AC7" s="159">
        <f t="shared" si="6"/>
        <v>5.5859001380771653</v>
      </c>
      <c r="AD7" s="159">
        <f t="shared" si="7"/>
        <v>10.684142327592038</v>
      </c>
      <c r="AE7" s="159">
        <f t="shared" si="63"/>
        <v>2.7929500690385827</v>
      </c>
      <c r="AF7" s="159">
        <f t="shared" si="8"/>
        <v>3.7922552332267432</v>
      </c>
      <c r="AG7" s="357">
        <f t="shared" si="9"/>
        <v>13.595312505372995</v>
      </c>
      <c r="AH7" s="159">
        <f t="shared" si="10"/>
        <v>6.1178906274178475</v>
      </c>
      <c r="AI7" s="159">
        <f t="shared" si="11"/>
        <v>1.6449522699970549</v>
      </c>
      <c r="AJ7" s="357">
        <f t="shared" si="12"/>
        <v>6.0725779925644794</v>
      </c>
      <c r="AK7" s="159">
        <f t="shared" si="13"/>
        <v>11.142245248968736</v>
      </c>
      <c r="AL7" s="159">
        <f t="shared" si="14"/>
        <v>10.462479623700087</v>
      </c>
      <c r="AM7" s="159">
        <f t="shared" si="15"/>
        <v>3.1441947699970547</v>
      </c>
      <c r="AN7" s="159">
        <f t="shared" si="16"/>
        <v>1.9998039147254589</v>
      </c>
      <c r="AO7" s="159">
        <f t="shared" si="17"/>
        <v>3.9899286700551184</v>
      </c>
      <c r="AP7" s="159">
        <f t="shared" si="18"/>
        <v>8.7778430741212592</v>
      </c>
      <c r="AQ7" s="159">
        <f t="shared" si="64"/>
        <v>1.9949643350275592</v>
      </c>
      <c r="AR7" s="159">
        <f t="shared" si="19"/>
        <v>9.2984128316001176</v>
      </c>
      <c r="AS7" s="159">
        <f t="shared" si="20"/>
        <v>1.5362767670635753</v>
      </c>
      <c r="AT7" s="159">
        <f t="shared" si="21"/>
        <v>2.7065214826894417</v>
      </c>
      <c r="AU7" s="159">
        <f t="shared" si="65"/>
        <v>0.76813838353178765</v>
      </c>
      <c r="AV7" s="159">
        <f t="shared" si="22"/>
        <v>2.7929500690385827</v>
      </c>
      <c r="AW7" s="159">
        <f t="shared" si="23"/>
        <v>5.9110054371186935</v>
      </c>
      <c r="AX7" s="159">
        <f t="shared" si="66"/>
        <v>1.3964750345192913</v>
      </c>
      <c r="AY7" s="159">
        <f t="shared" si="24"/>
        <v>9.8500135927967349</v>
      </c>
      <c r="AZ7" s="159">
        <f t="shared" si="25"/>
        <v>2.9898309389775735</v>
      </c>
      <c r="BA7" s="159">
        <f t="shared" si="26"/>
        <v>5.5937499896309992</v>
      </c>
      <c r="BB7" s="159">
        <f t="shared" si="67"/>
        <v>1.4949154694887867</v>
      </c>
      <c r="BC7" s="159">
        <f t="shared" si="27"/>
        <v>4.3002564555038489</v>
      </c>
      <c r="BD7" s="159">
        <f t="shared" si="28"/>
        <v>5.142574730293263</v>
      </c>
      <c r="BE7" s="159">
        <f t="shared" si="29"/>
        <v>8.6778619752539239</v>
      </c>
      <c r="BF7" s="159">
        <f t="shared" si="30"/>
        <v>9.6505095839962962</v>
      </c>
      <c r="BG7" s="159">
        <f t="shared" si="31"/>
        <v>2.8480207758640126</v>
      </c>
      <c r="BH7" s="159">
        <f t="shared" si="32"/>
        <v>7.1670940925064155</v>
      </c>
      <c r="BI7" s="159">
        <f t="shared" si="33"/>
        <v>3.9012635884983378</v>
      </c>
      <c r="BJ7" s="159">
        <f t="shared" si="34"/>
        <v>3.752855178855556</v>
      </c>
      <c r="BK7" s="159">
        <f t="shared" si="35"/>
        <v>9.3257368801043459</v>
      </c>
      <c r="BL7" s="159">
        <f t="shared" si="36"/>
        <v>0.61451070682543008</v>
      </c>
      <c r="BM7" s="159">
        <f t="shared" si="37"/>
        <v>2.6599524467034117</v>
      </c>
      <c r="BN7" s="159">
        <f t="shared" si="38"/>
        <v>1.0048709243101779</v>
      </c>
      <c r="BO7" s="159">
        <f t="shared" si="39"/>
        <v>3.0042541458030039</v>
      </c>
      <c r="BP7" s="159">
        <f t="shared" si="40"/>
        <v>13.7073224803366</v>
      </c>
      <c r="BQ7" s="159">
        <f t="shared" si="41"/>
        <v>1.595364335027559</v>
      </c>
      <c r="BR7" s="159">
        <f t="shared" si="42"/>
        <v>4.196813860354272</v>
      </c>
      <c r="BS7" s="159">
        <f t="shared" si="43"/>
        <v>3.6057133166424027</v>
      </c>
      <c r="BT7" s="159">
        <f t="shared" si="44"/>
        <v>4.4817561847225145</v>
      </c>
      <c r="BU7" s="159">
        <f t="shared" si="45"/>
        <v>11.806445060818781</v>
      </c>
      <c r="BV7" s="159">
        <f t="shared" si="46"/>
        <v>1.4299191447284045</v>
      </c>
      <c r="BW7" s="159">
        <f t="shared" si="47"/>
        <v>4.196813860354272</v>
      </c>
      <c r="BX7" s="159">
        <f t="shared" si="48"/>
        <v>3.6057133166424027</v>
      </c>
      <c r="BY7" s="159">
        <f t="shared" si="49"/>
        <v>6.2153585770547402</v>
      </c>
      <c r="BZ7" s="159">
        <f t="shared" si="50"/>
        <v>9.5306946655530762</v>
      </c>
      <c r="CA7" s="159">
        <f t="shared" si="51"/>
        <v>1.7489920117339164</v>
      </c>
      <c r="CB7" s="159">
        <f t="shared" si="52"/>
        <v>3.9991055186754747</v>
      </c>
      <c r="CC7" s="159">
        <f t="shared" si="53"/>
        <v>5.3873745818470971</v>
      </c>
      <c r="CD7" s="159">
        <f t="shared" si="54"/>
        <v>10.758810305489121</v>
      </c>
      <c r="CE7" s="159">
        <f t="shared" si="68"/>
        <v>5.3873745818470971</v>
      </c>
      <c r="CF7" s="159">
        <f t="shared" si="55"/>
        <v>5.7668209683123637</v>
      </c>
      <c r="CG7" s="159">
        <f t="shared" si="56"/>
        <v>11.808176108538724</v>
      </c>
      <c r="CH7" s="159">
        <f t="shared" si="69"/>
        <v>5.7668209683123637</v>
      </c>
      <c r="CI7" s="159">
        <f t="shared" si="70"/>
        <v>2.4625033981991837</v>
      </c>
    </row>
    <row r="8" spans="1:87" x14ac:dyDescent="0.25">
      <c r="A8" t="str">
        <f>PLANTILLA!D11</f>
        <v>F. Lasprilla</v>
      </c>
      <c r="B8" t="s">
        <v>854</v>
      </c>
      <c r="C8" s="632">
        <f>PLANTILLA!E11</f>
        <v>28</v>
      </c>
      <c r="D8" s="632">
        <f ca="1">PLANTILLA!F11</f>
        <v>16</v>
      </c>
      <c r="E8" s="632"/>
      <c r="F8" s="290">
        <v>42106</v>
      </c>
      <c r="G8" s="496">
        <v>1.5</v>
      </c>
      <c r="H8" s="497">
        <f>PLANTILLA!I11</f>
        <v>5</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10.51555939055458</v>
      </c>
      <c r="S8" s="163">
        <f t="shared" si="59"/>
        <v>0.56291666666666662</v>
      </c>
      <c r="T8" s="163">
        <f t="shared" si="60"/>
        <v>0.78426999999999991</v>
      </c>
      <c r="U8" s="163">
        <f t="shared" ca="1" si="0"/>
        <v>15.268071116892468</v>
      </c>
      <c r="V8" s="159">
        <f t="shared" si="1"/>
        <v>4.773989085047126</v>
      </c>
      <c r="W8" s="159">
        <f t="shared" si="2"/>
        <v>7.2216437007970669</v>
      </c>
      <c r="X8" s="159">
        <f t="shared" si="61"/>
        <v>4.773989085047126</v>
      </c>
      <c r="Y8" s="159">
        <f t="shared" si="3"/>
        <v>6.2108993629831808</v>
      </c>
      <c r="Z8" s="159">
        <f t="shared" si="4"/>
        <v>12.036626672448024</v>
      </c>
      <c r="AA8" s="159">
        <f t="shared" si="62"/>
        <v>3.1054496814915904</v>
      </c>
      <c r="AB8" s="159">
        <f t="shared" si="5"/>
        <v>2.425858370264852</v>
      </c>
      <c r="AC8" s="159">
        <f t="shared" si="6"/>
        <v>4.5498448821853534</v>
      </c>
      <c r="AD8" s="159">
        <f t="shared" si="7"/>
        <v>8.7024810841799205</v>
      </c>
      <c r="AE8" s="159">
        <f t="shared" si="63"/>
        <v>2.2749224410926767</v>
      </c>
      <c r="AF8" s="159">
        <f t="shared" si="8"/>
        <v>3.9241826577813783</v>
      </c>
      <c r="AG8" s="357">
        <f t="shared" si="9"/>
        <v>11.073696538652182</v>
      </c>
      <c r="AH8" s="159">
        <f t="shared" si="10"/>
        <v>4.9831634423934821</v>
      </c>
      <c r="AI8" s="159">
        <f t="shared" si="11"/>
        <v>1.702177932076598</v>
      </c>
      <c r="AJ8" s="357">
        <f t="shared" si="12"/>
        <v>5.0520724833994368</v>
      </c>
      <c r="AK8" s="159">
        <f t="shared" si="13"/>
        <v>9.0756165110258102</v>
      </c>
      <c r="AL8" s="159">
        <f t="shared" si="14"/>
        <v>8.5219316840932002</v>
      </c>
      <c r="AM8" s="159">
        <f t="shared" si="15"/>
        <v>2.6332678765210424</v>
      </c>
      <c r="AN8" s="159">
        <f t="shared" si="16"/>
        <v>1.7923324816650312</v>
      </c>
      <c r="AO8" s="159">
        <f t="shared" si="17"/>
        <v>3.2498892015609666</v>
      </c>
      <c r="AP8" s="159">
        <f t="shared" si="18"/>
        <v>7.1497562434341262</v>
      </c>
      <c r="AQ8" s="159">
        <f t="shared" si="64"/>
        <v>1.6249446007804833</v>
      </c>
      <c r="AR8" s="159">
        <f t="shared" si="19"/>
        <v>9.6218920232353788</v>
      </c>
      <c r="AS8" s="159">
        <f t="shared" si="20"/>
        <v>1.4683881340849096</v>
      </c>
      <c r="AT8" s="159">
        <f t="shared" si="21"/>
        <v>2.3395676150272711</v>
      </c>
      <c r="AU8" s="159">
        <f t="shared" si="65"/>
        <v>0.73419406704245482</v>
      </c>
      <c r="AV8" s="159">
        <f t="shared" si="22"/>
        <v>2.2749224410926767</v>
      </c>
      <c r="AW8" s="159">
        <f t="shared" si="23"/>
        <v>4.8146506689792101</v>
      </c>
      <c r="AX8" s="159">
        <f t="shared" si="66"/>
        <v>1.1374612205463384</v>
      </c>
      <c r="AY8" s="159">
        <f t="shared" si="24"/>
        <v>10.19268222800358</v>
      </c>
      <c r="AZ8" s="159">
        <f t="shared" si="25"/>
        <v>2.8577092147960164</v>
      </c>
      <c r="BA8" s="159">
        <f t="shared" si="26"/>
        <v>5.0463066298521948</v>
      </c>
      <c r="BB8" s="159">
        <f t="shared" si="67"/>
        <v>1.4288546073980082</v>
      </c>
      <c r="BC8" s="159">
        <f t="shared" si="27"/>
        <v>3.502658361682375</v>
      </c>
      <c r="BD8" s="159">
        <f t="shared" si="28"/>
        <v>4.188746082011912</v>
      </c>
      <c r="BE8" s="159">
        <f t="shared" si="29"/>
        <v>8.9797530428711543</v>
      </c>
      <c r="BF8" s="159">
        <f t="shared" si="30"/>
        <v>8.4898024451396239</v>
      </c>
      <c r="BG8" s="159">
        <f t="shared" si="31"/>
        <v>2.7221656947266402</v>
      </c>
      <c r="BH8" s="159">
        <f t="shared" si="32"/>
        <v>5.8377639361372919</v>
      </c>
      <c r="BI8" s="159">
        <f t="shared" si="33"/>
        <v>3.1776694415262785</v>
      </c>
      <c r="BJ8" s="159">
        <f t="shared" si="34"/>
        <v>3.8834119288693643</v>
      </c>
      <c r="BK8" s="159">
        <f t="shared" si="35"/>
        <v>8.0527430450529049</v>
      </c>
      <c r="BL8" s="159">
        <f t="shared" si="36"/>
        <v>0.58735525363396379</v>
      </c>
      <c r="BM8" s="159">
        <f t="shared" si="37"/>
        <v>2.1665928010406441</v>
      </c>
      <c r="BN8" s="159">
        <f t="shared" si="38"/>
        <v>0.8184906137264657</v>
      </c>
      <c r="BO8" s="159">
        <f t="shared" si="39"/>
        <v>3.1087680795410919</v>
      </c>
      <c r="BP8" s="159">
        <f t="shared" si="40"/>
        <v>11.822413900768158</v>
      </c>
      <c r="BQ8" s="159">
        <f t="shared" si="41"/>
        <v>1.5248646007804831</v>
      </c>
      <c r="BR8" s="159">
        <f t="shared" si="42"/>
        <v>3.4184019749752386</v>
      </c>
      <c r="BS8" s="159">
        <f t="shared" si="43"/>
        <v>2.936936908077318</v>
      </c>
      <c r="BT8" s="159">
        <f t="shared" si="44"/>
        <v>4.6376704137416294</v>
      </c>
      <c r="BU8" s="159">
        <f t="shared" si="45"/>
        <v>10.179505019739075</v>
      </c>
      <c r="BV8" s="159">
        <f t="shared" si="46"/>
        <v>1.3667304940328773</v>
      </c>
      <c r="BW8" s="159">
        <f t="shared" si="47"/>
        <v>3.4184019749752386</v>
      </c>
      <c r="BX8" s="159">
        <f t="shared" si="48"/>
        <v>2.936936908077318</v>
      </c>
      <c r="BY8" s="159">
        <f t="shared" si="49"/>
        <v>6.4315824858702593</v>
      </c>
      <c r="BZ8" s="159">
        <f t="shared" si="50"/>
        <v>8.2115475385076468</v>
      </c>
      <c r="CA8" s="159">
        <f t="shared" si="51"/>
        <v>1.6717034141889739</v>
      </c>
      <c r="CB8" s="159">
        <f t="shared" si="52"/>
        <v>4.1382289845694542</v>
      </c>
      <c r="CC8" s="159">
        <f t="shared" si="53"/>
        <v>4.7835211630120869</v>
      </c>
      <c r="CD8" s="159">
        <f t="shared" si="54"/>
        <v>9.4498136331764755</v>
      </c>
      <c r="CE8" s="159">
        <f t="shared" si="68"/>
        <v>4.7835211630120869</v>
      </c>
      <c r="CF8" s="159">
        <f t="shared" si="55"/>
        <v>4.8517977502684522</v>
      </c>
      <c r="CG8" s="159">
        <f t="shared" si="56"/>
        <v>9.8565899145813454</v>
      </c>
      <c r="CH8" s="159">
        <f t="shared" si="69"/>
        <v>4.8517977502684522</v>
      </c>
      <c r="CI8" s="159">
        <f t="shared" si="70"/>
        <v>2.548170557000895</v>
      </c>
    </row>
    <row r="9" spans="1:87" x14ac:dyDescent="0.25">
      <c r="A9" t="str">
        <f>PLANTILLA!D7</f>
        <v>B. Pinczehelyi</v>
      </c>
      <c r="C9" s="632">
        <f>PLANTILLA!E7</f>
        <v>31</v>
      </c>
      <c r="D9" s="632">
        <f ca="1">PLANTILLA!F7</f>
        <v>9</v>
      </c>
      <c r="E9" s="632" t="str">
        <f>PLANTILLA!G7</f>
        <v>CAB</v>
      </c>
      <c r="F9" s="290">
        <v>41400</v>
      </c>
      <c r="G9" s="496">
        <v>1</v>
      </c>
      <c r="H9" s="497">
        <f>PLANTILLA!I7</f>
        <v>15.1</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11</v>
      </c>
      <c r="Q9" s="163">
        <f>((2*(N9+1))+(K9+1))/8</f>
        <v>4.5175000000000001</v>
      </c>
      <c r="R9" s="163">
        <f t="shared" si="58"/>
        <v>6.0311949285000637</v>
      </c>
      <c r="S9" s="163">
        <f>(0.5*O9+ 0.3*P9)/10</f>
        <v>0.38714285714285712</v>
      </c>
      <c r="T9" s="163">
        <f>(0.4*K9+0.3*P9)/10</f>
        <v>0.90200000000000036</v>
      </c>
      <c r="U9" s="163">
        <f t="shared" ca="1" si="0"/>
        <v>13.571969263057559</v>
      </c>
      <c r="V9" s="159">
        <f t="shared" si="1"/>
        <v>6.1921291666492513</v>
      </c>
      <c r="W9" s="159">
        <f t="shared" si="2"/>
        <v>9.397912318607311</v>
      </c>
      <c r="X9" s="159">
        <f>V9</f>
        <v>6.1921291666492513</v>
      </c>
      <c r="Y9" s="159">
        <f t="shared" si="3"/>
        <v>8.7059361397377035</v>
      </c>
      <c r="Z9" s="159">
        <f t="shared" si="4"/>
        <v>16.871969263057565</v>
      </c>
      <c r="AA9" s="159">
        <f>Y9/2</f>
        <v>4.3529680698688518</v>
      </c>
      <c r="AB9" s="159">
        <f t="shared" si="5"/>
        <v>2.8444100179410325</v>
      </c>
      <c r="AC9" s="159">
        <f t="shared" si="6"/>
        <v>6.3776043814357593</v>
      </c>
      <c r="AD9" s="159">
        <f t="shared" si="7"/>
        <v>12.198433777190619</v>
      </c>
      <c r="AE9" s="159">
        <f>AC9/2</f>
        <v>3.1888021907178796</v>
      </c>
      <c r="AF9" s="159">
        <f t="shared" si="8"/>
        <v>4.6012514996104947</v>
      </c>
      <c r="AG9" s="357">
        <f t="shared" si="9"/>
        <v>15.52221172201296</v>
      </c>
      <c r="AH9" s="159">
        <f t="shared" si="10"/>
        <v>6.9849952749058319</v>
      </c>
      <c r="AI9" s="159">
        <f t="shared" si="11"/>
        <v>1.9958675335972795</v>
      </c>
      <c r="AJ9" s="357">
        <f t="shared" si="12"/>
        <v>9.9403179266778423</v>
      </c>
      <c r="AK9" s="159">
        <f t="shared" si="13"/>
        <v>12.721464824345404</v>
      </c>
      <c r="AL9" s="159">
        <f t="shared" si="14"/>
        <v>11.945354238244756</v>
      </c>
      <c r="AM9" s="159">
        <f t="shared" si="15"/>
        <v>2.2665188669306127</v>
      </c>
      <c r="AN9" s="159">
        <f t="shared" si="16"/>
        <v>2.0417671477605768</v>
      </c>
      <c r="AO9" s="159">
        <f t="shared" si="17"/>
        <v>4.555431701025543</v>
      </c>
      <c r="AP9" s="159">
        <f t="shared" si="18"/>
        <v>10.021949742256194</v>
      </c>
      <c r="AQ9" s="159">
        <f>AO9/2</f>
        <v>2.2777158505127715</v>
      </c>
      <c r="AR9" s="159">
        <f t="shared" si="19"/>
        <v>11.282029650993003</v>
      </c>
      <c r="AS9" s="159">
        <f t="shared" si="20"/>
        <v>1.5589560041974826</v>
      </c>
      <c r="AT9" s="159">
        <f t="shared" si="21"/>
        <v>2.08170127979015</v>
      </c>
      <c r="AU9" s="159">
        <f>AS9/2</f>
        <v>0.7794780020987413</v>
      </c>
      <c r="AV9" s="159">
        <f t="shared" si="22"/>
        <v>3.1888021907178796</v>
      </c>
      <c r="AW9" s="159">
        <f t="shared" si="23"/>
        <v>6.7487877052230267</v>
      </c>
      <c r="AX9" s="159">
        <f>AV9/2</f>
        <v>1.5944010953589398</v>
      </c>
      <c r="AY9" s="159">
        <f t="shared" si="24"/>
        <v>11.951302596390894</v>
      </c>
      <c r="AZ9" s="159">
        <f t="shared" si="25"/>
        <v>3.0339682235535621</v>
      </c>
      <c r="BA9" s="159">
        <f t="shared" si="26"/>
        <v>4.8693750639447142</v>
      </c>
      <c r="BB9" s="159">
        <f>AZ9/2</f>
        <v>1.5169841117767811</v>
      </c>
      <c r="BC9" s="159">
        <f t="shared" si="27"/>
        <v>4.9097430555497512</v>
      </c>
      <c r="BD9" s="159">
        <f t="shared" si="28"/>
        <v>5.8714453035440322</v>
      </c>
      <c r="BE9" s="159">
        <f t="shared" si="29"/>
        <v>10.529097587420377</v>
      </c>
      <c r="BF9" s="159">
        <f t="shared" si="30"/>
        <v>13.481114008191501</v>
      </c>
      <c r="BG9" s="159">
        <f t="shared" si="31"/>
        <v>2.8900645923968713</v>
      </c>
      <c r="BH9" s="159">
        <f t="shared" si="32"/>
        <v>8.182905092582919</v>
      </c>
      <c r="BI9" s="159">
        <f t="shared" si="33"/>
        <v>4.4541998854471974</v>
      </c>
      <c r="BJ9" s="159">
        <f t="shared" si="34"/>
        <v>4.5534462892249303</v>
      </c>
      <c r="BK9" s="159">
        <f t="shared" si="35"/>
        <v>13.787654469245638</v>
      </c>
      <c r="BL9" s="159">
        <f t="shared" si="36"/>
        <v>0.62358240167899293</v>
      </c>
      <c r="BM9" s="159">
        <f t="shared" si="37"/>
        <v>3.0369544673503617</v>
      </c>
      <c r="BN9" s="159">
        <f t="shared" si="38"/>
        <v>1.1472939098879145</v>
      </c>
      <c r="BO9" s="159">
        <f t="shared" si="39"/>
        <v>3.6451472918992227</v>
      </c>
      <c r="BP9" s="159">
        <f t="shared" si="40"/>
        <v>20.33500580562535</v>
      </c>
      <c r="BQ9" s="159">
        <f t="shared" si="41"/>
        <v>1.6189158505127703</v>
      </c>
      <c r="BR9" s="159">
        <f t="shared" si="42"/>
        <v>4.7916392707083482</v>
      </c>
      <c r="BS9" s="159">
        <f t="shared" si="43"/>
        <v>4.1167605001860457</v>
      </c>
      <c r="BT9" s="159">
        <f t="shared" si="44"/>
        <v>5.4378426813578571</v>
      </c>
      <c r="BU9" s="159">
        <f t="shared" si="45"/>
        <v>17.532221943467771</v>
      </c>
      <c r="BV9" s="159">
        <f t="shared" si="46"/>
        <v>1.4510282808299644</v>
      </c>
      <c r="BW9" s="159">
        <f t="shared" si="47"/>
        <v>4.7916392707083482</v>
      </c>
      <c r="BX9" s="159">
        <f t="shared" si="48"/>
        <v>4.1167605001860457</v>
      </c>
      <c r="BY9" s="159">
        <f t="shared" si="49"/>
        <v>7.5412719383226543</v>
      </c>
      <c r="BZ9" s="159">
        <f t="shared" si="50"/>
        <v>14.181972490436513</v>
      </c>
      <c r="CA9" s="159">
        <f t="shared" si="51"/>
        <v>1.7748114509325184</v>
      </c>
      <c r="CB9" s="159">
        <f t="shared" si="52"/>
        <v>4.8522288541347036</v>
      </c>
      <c r="CC9" s="159">
        <f t="shared" si="53"/>
        <v>5.9041388431958444</v>
      </c>
      <c r="CD9" s="159">
        <f t="shared" si="54"/>
        <v>8.6773831044885252</v>
      </c>
      <c r="CE9" s="159">
        <f>CC9</f>
        <v>5.9041388431958444</v>
      </c>
      <c r="CF9" s="159">
        <f t="shared" si="55"/>
        <v>6.4047863746943827</v>
      </c>
      <c r="CG9" s="159">
        <f t="shared" si="56"/>
        <v>8.1398630639829399</v>
      </c>
      <c r="CH9" s="159">
        <f>CF9</f>
        <v>6.4047863746943827</v>
      </c>
      <c r="CI9" s="159">
        <f>((L9+G9+(LOG(H9)*4/3))*0.25)</f>
        <v>2.9878256490977235</v>
      </c>
    </row>
    <row r="10" spans="1:87" x14ac:dyDescent="0.25">
      <c r="A10" t="str">
        <f>PLANTILLA!D12</f>
        <v>E. Romweber</v>
      </c>
      <c r="B10" t="s">
        <v>854</v>
      </c>
      <c r="C10" s="632">
        <f>PLANTILLA!E12</f>
        <v>31</v>
      </c>
      <c r="D10" s="632">
        <f ca="1">PLANTILLA!F12</f>
        <v>82</v>
      </c>
      <c r="E10" s="632" t="str">
        <f>PLANTILLA!G12</f>
        <v>IMP</v>
      </c>
      <c r="F10" s="290">
        <v>41583</v>
      </c>
      <c r="G10" s="496">
        <v>1.5</v>
      </c>
      <c r="H10" s="497">
        <f>PLANTILLA!I12</f>
        <v>13.1</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17.529999999999998</v>
      </c>
      <c r="Q10" s="163">
        <f t="shared" si="57"/>
        <v>4.6101388888888888</v>
      </c>
      <c r="R10" s="163">
        <f t="shared" si="58"/>
        <v>21.546926084532316</v>
      </c>
      <c r="S10" s="163">
        <f t="shared" si="59"/>
        <v>0.91439999999999999</v>
      </c>
      <c r="T10" s="163">
        <f t="shared" si="60"/>
        <v>1.0083444444444445</v>
      </c>
      <c r="U10" s="163">
        <f t="shared" ca="1" si="0"/>
        <v>20.019695060874351</v>
      </c>
      <c r="V10" s="159">
        <f t="shared" si="1"/>
        <v>5.938870454809976</v>
      </c>
      <c r="W10" s="159">
        <f t="shared" si="2"/>
        <v>8.9856685458110093</v>
      </c>
      <c r="X10" s="159">
        <f t="shared" si="61"/>
        <v>5.938870454809976</v>
      </c>
      <c r="Y10" s="159">
        <f t="shared" si="3"/>
        <v>7.7662159847444983</v>
      </c>
      <c r="Z10" s="159">
        <f t="shared" si="4"/>
        <v>15.050806171985462</v>
      </c>
      <c r="AA10" s="159">
        <f t="shared" si="62"/>
        <v>3.8831079923722491</v>
      </c>
      <c r="AB10" s="159">
        <f t="shared" si="5"/>
        <v>3.7137058689325406</v>
      </c>
      <c r="AC10" s="159">
        <f t="shared" si="6"/>
        <v>5.6892047330105049</v>
      </c>
      <c r="AD10" s="159">
        <f t="shared" si="7"/>
        <v>10.881732862345489</v>
      </c>
      <c r="AE10" s="159">
        <f t="shared" si="63"/>
        <v>2.8446023665052524</v>
      </c>
      <c r="AF10" s="159">
        <f t="shared" si="8"/>
        <v>6.0074653762144044</v>
      </c>
      <c r="AG10" s="357">
        <f t="shared" si="9"/>
        <v>13.846741678226625</v>
      </c>
      <c r="AH10" s="159">
        <f t="shared" si="10"/>
        <v>6.231033755201981</v>
      </c>
      <c r="AI10" s="159">
        <f t="shared" si="11"/>
        <v>2.6058356307215731</v>
      </c>
      <c r="AJ10" s="357">
        <f t="shared" si="12"/>
        <v>9.5293406957941205</v>
      </c>
      <c r="AK10" s="159">
        <f t="shared" si="13"/>
        <v>11.348307853677039</v>
      </c>
      <c r="AL10" s="159">
        <f t="shared" si="14"/>
        <v>10.655970769765707</v>
      </c>
      <c r="AM10" s="159">
        <f t="shared" si="15"/>
        <v>3.4267890751660168</v>
      </c>
      <c r="AN10" s="159">
        <f t="shared" si="16"/>
        <v>2.1887521775318133</v>
      </c>
      <c r="AO10" s="159">
        <f t="shared" si="17"/>
        <v>4.0637176664360748</v>
      </c>
      <c r="AP10" s="159">
        <f t="shared" si="18"/>
        <v>8.9401788661593642</v>
      </c>
      <c r="AQ10" s="159">
        <f t="shared" si="64"/>
        <v>2.0318588332180374</v>
      </c>
      <c r="AR10" s="159">
        <f t="shared" si="19"/>
        <v>14.729993026354279</v>
      </c>
      <c r="AS10" s="159">
        <f t="shared" si="20"/>
        <v>1.8069603579136659</v>
      </c>
      <c r="AT10" s="159">
        <f t="shared" si="21"/>
        <v>3.5293906528361845</v>
      </c>
      <c r="AU10" s="159">
        <f t="shared" si="65"/>
        <v>0.90348017895683297</v>
      </c>
      <c r="AV10" s="159">
        <f t="shared" si="22"/>
        <v>2.8446023665052524</v>
      </c>
      <c r="AW10" s="159">
        <f t="shared" si="23"/>
        <v>6.020322468794185</v>
      </c>
      <c r="AX10" s="159">
        <f t="shared" si="66"/>
        <v>1.4223011832526262</v>
      </c>
      <c r="AY10" s="159">
        <f t="shared" si="24"/>
        <v>15.603806171985466</v>
      </c>
      <c r="AZ10" s="159">
        <f t="shared" si="25"/>
        <v>3.5166228504012111</v>
      </c>
      <c r="BA10" s="159">
        <f t="shared" si="26"/>
        <v>6.9993319785417683</v>
      </c>
      <c r="BB10" s="159">
        <f t="shared" si="67"/>
        <v>1.7583114252006056</v>
      </c>
      <c r="BC10" s="159">
        <f t="shared" si="27"/>
        <v>4.3797845960477693</v>
      </c>
      <c r="BD10" s="159">
        <f t="shared" si="28"/>
        <v>5.2376805478509407</v>
      </c>
      <c r="BE10" s="159">
        <f t="shared" si="29"/>
        <v>13.746953237519197</v>
      </c>
      <c r="BF10" s="159">
        <f t="shared" si="30"/>
        <v>13.680855575783967</v>
      </c>
      <c r="BG10" s="159">
        <f t="shared" si="31"/>
        <v>3.3498265096707187</v>
      </c>
      <c r="BH10" s="159">
        <f t="shared" si="32"/>
        <v>7.2996409934129485</v>
      </c>
      <c r="BI10" s="159">
        <f t="shared" si="33"/>
        <v>3.973412829404162</v>
      </c>
      <c r="BJ10" s="159">
        <f t="shared" si="34"/>
        <v>5.9450501515264627</v>
      </c>
      <c r="BK10" s="159">
        <f t="shared" si="35"/>
        <v>13.700720149870854</v>
      </c>
      <c r="BL10" s="159">
        <f t="shared" si="36"/>
        <v>0.72278414316546624</v>
      </c>
      <c r="BM10" s="159">
        <f t="shared" si="37"/>
        <v>2.7091451109573832</v>
      </c>
      <c r="BN10" s="159">
        <f t="shared" si="38"/>
        <v>1.0234548196950115</v>
      </c>
      <c r="BO10" s="159">
        <f t="shared" si="39"/>
        <v>4.7591608824555669</v>
      </c>
      <c r="BP10" s="159">
        <f t="shared" si="40"/>
        <v>20.181674514951087</v>
      </c>
      <c r="BQ10" s="159">
        <f t="shared" si="41"/>
        <v>1.8764588332180376</v>
      </c>
      <c r="BR10" s="159">
        <f t="shared" si="42"/>
        <v>4.2744289528438708</v>
      </c>
      <c r="BS10" s="159">
        <f t="shared" si="43"/>
        <v>3.6723967059644527</v>
      </c>
      <c r="BT10" s="159">
        <f t="shared" si="44"/>
        <v>7.0997318082533871</v>
      </c>
      <c r="BU10" s="159">
        <f t="shared" si="45"/>
        <v>17.393822127448786</v>
      </c>
      <c r="BV10" s="159">
        <f t="shared" si="46"/>
        <v>1.6818631023657966</v>
      </c>
      <c r="BW10" s="159">
        <f t="shared" si="47"/>
        <v>4.2744289528438708</v>
      </c>
      <c r="BX10" s="159">
        <f t="shared" si="48"/>
        <v>3.6723967059644527</v>
      </c>
      <c r="BY10" s="159">
        <f t="shared" si="49"/>
        <v>9.8460016945228297</v>
      </c>
      <c r="BZ10" s="159">
        <f t="shared" si="50"/>
        <v>14.059507079482547</v>
      </c>
      <c r="CA10" s="159">
        <f t="shared" si="51"/>
        <v>2.0571548690094041</v>
      </c>
      <c r="CB10" s="159">
        <f t="shared" si="52"/>
        <v>6.3351453058260994</v>
      </c>
      <c r="CC10" s="159">
        <f t="shared" si="53"/>
        <v>7.1751211267155375</v>
      </c>
      <c r="CD10" s="159">
        <f t="shared" si="54"/>
        <v>13.820436638544521</v>
      </c>
      <c r="CE10" s="159">
        <f t="shared" si="68"/>
        <v>7.1751211267155375</v>
      </c>
      <c r="CF10" s="159">
        <f t="shared" si="55"/>
        <v>8.2228833562580554</v>
      </c>
      <c r="CG10" s="159">
        <f t="shared" si="56"/>
        <v>15.888682538336987</v>
      </c>
      <c r="CH10" s="159">
        <f t="shared" si="69"/>
        <v>8.2228833562580554</v>
      </c>
      <c r="CI10" s="159">
        <f t="shared" si="70"/>
        <v>3.9009515429963666</v>
      </c>
    </row>
    <row r="11" spans="1:87" x14ac:dyDescent="0.25">
      <c r="A11" t="str">
        <f>PLANTILLA!D13</f>
        <v>K. Helms</v>
      </c>
      <c r="B11" t="s">
        <v>854</v>
      </c>
      <c r="C11" s="632">
        <f>PLANTILLA!E13</f>
        <v>31</v>
      </c>
      <c r="D11" s="632">
        <f ca="1">PLANTILLA!F13</f>
        <v>29</v>
      </c>
      <c r="E11" s="632" t="str">
        <f>PLANTILLA!G13</f>
        <v>TEC</v>
      </c>
      <c r="F11" s="290">
        <v>41722</v>
      </c>
      <c r="G11" s="496">
        <v>1.5</v>
      </c>
      <c r="H11" s="497">
        <f>PLANTILLA!I13</f>
        <v>10.7</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18</v>
      </c>
      <c r="Q11" s="163">
        <f t="shared" si="57"/>
        <v>3.8712878787878782</v>
      </c>
      <c r="R11" s="163">
        <f t="shared" si="58"/>
        <v>17.620550864912417</v>
      </c>
      <c r="S11" s="163">
        <f t="shared" si="59"/>
        <v>0.81024999999999991</v>
      </c>
      <c r="T11" s="163">
        <f t="shared" si="60"/>
        <v>0.8300121212121212</v>
      </c>
      <c r="U11" s="163">
        <f t="shared" ca="1" si="0"/>
        <v>20.37251170358028</v>
      </c>
      <c r="V11" s="159">
        <f t="shared" si="1"/>
        <v>4.5087863535892208</v>
      </c>
      <c r="W11" s="159">
        <f t="shared" si="2"/>
        <v>6.7897913972009292</v>
      </c>
      <c r="X11" s="159">
        <f t="shared" si="61"/>
        <v>4.5087863535892208</v>
      </c>
      <c r="Y11" s="159">
        <f t="shared" si="3"/>
        <v>5.223372402683788</v>
      </c>
      <c r="Z11" s="159">
        <f t="shared" si="4"/>
        <v>10.12281473388331</v>
      </c>
      <c r="AA11" s="159">
        <f t="shared" si="62"/>
        <v>2.611686201341894</v>
      </c>
      <c r="AB11" s="159">
        <f t="shared" si="5"/>
        <v>3.2064577854521077</v>
      </c>
      <c r="AC11" s="159">
        <f t="shared" si="6"/>
        <v>3.826423969407891</v>
      </c>
      <c r="AD11" s="159">
        <f t="shared" si="7"/>
        <v>7.3187950525976326</v>
      </c>
      <c r="AE11" s="159">
        <f t="shared" si="63"/>
        <v>1.9132119847039455</v>
      </c>
      <c r="AF11" s="159">
        <f t="shared" si="8"/>
        <v>5.18691700587841</v>
      </c>
      <c r="AG11" s="357">
        <f t="shared" si="9"/>
        <v>9.3129895551726456</v>
      </c>
      <c r="AH11" s="159">
        <f t="shared" si="10"/>
        <v>4.1908452998276902</v>
      </c>
      <c r="AI11" s="159">
        <f t="shared" si="11"/>
        <v>2.2499094544979075</v>
      </c>
      <c r="AJ11" s="357">
        <f t="shared" si="12"/>
        <v>9.6103768817052035</v>
      </c>
      <c r="AK11" s="159">
        <f t="shared" si="13"/>
        <v>7.6326023093480151</v>
      </c>
      <c r="AL11" s="159">
        <f t="shared" si="14"/>
        <v>7.1669528315893825</v>
      </c>
      <c r="AM11" s="159">
        <f t="shared" si="15"/>
        <v>3.4857094544979068</v>
      </c>
      <c r="AN11" s="159">
        <f t="shared" si="16"/>
        <v>1.9422142797220294</v>
      </c>
      <c r="AO11" s="159">
        <f t="shared" si="17"/>
        <v>2.7331599781484939</v>
      </c>
      <c r="AP11" s="159">
        <f t="shared" si="18"/>
        <v>6.0129519519266861</v>
      </c>
      <c r="AQ11" s="159">
        <f t="shared" si="64"/>
        <v>1.3665799890742469</v>
      </c>
      <c r="AR11" s="159">
        <f t="shared" si="19"/>
        <v>12.718051048179788</v>
      </c>
      <c r="AS11" s="159">
        <f t="shared" si="20"/>
        <v>1.7202265214654362</v>
      </c>
      <c r="AT11" s="159">
        <f t="shared" si="21"/>
        <v>3.0199109291490216</v>
      </c>
      <c r="AU11" s="159">
        <f t="shared" si="65"/>
        <v>0.8601132607327181</v>
      </c>
      <c r="AV11" s="159">
        <f t="shared" si="22"/>
        <v>1.9132119847039455</v>
      </c>
      <c r="AW11" s="159">
        <f t="shared" si="23"/>
        <v>4.0491258935533239</v>
      </c>
      <c r="AX11" s="159">
        <f t="shared" si="66"/>
        <v>0.95660599235197274</v>
      </c>
      <c r="AY11" s="159">
        <f t="shared" si="24"/>
        <v>13.472511703580285</v>
      </c>
      <c r="AZ11" s="159">
        <f t="shared" si="25"/>
        <v>3.3478254610058102</v>
      </c>
      <c r="BA11" s="159">
        <f t="shared" si="26"/>
        <v>6.2505639486727338</v>
      </c>
      <c r="BB11" s="159">
        <f t="shared" si="67"/>
        <v>1.6739127305029051</v>
      </c>
      <c r="BC11" s="159">
        <f t="shared" si="27"/>
        <v>2.9457390875600429</v>
      </c>
      <c r="BD11" s="159">
        <f t="shared" si="28"/>
        <v>3.5227395273913915</v>
      </c>
      <c r="BE11" s="159">
        <f t="shared" si="29"/>
        <v>11.86928281085423</v>
      </c>
      <c r="BF11" s="159">
        <f t="shared" si="30"/>
        <v>13.549799571149533</v>
      </c>
      <c r="BG11" s="159">
        <f t="shared" si="31"/>
        <v>3.1890353205628466</v>
      </c>
      <c r="BH11" s="159">
        <f t="shared" si="32"/>
        <v>4.9095651459334047</v>
      </c>
      <c r="BI11" s="159">
        <f t="shared" si="33"/>
        <v>2.6724230897451937</v>
      </c>
      <c r="BJ11" s="159">
        <f t="shared" si="34"/>
        <v>5.1330269590640887</v>
      </c>
      <c r="BK11" s="159">
        <f t="shared" si="35"/>
        <v>13.659366895595833</v>
      </c>
      <c r="BL11" s="159">
        <f t="shared" si="36"/>
        <v>0.68809060858617443</v>
      </c>
      <c r="BM11" s="159">
        <f t="shared" si="37"/>
        <v>1.8221066520989957</v>
      </c>
      <c r="BN11" s="159">
        <f t="shared" si="38"/>
        <v>0.68835140190406507</v>
      </c>
      <c r="BO11" s="159">
        <f t="shared" si="39"/>
        <v>4.1091160695919866</v>
      </c>
      <c r="BP11" s="159">
        <f t="shared" si="40"/>
        <v>20.128676717470906</v>
      </c>
      <c r="BQ11" s="159">
        <f t="shared" si="41"/>
        <v>1.7863890799833375</v>
      </c>
      <c r="BR11" s="159">
        <f t="shared" si="42"/>
        <v>2.8748793844228597</v>
      </c>
      <c r="BS11" s="159">
        <f t="shared" si="43"/>
        <v>2.4699667950675277</v>
      </c>
      <c r="BT11" s="159">
        <f t="shared" si="44"/>
        <v>6.1299928251290297</v>
      </c>
      <c r="BU11" s="159">
        <f t="shared" si="45"/>
        <v>17.350102967566951</v>
      </c>
      <c r="BV11" s="159">
        <f t="shared" si="46"/>
        <v>1.6011339161332134</v>
      </c>
      <c r="BW11" s="159">
        <f t="shared" si="47"/>
        <v>2.8748793844228597</v>
      </c>
      <c r="BX11" s="159">
        <f t="shared" si="48"/>
        <v>2.4699667950675277</v>
      </c>
      <c r="BY11" s="159">
        <f t="shared" si="49"/>
        <v>8.5011548849591598</v>
      </c>
      <c r="BZ11" s="159">
        <f t="shared" si="50"/>
        <v>14.02748797470435</v>
      </c>
      <c r="CA11" s="159">
        <f t="shared" si="51"/>
        <v>1.9584117321298808</v>
      </c>
      <c r="CB11" s="159">
        <f t="shared" si="52"/>
        <v>5.4698397516535957</v>
      </c>
      <c r="CC11" s="159">
        <f t="shared" si="53"/>
        <v>7.7902045338517478</v>
      </c>
      <c r="CD11" s="159">
        <f t="shared" si="54"/>
        <v>12.011043178231393</v>
      </c>
      <c r="CE11" s="159">
        <f t="shared" si="68"/>
        <v>7.7902045338517478</v>
      </c>
      <c r="CF11" s="159">
        <f t="shared" si="55"/>
        <v>7.5132331246638477</v>
      </c>
      <c r="CG11" s="159">
        <f t="shared" si="56"/>
        <v>13.160308522201403</v>
      </c>
      <c r="CH11" s="159">
        <f t="shared" si="69"/>
        <v>7.5132331246638477</v>
      </c>
      <c r="CI11" s="159">
        <f t="shared" si="70"/>
        <v>3.3681279258950712</v>
      </c>
    </row>
    <row r="12" spans="1:87" x14ac:dyDescent="0.25">
      <c r="A12" t="str">
        <f>PLANTILLA!D14</f>
        <v>S. Zobbe</v>
      </c>
      <c r="B12" t="s">
        <v>854</v>
      </c>
      <c r="C12" s="632">
        <f>PLANTILLA!E14</f>
        <v>28</v>
      </c>
      <c r="D12" s="632">
        <f ca="1">PLANTILLA!F14</f>
        <v>44</v>
      </c>
      <c r="E12" s="632" t="str">
        <f>PLANTILLA!G14</f>
        <v>CAB</v>
      </c>
      <c r="F12" s="290">
        <v>41911</v>
      </c>
      <c r="G12" s="496">
        <v>1.5</v>
      </c>
      <c r="H12" s="497">
        <f>PLANTILLA!I14</f>
        <v>9.6999999999999993</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16</v>
      </c>
      <c r="Q12" s="163">
        <f t="shared" si="57"/>
        <v>3.9799999999999995</v>
      </c>
      <c r="R12" s="163">
        <f t="shared" si="58"/>
        <v>19.833954043637867</v>
      </c>
      <c r="S12" s="163">
        <f t="shared" si="59"/>
        <v>0.85383333333333344</v>
      </c>
      <c r="T12" s="163">
        <f t="shared" si="60"/>
        <v>0.81439999999999979</v>
      </c>
      <c r="U12" s="163">
        <f t="shared" ca="1" si="0"/>
        <v>18.315695645688326</v>
      </c>
      <c r="V12" s="159">
        <f t="shared" si="1"/>
        <v>4.7654622986859083</v>
      </c>
      <c r="W12" s="159">
        <f t="shared" si="2"/>
        <v>7.1880630785836281</v>
      </c>
      <c r="X12" s="159">
        <f t="shared" si="61"/>
        <v>4.7654622986859083</v>
      </c>
      <c r="Y12" s="159">
        <f t="shared" si="3"/>
        <v>5.7666589531751749</v>
      </c>
      <c r="Z12" s="159">
        <f t="shared" si="4"/>
        <v>11.175695645688323</v>
      </c>
      <c r="AA12" s="159">
        <f t="shared" si="62"/>
        <v>2.8833294765875874</v>
      </c>
      <c r="AB12" s="159">
        <f t="shared" si="5"/>
        <v>3.586447785896044</v>
      </c>
      <c r="AC12" s="159">
        <f t="shared" si="6"/>
        <v>4.2244129540701865</v>
      </c>
      <c r="AD12" s="159">
        <f t="shared" si="7"/>
        <v>8.0800279518326583</v>
      </c>
      <c r="AE12" s="159">
        <f t="shared" si="63"/>
        <v>2.1122064770350932</v>
      </c>
      <c r="AF12" s="159">
        <f t="shared" si="8"/>
        <v>5.801606712478895</v>
      </c>
      <c r="AG12" s="357">
        <f t="shared" si="9"/>
        <v>10.281639994033258</v>
      </c>
      <c r="AH12" s="159">
        <f t="shared" si="10"/>
        <v>4.626737997314966</v>
      </c>
      <c r="AI12" s="159">
        <f t="shared" si="11"/>
        <v>2.5165410934648711</v>
      </c>
      <c r="AJ12" s="357">
        <f t="shared" si="12"/>
        <v>8.9233090396647352</v>
      </c>
      <c r="AK12" s="159">
        <f t="shared" si="13"/>
        <v>8.4264745168489963</v>
      </c>
      <c r="AL12" s="159">
        <f t="shared" si="14"/>
        <v>7.9123925171473326</v>
      </c>
      <c r="AM12" s="159">
        <f t="shared" si="15"/>
        <v>3.1422211728299505</v>
      </c>
      <c r="AN12" s="159">
        <f t="shared" si="16"/>
        <v>1.9571603459582378</v>
      </c>
      <c r="AO12" s="159">
        <f t="shared" si="17"/>
        <v>3.0174378243358477</v>
      </c>
      <c r="AP12" s="159">
        <f t="shared" si="18"/>
        <v>6.6383632135388639</v>
      </c>
      <c r="AQ12" s="159">
        <f t="shared" si="64"/>
        <v>1.5087189121679239</v>
      </c>
      <c r="AR12" s="159">
        <f t="shared" si="19"/>
        <v>14.225238276831368</v>
      </c>
      <c r="AS12" s="159">
        <f t="shared" si="20"/>
        <v>1.6972404339394824</v>
      </c>
      <c r="AT12" s="159">
        <f t="shared" si="21"/>
        <v>3.3472621575200128</v>
      </c>
      <c r="AU12" s="159">
        <f t="shared" si="65"/>
        <v>0.84862021696974121</v>
      </c>
      <c r="AV12" s="159">
        <f t="shared" si="22"/>
        <v>2.1122064770350932</v>
      </c>
      <c r="AW12" s="159">
        <f t="shared" si="23"/>
        <v>4.4702782582753295</v>
      </c>
      <c r="AX12" s="159">
        <f t="shared" si="66"/>
        <v>1.0561032385175466</v>
      </c>
      <c r="AY12" s="159">
        <f t="shared" si="24"/>
        <v>15.069108344101025</v>
      </c>
      <c r="AZ12" s="159">
        <f t="shared" si="25"/>
        <v>3.3030909983591465</v>
      </c>
      <c r="BA12" s="159">
        <f t="shared" si="26"/>
        <v>6.6133883007742673</v>
      </c>
      <c r="BB12" s="159">
        <f t="shared" si="67"/>
        <v>1.6515454991795733</v>
      </c>
      <c r="BC12" s="159">
        <f t="shared" si="27"/>
        <v>3.252127432895302</v>
      </c>
      <c r="BD12" s="159">
        <f t="shared" si="28"/>
        <v>3.8891420846995364</v>
      </c>
      <c r="BE12" s="159">
        <f t="shared" si="29"/>
        <v>13.275884451153003</v>
      </c>
      <c r="BF12" s="159">
        <f t="shared" si="30"/>
        <v>12.823393429016921</v>
      </c>
      <c r="BG12" s="159">
        <f t="shared" si="31"/>
        <v>3.1464226506108863</v>
      </c>
      <c r="BH12" s="159">
        <f t="shared" si="32"/>
        <v>5.4202123881588369</v>
      </c>
      <c r="BI12" s="159">
        <f t="shared" si="33"/>
        <v>2.9503836504617174</v>
      </c>
      <c r="BJ12" s="159">
        <f t="shared" si="34"/>
        <v>5.7413302791024909</v>
      </c>
      <c r="BK12" s="159">
        <f t="shared" si="35"/>
        <v>12.837437994331598</v>
      </c>
      <c r="BL12" s="159">
        <f t="shared" si="36"/>
        <v>0.67889617357579291</v>
      </c>
      <c r="BM12" s="159">
        <f t="shared" si="37"/>
        <v>2.0116252162238983</v>
      </c>
      <c r="BN12" s="159">
        <f t="shared" si="38"/>
        <v>0.75994730390680609</v>
      </c>
      <c r="BO12" s="159">
        <f t="shared" si="39"/>
        <v>4.5960780449508123</v>
      </c>
      <c r="BP12" s="159">
        <f t="shared" si="40"/>
        <v>18.909624600355187</v>
      </c>
      <c r="BQ12" s="159">
        <f t="shared" si="41"/>
        <v>1.7625189121679241</v>
      </c>
      <c r="BR12" s="159">
        <f t="shared" si="42"/>
        <v>3.1738975633754833</v>
      </c>
      <c r="BS12" s="159">
        <f t="shared" si="43"/>
        <v>2.7268697375479509</v>
      </c>
      <c r="BT12" s="159">
        <f t="shared" si="44"/>
        <v>6.8564442965659662</v>
      </c>
      <c r="BU12" s="159">
        <f t="shared" si="45"/>
        <v>16.297390775422663</v>
      </c>
      <c r="BV12" s="159">
        <f t="shared" si="46"/>
        <v>1.5797391731282875</v>
      </c>
      <c r="BW12" s="159">
        <f t="shared" si="47"/>
        <v>3.1738975633754833</v>
      </c>
      <c r="BX12" s="159">
        <f t="shared" si="48"/>
        <v>2.7268697375479509</v>
      </c>
      <c r="BY12" s="159">
        <f t="shared" si="49"/>
        <v>9.5086073651277463</v>
      </c>
      <c r="BZ12" s="159">
        <f t="shared" si="50"/>
        <v>13.17308760289105</v>
      </c>
      <c r="CA12" s="159">
        <f t="shared" si="51"/>
        <v>1.9322429555618721</v>
      </c>
      <c r="CB12" s="159">
        <f t="shared" si="52"/>
        <v>6.1180579877050167</v>
      </c>
      <c r="CC12" s="159">
        <f t="shared" si="53"/>
        <v>6.7563540980702843</v>
      </c>
      <c r="CD12" s="159">
        <f t="shared" si="54"/>
        <v>13.08968996371172</v>
      </c>
      <c r="CE12" s="159">
        <f t="shared" si="68"/>
        <v>6.7563540980702843</v>
      </c>
      <c r="CF12" s="159">
        <f t="shared" si="55"/>
        <v>7.75375172059716</v>
      </c>
      <c r="CG12" s="159">
        <f t="shared" si="56"/>
        <v>15.109914005613984</v>
      </c>
      <c r="CH12" s="159">
        <f t="shared" si="69"/>
        <v>7.75375172059716</v>
      </c>
      <c r="CI12" s="159">
        <f t="shared" si="70"/>
        <v>3.7672770860252562</v>
      </c>
    </row>
    <row r="13" spans="1:87" x14ac:dyDescent="0.25">
      <c r="A13" t="str">
        <f>PLANTILLA!D15</f>
        <v>S. Buschelman</v>
      </c>
      <c r="B13" t="s">
        <v>854</v>
      </c>
      <c r="C13" s="632">
        <f>PLANTILLA!E15</f>
        <v>30</v>
      </c>
      <c r="D13" s="632">
        <f ca="1">PLANTILLA!F15</f>
        <v>41</v>
      </c>
      <c r="E13" s="632" t="str">
        <f>PLANTILLA!G15</f>
        <v>TEC</v>
      </c>
      <c r="F13" s="290">
        <v>41747</v>
      </c>
      <c r="G13" s="496">
        <v>1.5</v>
      </c>
      <c r="H13" s="497">
        <f>PLANTILLA!I15</f>
        <v>11.4</v>
      </c>
      <c r="I13" s="341"/>
      <c r="J13" s="163">
        <f>PLANTILLA!X15</f>
        <v>0</v>
      </c>
      <c r="K13" s="163">
        <f>PLANTILLA!Y15</f>
        <v>9.3036666666666648</v>
      </c>
      <c r="L13" s="163">
        <f>PLANTILLA!Z15</f>
        <v>14</v>
      </c>
      <c r="M13" s="163">
        <f>PLANTILLA!AA15</f>
        <v>12.945</v>
      </c>
      <c r="N13" s="163">
        <f>PLANTILLA!AB15</f>
        <v>9.6733333333333356</v>
      </c>
      <c r="O13" s="163">
        <f>PLANTILLA!AC15</f>
        <v>4.99</v>
      </c>
      <c r="P13" s="163">
        <f>PLANTILLA!AD15</f>
        <v>15.588888888888887</v>
      </c>
      <c r="Q13" s="163">
        <f t="shared" si="57"/>
        <v>3.956291666666667</v>
      </c>
      <c r="R13" s="163">
        <f t="shared" si="58"/>
        <v>15.686635184160361</v>
      </c>
      <c r="S13" s="163">
        <f t="shared" si="59"/>
        <v>0.71716666666666662</v>
      </c>
      <c r="T13" s="163">
        <f t="shared" si="60"/>
        <v>0.83981333333333319</v>
      </c>
      <c r="U13" s="163">
        <f t="shared" ca="1" si="0"/>
        <v>17.998095357337519</v>
      </c>
      <c r="V13" s="159">
        <f t="shared" si="1"/>
        <v>5.1075492469556538</v>
      </c>
      <c r="W13" s="159">
        <f t="shared" si="2"/>
        <v>7.7098438841005148</v>
      </c>
      <c r="X13" s="159">
        <f t="shared" si="61"/>
        <v>5.1075492469556538</v>
      </c>
      <c r="Y13" s="159">
        <f t="shared" si="3"/>
        <v>6.3018425377194927</v>
      </c>
      <c r="Z13" s="159">
        <f t="shared" si="4"/>
        <v>12.212873135115295</v>
      </c>
      <c r="AA13" s="159">
        <f t="shared" si="62"/>
        <v>3.1509212688597463</v>
      </c>
      <c r="AB13" s="159">
        <f t="shared" si="5"/>
        <v>4.0243911394907741</v>
      </c>
      <c r="AC13" s="159">
        <f t="shared" si="6"/>
        <v>4.6164660450735813</v>
      </c>
      <c r="AD13" s="159">
        <f t="shared" si="7"/>
        <v>8.829907276688358</v>
      </c>
      <c r="AE13" s="159">
        <f t="shared" si="63"/>
        <v>2.3082330225367906</v>
      </c>
      <c r="AF13" s="159">
        <f t="shared" si="8"/>
        <v>6.5100444903527226</v>
      </c>
      <c r="AG13" s="357">
        <f t="shared" si="9"/>
        <v>11.235843284306071</v>
      </c>
      <c r="AH13" s="159">
        <f t="shared" si="10"/>
        <v>5.0561294779377315</v>
      </c>
      <c r="AI13" s="159">
        <f t="shared" si="11"/>
        <v>2.8238374802309214</v>
      </c>
      <c r="AJ13" s="357">
        <f t="shared" si="12"/>
        <v>9.3222734034477934</v>
      </c>
      <c r="AK13" s="159">
        <f t="shared" si="13"/>
        <v>9.2085063438769321</v>
      </c>
      <c r="AL13" s="159">
        <f t="shared" si="14"/>
        <v>8.6467141796616289</v>
      </c>
      <c r="AM13" s="159">
        <f t="shared" si="15"/>
        <v>3.089181924675366</v>
      </c>
      <c r="AN13" s="159">
        <f t="shared" si="16"/>
        <v>1.9772634629132055</v>
      </c>
      <c r="AO13" s="159">
        <f t="shared" si="17"/>
        <v>3.2974757464811297</v>
      </c>
      <c r="AP13" s="159">
        <f t="shared" si="18"/>
        <v>7.2544466422584852</v>
      </c>
      <c r="AQ13" s="159">
        <f t="shared" si="64"/>
        <v>1.6487378732405649</v>
      </c>
      <c r="AR13" s="159">
        <f t="shared" si="19"/>
        <v>15.962290906215506</v>
      </c>
      <c r="AS13" s="159">
        <f t="shared" si="20"/>
        <v>1.6357301742316557</v>
      </c>
      <c r="AT13" s="159">
        <f t="shared" si="21"/>
        <v>2.876467495255449</v>
      </c>
      <c r="AU13" s="159">
        <f t="shared" si="65"/>
        <v>0.81786508711582784</v>
      </c>
      <c r="AV13" s="159">
        <f t="shared" si="22"/>
        <v>2.3082330225367906</v>
      </c>
      <c r="AW13" s="159">
        <f t="shared" si="23"/>
        <v>4.8851492540461185</v>
      </c>
      <c r="AX13" s="159">
        <f t="shared" si="66"/>
        <v>1.1541165112683953</v>
      </c>
      <c r="AY13" s="159">
        <f t="shared" si="24"/>
        <v>16.90920646844863</v>
      </c>
      <c r="AZ13" s="159">
        <f t="shared" si="25"/>
        <v>3.1833825698508376</v>
      </c>
      <c r="BA13" s="159">
        <f t="shared" si="26"/>
        <v>5.9494794307818628</v>
      </c>
      <c r="BB13" s="159">
        <f t="shared" si="67"/>
        <v>1.5916912849254188</v>
      </c>
      <c r="BC13" s="159">
        <f t="shared" si="27"/>
        <v>3.5539460823185505</v>
      </c>
      <c r="BD13" s="159">
        <f t="shared" si="28"/>
        <v>4.2500798510201223</v>
      </c>
      <c r="BE13" s="159">
        <f t="shared" si="29"/>
        <v>14.897010898703243</v>
      </c>
      <c r="BF13" s="159">
        <f t="shared" si="30"/>
        <v>13.063814550450832</v>
      </c>
      <c r="BG13" s="159">
        <f t="shared" si="31"/>
        <v>3.0323920922294536</v>
      </c>
      <c r="BH13" s="159">
        <f t="shared" si="32"/>
        <v>5.9232434705309176</v>
      </c>
      <c r="BI13" s="159">
        <f t="shared" si="33"/>
        <v>3.224198507670438</v>
      </c>
      <c r="BJ13" s="159">
        <f t="shared" si="34"/>
        <v>6.4424076644789281</v>
      </c>
      <c r="BK13" s="159">
        <f t="shared" si="35"/>
        <v>13.198971453424104</v>
      </c>
      <c r="BL13" s="159">
        <f t="shared" si="36"/>
        <v>0.65429206969266218</v>
      </c>
      <c r="BM13" s="159">
        <f t="shared" si="37"/>
        <v>2.1983171643207529</v>
      </c>
      <c r="BN13" s="159">
        <f t="shared" si="38"/>
        <v>0.83047537318784015</v>
      </c>
      <c r="BO13" s="159">
        <f t="shared" si="39"/>
        <v>5.1573079728768318</v>
      </c>
      <c r="BP13" s="159">
        <f t="shared" si="40"/>
        <v>19.452812851758274</v>
      </c>
      <c r="BQ13" s="159">
        <f t="shared" si="41"/>
        <v>1.6986428732405654</v>
      </c>
      <c r="BR13" s="159">
        <f t="shared" si="42"/>
        <v>3.4684559703727436</v>
      </c>
      <c r="BS13" s="159">
        <f t="shared" si="43"/>
        <v>2.9799410449681321</v>
      </c>
      <c r="BT13" s="159">
        <f t="shared" si="44"/>
        <v>7.6936889431441271</v>
      </c>
      <c r="BU13" s="159">
        <f t="shared" si="45"/>
        <v>16.768174100374416</v>
      </c>
      <c r="BV13" s="159">
        <f t="shared" si="46"/>
        <v>1.5224873160156178</v>
      </c>
      <c r="BW13" s="159">
        <f t="shared" si="47"/>
        <v>3.4684559703727436</v>
      </c>
      <c r="BX13" s="159">
        <f t="shared" si="48"/>
        <v>2.9799410449681321</v>
      </c>
      <c r="BY13" s="159">
        <f t="shared" si="49"/>
        <v>10.669709281591086</v>
      </c>
      <c r="BZ13" s="159">
        <f t="shared" si="50"/>
        <v>13.558083122594859</v>
      </c>
      <c r="CA13" s="159">
        <f t="shared" si="51"/>
        <v>1.8622158906637309</v>
      </c>
      <c r="CB13" s="159">
        <f t="shared" si="52"/>
        <v>6.8651378261901446</v>
      </c>
      <c r="CC13" s="159">
        <f t="shared" si="53"/>
        <v>7.4580730875376284</v>
      </c>
      <c r="CD13" s="159">
        <f t="shared" si="54"/>
        <v>11.437556483473159</v>
      </c>
      <c r="CE13" s="159">
        <f t="shared" si="68"/>
        <v>7.4580730875376284</v>
      </c>
      <c r="CF13" s="159">
        <f t="shared" si="55"/>
        <v>7.2142939631768304</v>
      </c>
      <c r="CG13" s="159">
        <f t="shared" si="56"/>
        <v>12.542163655306176</v>
      </c>
      <c r="CH13" s="159">
        <f t="shared" si="69"/>
        <v>7.2142939631768304</v>
      </c>
      <c r="CI13" s="159">
        <f t="shared" si="70"/>
        <v>4.2273016171121576</v>
      </c>
    </row>
    <row r="14" spans="1:87" x14ac:dyDescent="0.25">
      <c r="A14" t="str">
        <f>PLANTILLA!D16</f>
        <v>C. Rojas</v>
      </c>
      <c r="B14" t="s">
        <v>854</v>
      </c>
      <c r="C14" s="632">
        <f>PLANTILLA!E16</f>
        <v>32</v>
      </c>
      <c r="D14" s="632">
        <f ca="1">PLANTILLA!F16</f>
        <v>75</v>
      </c>
      <c r="E14" s="632" t="str">
        <f>PLANTILLA!G16</f>
        <v>TEC</v>
      </c>
      <c r="F14" s="290">
        <v>41653</v>
      </c>
      <c r="G14" s="496">
        <v>1.5</v>
      </c>
      <c r="H14" s="497">
        <f>PLANTILLA!I16</f>
        <v>11.8</v>
      </c>
      <c r="I14" s="341"/>
      <c r="J14" s="163">
        <f>PLANTILLA!X16</f>
        <v>0</v>
      </c>
      <c r="K14" s="163">
        <f>PLANTILLA!Y16</f>
        <v>8.6275555555555581</v>
      </c>
      <c r="L14" s="163">
        <f>PLANTILLA!Z16</f>
        <v>14.333255555555548</v>
      </c>
      <c r="M14" s="163">
        <f>PLANTILLA!AA16</f>
        <v>9.99</v>
      </c>
      <c r="N14" s="163">
        <f>PLANTILLA!AB16</f>
        <v>9.99</v>
      </c>
      <c r="O14" s="163">
        <f>PLANTILLA!AC16</f>
        <v>3.99</v>
      </c>
      <c r="P14" s="163">
        <f>PLANTILLA!AD16</f>
        <v>17.144444444444439</v>
      </c>
      <c r="Q14" s="163">
        <f t="shared" si="57"/>
        <v>3.9509444444444446</v>
      </c>
      <c r="R14" s="163">
        <f t="shared" si="58"/>
        <v>14.926323425973161</v>
      </c>
      <c r="S14" s="163">
        <f t="shared" si="59"/>
        <v>0.71383333333333321</v>
      </c>
      <c r="T14" s="163">
        <f t="shared" si="60"/>
        <v>0.85943555555555551</v>
      </c>
      <c r="U14" s="163">
        <f t="shared" ca="1" si="0"/>
        <v>19.573620454185939</v>
      </c>
      <c r="V14" s="159">
        <f t="shared" si="1"/>
        <v>4.938375989837664</v>
      </c>
      <c r="W14" s="159">
        <f t="shared" si="2"/>
        <v>7.4482773396873894</v>
      </c>
      <c r="X14" s="159">
        <f t="shared" si="61"/>
        <v>4.938375989837664</v>
      </c>
      <c r="Y14" s="159">
        <f t="shared" si="3"/>
        <v>5.9632734876932822</v>
      </c>
      <c r="Z14" s="159">
        <f t="shared" si="4"/>
        <v>11.556731565297058</v>
      </c>
      <c r="AA14" s="159">
        <f t="shared" si="62"/>
        <v>2.9816367438466411</v>
      </c>
      <c r="AB14" s="159">
        <f t="shared" si="5"/>
        <v>4.1084587125406973</v>
      </c>
      <c r="AC14" s="159">
        <f t="shared" si="6"/>
        <v>4.3684445316822877</v>
      </c>
      <c r="AD14" s="159">
        <f t="shared" si="7"/>
        <v>8.3555169217097731</v>
      </c>
      <c r="AE14" s="159">
        <f t="shared" si="63"/>
        <v>2.1842222658411439</v>
      </c>
      <c r="AF14" s="159">
        <f t="shared" si="8"/>
        <v>6.6460361526393639</v>
      </c>
      <c r="AG14" s="357">
        <f t="shared" si="9"/>
        <v>10.632193040073293</v>
      </c>
      <c r="AH14" s="159">
        <f t="shared" si="10"/>
        <v>4.7844868680329817</v>
      </c>
      <c r="AI14" s="159">
        <f t="shared" si="11"/>
        <v>2.8828260714046072</v>
      </c>
      <c r="AJ14" s="357">
        <f t="shared" si="12"/>
        <v>7.5964754937280015</v>
      </c>
      <c r="AK14" s="159">
        <f t="shared" si="13"/>
        <v>8.7137756002339817</v>
      </c>
      <c r="AL14" s="159">
        <f t="shared" si="14"/>
        <v>8.1821659482303168</v>
      </c>
      <c r="AM14" s="159">
        <f t="shared" si="15"/>
        <v>3.3522946158490519</v>
      </c>
      <c r="AN14" s="159">
        <f t="shared" si="16"/>
        <v>1.9814746908055523</v>
      </c>
      <c r="AO14" s="159">
        <f t="shared" si="17"/>
        <v>3.1203175226302058</v>
      </c>
      <c r="AP14" s="159">
        <f t="shared" si="18"/>
        <v>6.8646985497864526</v>
      </c>
      <c r="AQ14" s="159">
        <f t="shared" si="64"/>
        <v>1.5601587613151029</v>
      </c>
      <c r="AR14" s="159">
        <f t="shared" si="19"/>
        <v>16.295735397640414</v>
      </c>
      <c r="AS14" s="159">
        <f t="shared" si="20"/>
        <v>1.6794928812663952</v>
      </c>
      <c r="AT14" s="159">
        <f t="shared" si="21"/>
        <v>2.7473185708542598</v>
      </c>
      <c r="AU14" s="159">
        <f t="shared" si="65"/>
        <v>0.83974644063319759</v>
      </c>
      <c r="AV14" s="159">
        <f t="shared" si="22"/>
        <v>2.1842222658411439</v>
      </c>
      <c r="AW14" s="159">
        <f t="shared" si="23"/>
        <v>4.6226926261188233</v>
      </c>
      <c r="AX14" s="159">
        <f t="shared" si="66"/>
        <v>1.0921111329205719</v>
      </c>
      <c r="AY14" s="159">
        <f t="shared" si="24"/>
        <v>17.262431565297049</v>
      </c>
      <c r="AZ14" s="159">
        <f t="shared" si="25"/>
        <v>3.2685515304645998</v>
      </c>
      <c r="BA14" s="159">
        <f t="shared" si="26"/>
        <v>5.8584659813675675</v>
      </c>
      <c r="BB14" s="159">
        <f t="shared" si="67"/>
        <v>1.6342757652322999</v>
      </c>
      <c r="BC14" s="159">
        <f t="shared" si="27"/>
        <v>3.3630088855014435</v>
      </c>
      <c r="BD14" s="159">
        <f t="shared" si="28"/>
        <v>4.0217425847233761</v>
      </c>
      <c r="BE14" s="159">
        <f t="shared" si="29"/>
        <v>15.2082022090267</v>
      </c>
      <c r="BF14" s="159">
        <f t="shared" si="30"/>
        <v>11.485147472660193</v>
      </c>
      <c r="BG14" s="159">
        <f t="shared" si="31"/>
        <v>3.1135214183477014</v>
      </c>
      <c r="BH14" s="159">
        <f t="shared" si="32"/>
        <v>5.6050148091690728</v>
      </c>
      <c r="BI14" s="159">
        <f t="shared" si="33"/>
        <v>3.0509771332384235</v>
      </c>
      <c r="BJ14" s="159">
        <f t="shared" si="34"/>
        <v>6.5769864263781761</v>
      </c>
      <c r="BK14" s="159">
        <f t="shared" si="35"/>
        <v>11.291359832514072</v>
      </c>
      <c r="BL14" s="159">
        <f t="shared" si="36"/>
        <v>0.67179715250655803</v>
      </c>
      <c r="BM14" s="159">
        <f t="shared" si="37"/>
        <v>2.0802116817534704</v>
      </c>
      <c r="BN14" s="159">
        <f t="shared" si="38"/>
        <v>0.78585774644020001</v>
      </c>
      <c r="BO14" s="159">
        <f t="shared" si="39"/>
        <v>5.2650416274155996</v>
      </c>
      <c r="BP14" s="159">
        <f t="shared" si="40"/>
        <v>16.61406034852757</v>
      </c>
      <c r="BQ14" s="159">
        <f t="shared" si="41"/>
        <v>1.7440887613151026</v>
      </c>
      <c r="BR14" s="159">
        <f t="shared" si="42"/>
        <v>3.2821117645443643</v>
      </c>
      <c r="BS14" s="159">
        <f t="shared" si="43"/>
        <v>2.8198425019324822</v>
      </c>
      <c r="BT14" s="159">
        <f t="shared" si="44"/>
        <v>7.8544063622101579</v>
      </c>
      <c r="BU14" s="159">
        <f t="shared" si="45"/>
        <v>14.314447018793583</v>
      </c>
      <c r="BV14" s="159">
        <f t="shared" si="46"/>
        <v>1.5632202971787215</v>
      </c>
      <c r="BW14" s="159">
        <f t="shared" si="47"/>
        <v>3.2821117645443643</v>
      </c>
      <c r="BX14" s="159">
        <f t="shared" si="48"/>
        <v>2.8198425019324822</v>
      </c>
      <c r="BY14" s="159">
        <f t="shared" si="49"/>
        <v>10.892594317702438</v>
      </c>
      <c r="BZ14" s="159">
        <f t="shared" si="50"/>
        <v>11.562662528718642</v>
      </c>
      <c r="CA14" s="159">
        <f t="shared" si="51"/>
        <v>1.9120380494417419</v>
      </c>
      <c r="CB14" s="159">
        <f t="shared" si="52"/>
        <v>7.0085472155106023</v>
      </c>
      <c r="CC14" s="159">
        <f t="shared" si="53"/>
        <v>7.0024247818546419</v>
      </c>
      <c r="CD14" s="159">
        <f t="shared" si="54"/>
        <v>11.048992186968931</v>
      </c>
      <c r="CE14" s="159">
        <f t="shared" si="68"/>
        <v>7.0024247818546419</v>
      </c>
      <c r="CF14" s="159">
        <f t="shared" si="55"/>
        <v>6.3586466540689548</v>
      </c>
      <c r="CG14" s="159">
        <f t="shared" si="56"/>
        <v>11.686351957336115</v>
      </c>
      <c r="CH14" s="159">
        <f t="shared" si="69"/>
        <v>6.3586466540689548</v>
      </c>
      <c r="CI14" s="159">
        <f t="shared" si="70"/>
        <v>4.3156078913242624</v>
      </c>
    </row>
    <row r="15" spans="1:87" x14ac:dyDescent="0.25">
      <c r="A15" t="str">
        <f>PLANTILLA!D17</f>
        <v>E. Gross</v>
      </c>
      <c r="B15" t="s">
        <v>854</v>
      </c>
      <c r="C15" s="632">
        <f>PLANTILLA!E17</f>
        <v>31</v>
      </c>
      <c r="D15" s="632">
        <f ca="1">PLANTILLA!F17</f>
        <v>69</v>
      </c>
      <c r="E15" s="632"/>
      <c r="F15" s="290">
        <v>41552</v>
      </c>
      <c r="G15" s="496">
        <v>1.5</v>
      </c>
      <c r="H15" s="497">
        <f>PLANTILLA!I17</f>
        <v>10</v>
      </c>
      <c r="I15" s="341"/>
      <c r="J15" s="163">
        <f>PLANTILLA!X17</f>
        <v>0</v>
      </c>
      <c r="K15" s="163">
        <f>PLANTILLA!Y17</f>
        <v>10.549999999999995</v>
      </c>
      <c r="L15" s="163">
        <f>PLANTILLA!Z17</f>
        <v>13</v>
      </c>
      <c r="M15" s="163">
        <f>PLANTILLA!AA17</f>
        <v>5.1399999999999979</v>
      </c>
      <c r="N15" s="163">
        <f>PLANTILLA!AB17</f>
        <v>9.24</v>
      </c>
      <c r="O15" s="163">
        <f>PLANTILLA!AC17</f>
        <v>2.98</v>
      </c>
      <c r="P15" s="163">
        <f>PLANTILLA!AD17</f>
        <v>17.459999999999997</v>
      </c>
      <c r="Q15" s="163">
        <f t="shared" si="57"/>
        <v>4.0037499999999993</v>
      </c>
      <c r="R15" s="163">
        <f t="shared" si="58"/>
        <v>13.211466666666665</v>
      </c>
      <c r="S15" s="163">
        <f t="shared" si="59"/>
        <v>0.67279999999999984</v>
      </c>
      <c r="T15" s="163">
        <f t="shared" si="60"/>
        <v>0.94579999999999964</v>
      </c>
      <c r="U15" s="163">
        <f t="shared" ca="1" si="0"/>
        <v>19.793333333333329</v>
      </c>
      <c r="V15" s="159">
        <f t="shared" si="1"/>
        <v>5.3852999999999991</v>
      </c>
      <c r="W15" s="159">
        <f t="shared" si="2"/>
        <v>8.1415833333333314</v>
      </c>
      <c r="X15" s="159">
        <f t="shared" si="61"/>
        <v>5.3852999999999991</v>
      </c>
      <c r="Y15" s="159">
        <f t="shared" si="3"/>
        <v>6.9057999999999984</v>
      </c>
      <c r="Z15" s="159">
        <f t="shared" si="4"/>
        <v>13.383333333333329</v>
      </c>
      <c r="AA15" s="159">
        <f t="shared" si="62"/>
        <v>3.4528999999999992</v>
      </c>
      <c r="AB15" s="159">
        <f t="shared" si="5"/>
        <v>3.7683333333333331</v>
      </c>
      <c r="AC15" s="159">
        <f t="shared" si="6"/>
        <v>5.0588999999999986</v>
      </c>
      <c r="AD15" s="159">
        <f t="shared" si="7"/>
        <v>9.6761499999999963</v>
      </c>
      <c r="AE15" s="159">
        <f t="shared" si="63"/>
        <v>2.5294499999999993</v>
      </c>
      <c r="AF15" s="159">
        <f t="shared" si="8"/>
        <v>6.0958333333333341</v>
      </c>
      <c r="AG15" s="357">
        <f t="shared" si="9"/>
        <v>12.312666666666663</v>
      </c>
      <c r="AH15" s="159">
        <f t="shared" si="10"/>
        <v>5.5406999999999984</v>
      </c>
      <c r="AI15" s="159">
        <f t="shared" si="11"/>
        <v>2.644166666666667</v>
      </c>
      <c r="AJ15" s="357">
        <f t="shared" si="12"/>
        <v>4.6883199999999983</v>
      </c>
      <c r="AK15" s="159">
        <f t="shared" si="13"/>
        <v>10.09103333333333</v>
      </c>
      <c r="AL15" s="159">
        <f t="shared" si="14"/>
        <v>9.4753999999999969</v>
      </c>
      <c r="AM15" s="159">
        <f t="shared" si="15"/>
        <v>3.3889866666666664</v>
      </c>
      <c r="AN15" s="159">
        <f t="shared" si="16"/>
        <v>1.9690799999999995</v>
      </c>
      <c r="AO15" s="159">
        <f t="shared" si="17"/>
        <v>3.6134999999999993</v>
      </c>
      <c r="AP15" s="159">
        <f t="shared" si="18"/>
        <v>7.9496999999999973</v>
      </c>
      <c r="AQ15" s="159">
        <f t="shared" si="64"/>
        <v>1.8067499999999996</v>
      </c>
      <c r="AR15" s="159">
        <f t="shared" si="19"/>
        <v>14.946666666666667</v>
      </c>
      <c r="AS15" s="159">
        <f t="shared" si="20"/>
        <v>1.5695333333333334</v>
      </c>
      <c r="AT15" s="159">
        <f t="shared" si="21"/>
        <v>2.4545066666666666</v>
      </c>
      <c r="AU15" s="159">
        <f t="shared" si="65"/>
        <v>0.78476666666666672</v>
      </c>
      <c r="AV15" s="159">
        <f t="shared" si="22"/>
        <v>2.5294499999999993</v>
      </c>
      <c r="AW15" s="159">
        <f t="shared" si="23"/>
        <v>5.3533333333333317</v>
      </c>
      <c r="AX15" s="159">
        <f t="shared" si="66"/>
        <v>1.2647249999999997</v>
      </c>
      <c r="AY15" s="159">
        <f t="shared" si="24"/>
        <v>15.833333333333334</v>
      </c>
      <c r="AZ15" s="159">
        <f t="shared" si="25"/>
        <v>3.0545533333333337</v>
      </c>
      <c r="BA15" s="159">
        <f t="shared" si="26"/>
        <v>5.3378066666666673</v>
      </c>
      <c r="BB15" s="159">
        <f t="shared" si="67"/>
        <v>1.5272766666666668</v>
      </c>
      <c r="BC15" s="159">
        <f t="shared" si="27"/>
        <v>3.8945499999999984</v>
      </c>
      <c r="BD15" s="159">
        <f t="shared" si="28"/>
        <v>4.6573999999999982</v>
      </c>
      <c r="BE15" s="159">
        <f t="shared" si="29"/>
        <v>13.949166666666667</v>
      </c>
      <c r="BF15" s="159">
        <f t="shared" si="30"/>
        <v>8.3797933333333319</v>
      </c>
      <c r="BG15" s="159">
        <f t="shared" si="31"/>
        <v>2.9096733333333336</v>
      </c>
      <c r="BH15" s="159">
        <f t="shared" si="32"/>
        <v>6.4909166666666644</v>
      </c>
      <c r="BI15" s="159">
        <f t="shared" si="33"/>
        <v>3.533199999999999</v>
      </c>
      <c r="BJ15" s="159">
        <f t="shared" si="34"/>
        <v>6.0325000000000006</v>
      </c>
      <c r="BK15" s="159">
        <f t="shared" si="35"/>
        <v>7.7927933333333321</v>
      </c>
      <c r="BL15" s="159">
        <f t="shared" si="36"/>
        <v>0.62781333333333333</v>
      </c>
      <c r="BM15" s="159">
        <f t="shared" si="37"/>
        <v>2.4089999999999994</v>
      </c>
      <c r="BN15" s="159">
        <f t="shared" si="38"/>
        <v>0.91006666666666647</v>
      </c>
      <c r="BO15" s="159">
        <f t="shared" si="39"/>
        <v>4.8291666666666666</v>
      </c>
      <c r="BP15" s="159">
        <f t="shared" si="40"/>
        <v>11.426306666666665</v>
      </c>
      <c r="BQ15" s="159">
        <f t="shared" si="41"/>
        <v>1.6299000000000001</v>
      </c>
      <c r="BR15" s="159">
        <f t="shared" si="42"/>
        <v>3.8008666666666651</v>
      </c>
      <c r="BS15" s="159">
        <f t="shared" si="43"/>
        <v>3.2655333333333321</v>
      </c>
      <c r="BT15" s="159">
        <f t="shared" si="44"/>
        <v>7.2041666666666675</v>
      </c>
      <c r="BU15" s="159">
        <f t="shared" si="45"/>
        <v>9.8348533333333314</v>
      </c>
      <c r="BV15" s="159">
        <f t="shared" si="46"/>
        <v>1.4608733333333335</v>
      </c>
      <c r="BW15" s="159">
        <f t="shared" si="47"/>
        <v>3.8008666666666651</v>
      </c>
      <c r="BX15" s="159">
        <f t="shared" si="48"/>
        <v>3.2655333333333321</v>
      </c>
      <c r="BY15" s="159">
        <f t="shared" si="49"/>
        <v>9.9908333333333346</v>
      </c>
      <c r="BZ15" s="159">
        <f t="shared" si="50"/>
        <v>7.9274333333333313</v>
      </c>
      <c r="CA15" s="159">
        <f t="shared" si="51"/>
        <v>1.7868533333333334</v>
      </c>
      <c r="CB15" s="159">
        <f t="shared" si="52"/>
        <v>6.4283333333333337</v>
      </c>
      <c r="CC15" s="159">
        <f t="shared" si="53"/>
        <v>4.9047866666666664</v>
      </c>
      <c r="CD15" s="159">
        <f t="shared" si="54"/>
        <v>9.9449933333333345</v>
      </c>
      <c r="CE15" s="159">
        <f t="shared" si="68"/>
        <v>4.9047866666666664</v>
      </c>
      <c r="CF15" s="159">
        <f t="shared" si="55"/>
        <v>4.8579866666666662</v>
      </c>
      <c r="CG15" s="159">
        <f t="shared" si="56"/>
        <v>10.268393333333334</v>
      </c>
      <c r="CH15" s="159">
        <f t="shared" si="69"/>
        <v>4.8579866666666662</v>
      </c>
      <c r="CI15" s="159">
        <f t="shared" si="70"/>
        <v>3.9583333333333335</v>
      </c>
    </row>
    <row r="16" spans="1:87" x14ac:dyDescent="0.25">
      <c r="A16" t="str">
        <f>PLANTILLA!D18</f>
        <v>L. Bauman</v>
      </c>
      <c r="B16" t="s">
        <v>854</v>
      </c>
      <c r="C16" s="632">
        <f>PLANTILLA!E18</f>
        <v>31</v>
      </c>
      <c r="D16" s="632">
        <f ca="1">PLANTILLA!F18</f>
        <v>44</v>
      </c>
      <c r="E16" s="632"/>
      <c r="F16" s="290">
        <v>41686</v>
      </c>
      <c r="G16" s="496">
        <v>1.5</v>
      </c>
      <c r="H16" s="497">
        <f>PLANTILLA!I18</f>
        <v>8.9</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16.669999999999998</v>
      </c>
      <c r="Q16" s="163">
        <f t="shared" si="57"/>
        <v>3.3430555555555568</v>
      </c>
      <c r="R16" s="163">
        <f t="shared" si="58"/>
        <v>20.017971441802565</v>
      </c>
      <c r="S16" s="163">
        <f t="shared" si="59"/>
        <v>0.87169444444444433</v>
      </c>
      <c r="T16" s="163">
        <f t="shared" si="60"/>
        <v>0.71867777777777775</v>
      </c>
      <c r="U16" s="163">
        <f t="shared" ca="1" si="0"/>
        <v>18.935853342193216</v>
      </c>
      <c r="V16" s="159">
        <f t="shared" si="1"/>
        <v>3.9227766344013451</v>
      </c>
      <c r="W16" s="159">
        <f t="shared" si="2"/>
        <v>5.8931055536603321</v>
      </c>
      <c r="X16" s="159">
        <f t="shared" si="61"/>
        <v>3.9227766344013451</v>
      </c>
      <c r="Y16" s="159">
        <f t="shared" si="3"/>
        <v>4.2468336579050332</v>
      </c>
      <c r="Z16" s="159">
        <f t="shared" si="4"/>
        <v>8.2302977866376619</v>
      </c>
      <c r="AA16" s="159">
        <f t="shared" si="62"/>
        <v>2.1234168289525166</v>
      </c>
      <c r="AB16" s="159">
        <f t="shared" si="5"/>
        <v>4.0918151028493899</v>
      </c>
      <c r="AC16" s="159">
        <f t="shared" si="6"/>
        <v>3.1110525633490362</v>
      </c>
      <c r="AD16" s="159">
        <f t="shared" si="7"/>
        <v>5.9505052997390298</v>
      </c>
      <c r="AE16" s="159">
        <f t="shared" si="63"/>
        <v>1.5555262816745181</v>
      </c>
      <c r="AF16" s="159">
        <f t="shared" si="8"/>
        <v>6.6191126663740141</v>
      </c>
      <c r="AG16" s="357">
        <f t="shared" si="9"/>
        <v>7.5718739637066497</v>
      </c>
      <c r="AH16" s="159">
        <f t="shared" si="10"/>
        <v>3.4073432836679918</v>
      </c>
      <c r="AI16" s="159">
        <f t="shared" si="11"/>
        <v>2.8711475721674296</v>
      </c>
      <c r="AJ16" s="357">
        <f t="shared" si="12"/>
        <v>3.6916717652096107</v>
      </c>
      <c r="AK16" s="159">
        <f t="shared" si="13"/>
        <v>6.205644531124797</v>
      </c>
      <c r="AL16" s="159">
        <f t="shared" si="14"/>
        <v>5.8270508329394639</v>
      </c>
      <c r="AM16" s="159">
        <f t="shared" si="15"/>
        <v>3.2457875081462673</v>
      </c>
      <c r="AN16" s="159">
        <f t="shared" si="16"/>
        <v>1.7593657625516466</v>
      </c>
      <c r="AO16" s="159">
        <f t="shared" si="17"/>
        <v>2.2221804023921687</v>
      </c>
      <c r="AP16" s="159">
        <f t="shared" si="18"/>
        <v>4.8887968852627708</v>
      </c>
      <c r="AQ16" s="159">
        <f t="shared" si="64"/>
        <v>1.1110902011960844</v>
      </c>
      <c r="AR16" s="159">
        <f t="shared" si="19"/>
        <v>16.229720407940437</v>
      </c>
      <c r="AS16" s="159">
        <f t="shared" si="20"/>
        <v>1.5477609344851189</v>
      </c>
      <c r="AT16" s="159">
        <f t="shared" si="21"/>
        <v>3.1929118070403906</v>
      </c>
      <c r="AU16" s="159">
        <f t="shared" si="65"/>
        <v>0.77388046724255943</v>
      </c>
      <c r="AV16" s="159">
        <f t="shared" si="22"/>
        <v>1.5555262816745181</v>
      </c>
      <c r="AW16" s="159">
        <f t="shared" si="23"/>
        <v>3.292119114655065</v>
      </c>
      <c r="AX16" s="159">
        <f t="shared" si="66"/>
        <v>0.77776314083725906</v>
      </c>
      <c r="AY16" s="159">
        <f t="shared" si="24"/>
        <v>17.192500432140296</v>
      </c>
      <c r="AZ16" s="159">
        <f t="shared" si="25"/>
        <v>3.0121808955748852</v>
      </c>
      <c r="BA16" s="159">
        <f t="shared" si="26"/>
        <v>6.2014218582151308</v>
      </c>
      <c r="BB16" s="159">
        <f t="shared" si="67"/>
        <v>1.5060904477874426</v>
      </c>
      <c r="BC16" s="159">
        <f t="shared" si="27"/>
        <v>2.3950166559115593</v>
      </c>
      <c r="BD16" s="159">
        <f t="shared" si="28"/>
        <v>2.8641436297499063</v>
      </c>
      <c r="BE16" s="159">
        <f t="shared" si="29"/>
        <v>15.1465928807156</v>
      </c>
      <c r="BF16" s="159">
        <f t="shared" si="30"/>
        <v>7.3541186212097704</v>
      </c>
      <c r="BG16" s="159">
        <f t="shared" si="31"/>
        <v>2.8693106554685666</v>
      </c>
      <c r="BH16" s="159">
        <f t="shared" si="32"/>
        <v>3.991694426519266</v>
      </c>
      <c r="BI16" s="159">
        <f t="shared" si="33"/>
        <v>2.1727986156723427</v>
      </c>
      <c r="BJ16" s="159">
        <f t="shared" si="34"/>
        <v>6.550342664645453</v>
      </c>
      <c r="BK16" s="159">
        <f t="shared" si="35"/>
        <v>6.6184083210768723</v>
      </c>
      <c r="BL16" s="159">
        <f t="shared" si="36"/>
        <v>0.61910437379404748</v>
      </c>
      <c r="BM16" s="159">
        <f t="shared" si="37"/>
        <v>1.481453601594779</v>
      </c>
      <c r="BN16" s="159">
        <f t="shared" si="38"/>
        <v>0.55966024949136106</v>
      </c>
      <c r="BO16" s="159">
        <f t="shared" si="39"/>
        <v>5.24371263180279</v>
      </c>
      <c r="BP16" s="159">
        <f t="shared" si="40"/>
        <v>9.683427398060477</v>
      </c>
      <c r="BQ16" s="159">
        <f t="shared" si="41"/>
        <v>1.607290201196085</v>
      </c>
      <c r="BR16" s="159">
        <f t="shared" si="42"/>
        <v>2.3374045714050959</v>
      </c>
      <c r="BS16" s="159">
        <f t="shared" si="43"/>
        <v>2.0081926599395894</v>
      </c>
      <c r="BT16" s="159">
        <f t="shared" si="44"/>
        <v>7.8225876966238346</v>
      </c>
      <c r="BU16" s="159">
        <f t="shared" si="45"/>
        <v>8.3295255031500837</v>
      </c>
      <c r="BV16" s="159">
        <f t="shared" si="46"/>
        <v>1.4406082544053798</v>
      </c>
      <c r="BW16" s="159">
        <f t="shared" si="47"/>
        <v>2.3374045714050959</v>
      </c>
      <c r="BX16" s="159">
        <f t="shared" si="48"/>
        <v>2.0081926599395894</v>
      </c>
      <c r="BY16" s="159">
        <f t="shared" si="49"/>
        <v>10.848467772680527</v>
      </c>
      <c r="BZ16" s="159">
        <f t="shared" si="50"/>
        <v>6.7052337412629299</v>
      </c>
      <c r="CA16" s="159">
        <f t="shared" si="51"/>
        <v>1.7620662946445966</v>
      </c>
      <c r="CB16" s="159">
        <f t="shared" si="52"/>
        <v>6.980155175448961</v>
      </c>
      <c r="CC16" s="159">
        <f t="shared" si="53"/>
        <v>5.1756594801715554</v>
      </c>
      <c r="CD16" s="159">
        <f t="shared" si="54"/>
        <v>12.410162085531788</v>
      </c>
      <c r="CE16" s="159">
        <f t="shared" si="68"/>
        <v>5.1756594801715554</v>
      </c>
      <c r="CF16" s="159">
        <f t="shared" si="55"/>
        <v>5.5995602432974856</v>
      </c>
      <c r="CG16" s="159">
        <f t="shared" si="56"/>
        <v>14.591002114351404</v>
      </c>
      <c r="CH16" s="159">
        <f t="shared" si="69"/>
        <v>5.5995602432974856</v>
      </c>
      <c r="CI16" s="159">
        <f t="shared" si="70"/>
        <v>4.298125108035074</v>
      </c>
    </row>
    <row r="17" spans="1:87" x14ac:dyDescent="0.25">
      <c r="A17" t="str">
        <f>PLANTILLA!D19</f>
        <v>W. Gelifini</v>
      </c>
      <c r="B17" t="s">
        <v>854</v>
      </c>
      <c r="C17" s="632">
        <f>PLANTILLA!E19</f>
        <v>29</v>
      </c>
      <c r="D17" s="632">
        <f ca="1">PLANTILLA!F19</f>
        <v>106</v>
      </c>
      <c r="E17" s="632"/>
      <c r="F17" s="290">
        <v>41737</v>
      </c>
      <c r="G17" s="496">
        <v>1.5</v>
      </c>
      <c r="H17" s="497">
        <f>PLANTILLA!I19</f>
        <v>4.2</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12.847222222222223</v>
      </c>
      <c r="Q17" s="163">
        <f t="shared" si="57"/>
        <v>3.3981111111111098</v>
      </c>
      <c r="R17" s="163">
        <f t="shared" si="58"/>
        <v>10.496831242372478</v>
      </c>
      <c r="S17" s="163">
        <f t="shared" si="59"/>
        <v>0.56250555555555548</v>
      </c>
      <c r="T17" s="163">
        <f t="shared" si="60"/>
        <v>0.61147888888888879</v>
      </c>
      <c r="U17" s="163">
        <f t="shared" ca="1" si="0"/>
        <v>14.67822127608609</v>
      </c>
      <c r="V17" s="159">
        <f t="shared" si="1"/>
        <v>3.5947915073564887</v>
      </c>
      <c r="W17" s="159">
        <f t="shared" si="2"/>
        <v>5.4112308896493619</v>
      </c>
      <c r="X17" s="159">
        <f t="shared" si="61"/>
        <v>3.5947915073564887</v>
      </c>
      <c r="Y17" s="159">
        <f t="shared" si="3"/>
        <v>4.1189981784604202</v>
      </c>
      <c r="Z17" s="159">
        <f t="shared" si="4"/>
        <v>7.9825546094194193</v>
      </c>
      <c r="AA17" s="159">
        <f t="shared" si="62"/>
        <v>2.0594990892302101</v>
      </c>
      <c r="AB17" s="159">
        <f t="shared" si="5"/>
        <v>2.904394430375155</v>
      </c>
      <c r="AC17" s="159">
        <f t="shared" si="6"/>
        <v>3.0174056423605404</v>
      </c>
      <c r="AD17" s="159">
        <f t="shared" si="7"/>
        <v>5.77138698261024</v>
      </c>
      <c r="AE17" s="159">
        <f t="shared" si="63"/>
        <v>1.5087028211802702</v>
      </c>
      <c r="AF17" s="159">
        <f t="shared" si="8"/>
        <v>4.6982851079598102</v>
      </c>
      <c r="AG17" s="357">
        <f t="shared" si="9"/>
        <v>7.3439502406658663</v>
      </c>
      <c r="AH17" s="159">
        <f t="shared" si="10"/>
        <v>3.3047776082996396</v>
      </c>
      <c r="AI17" s="159">
        <f t="shared" si="11"/>
        <v>2.0379574364397102</v>
      </c>
      <c r="AJ17" s="357">
        <f t="shared" si="12"/>
        <v>5.5293554436719532</v>
      </c>
      <c r="AK17" s="159">
        <f t="shared" si="13"/>
        <v>6.018846175502242</v>
      </c>
      <c r="AL17" s="159">
        <f t="shared" si="14"/>
        <v>5.6516486634689489</v>
      </c>
      <c r="AM17" s="159">
        <f t="shared" si="15"/>
        <v>2.5347629531063771</v>
      </c>
      <c r="AN17" s="159">
        <f t="shared" si="16"/>
        <v>1.6499837275127933</v>
      </c>
      <c r="AO17" s="159">
        <f t="shared" si="17"/>
        <v>2.1552897445432433</v>
      </c>
      <c r="AP17" s="159">
        <f t="shared" si="18"/>
        <v>4.7416374379951352</v>
      </c>
      <c r="AQ17" s="159">
        <f t="shared" si="64"/>
        <v>1.0776448722716216</v>
      </c>
      <c r="AR17" s="159">
        <f t="shared" si="19"/>
        <v>11.519951017958599</v>
      </c>
      <c r="AS17" s="159">
        <f t="shared" si="20"/>
        <v>1.5076965436689691</v>
      </c>
      <c r="AT17" s="159">
        <f t="shared" si="21"/>
        <v>2.4077102783376678</v>
      </c>
      <c r="AU17" s="159">
        <f t="shared" si="65"/>
        <v>0.75384827183448455</v>
      </c>
      <c r="AV17" s="159">
        <f t="shared" si="22"/>
        <v>1.5087028211802702</v>
      </c>
      <c r="AW17" s="159">
        <f t="shared" si="23"/>
        <v>3.193021843767768</v>
      </c>
      <c r="AX17" s="159">
        <f t="shared" si="66"/>
        <v>0.75435141059013511</v>
      </c>
      <c r="AY17" s="159">
        <f t="shared" si="24"/>
        <v>12.203337942752754</v>
      </c>
      <c r="AZ17" s="159">
        <f t="shared" si="25"/>
        <v>2.9342094272942241</v>
      </c>
      <c r="BA17" s="159">
        <f t="shared" si="26"/>
        <v>5.1880871453456558</v>
      </c>
      <c r="BB17" s="159">
        <f t="shared" si="67"/>
        <v>1.467104713647112</v>
      </c>
      <c r="BC17" s="159">
        <f t="shared" si="27"/>
        <v>2.322923391341051</v>
      </c>
      <c r="BD17" s="159">
        <f t="shared" si="28"/>
        <v>2.7779290040779578</v>
      </c>
      <c r="BE17" s="159">
        <f t="shared" si="29"/>
        <v>10.751140727565176</v>
      </c>
      <c r="BF17" s="159">
        <f t="shared" si="30"/>
        <v>9.0509688255516423</v>
      </c>
      <c r="BG17" s="159">
        <f t="shared" si="31"/>
        <v>2.7950374386478578</v>
      </c>
      <c r="BH17" s="159">
        <f t="shared" si="32"/>
        <v>3.8715389855684181</v>
      </c>
      <c r="BI17" s="159">
        <f t="shared" si="33"/>
        <v>2.1073944168867267</v>
      </c>
      <c r="BJ17" s="159">
        <f t="shared" si="34"/>
        <v>4.6494717561887988</v>
      </c>
      <c r="BK17" s="159">
        <f t="shared" si="35"/>
        <v>8.6597978397436854</v>
      </c>
      <c r="BL17" s="159">
        <f t="shared" si="36"/>
        <v>0.60307861746758751</v>
      </c>
      <c r="BM17" s="159">
        <f t="shared" si="37"/>
        <v>1.4368598296954955</v>
      </c>
      <c r="BN17" s="159">
        <f t="shared" si="38"/>
        <v>0.54281371344052054</v>
      </c>
      <c r="BO17" s="159">
        <f t="shared" si="39"/>
        <v>3.7220180725395897</v>
      </c>
      <c r="BP17" s="159">
        <f t="shared" si="40"/>
        <v>12.720598116602265</v>
      </c>
      <c r="BQ17" s="159">
        <f t="shared" si="41"/>
        <v>1.5656848722716217</v>
      </c>
      <c r="BR17" s="159">
        <f t="shared" si="42"/>
        <v>2.2670455090751149</v>
      </c>
      <c r="BS17" s="159">
        <f t="shared" si="43"/>
        <v>1.9477433246983382</v>
      </c>
      <c r="BT17" s="159">
        <f t="shared" si="44"/>
        <v>5.5525187639525031</v>
      </c>
      <c r="BU17" s="159">
        <f t="shared" si="45"/>
        <v>10.95459761834783</v>
      </c>
      <c r="BV17" s="159">
        <f t="shared" si="46"/>
        <v>1.4033175521841941</v>
      </c>
      <c r="BW17" s="159">
        <f t="shared" si="47"/>
        <v>2.2670455090751149</v>
      </c>
      <c r="BX17" s="159">
        <f t="shared" si="48"/>
        <v>1.9477433246983382</v>
      </c>
      <c r="BY17" s="159">
        <f t="shared" si="49"/>
        <v>7.7003062418769872</v>
      </c>
      <c r="BZ17" s="159">
        <f t="shared" si="50"/>
        <v>8.8397228198748259</v>
      </c>
      <c r="CA17" s="159">
        <f t="shared" si="51"/>
        <v>1.7164545266385185</v>
      </c>
      <c r="CB17" s="159">
        <f t="shared" si="52"/>
        <v>4.954555204757618</v>
      </c>
      <c r="CC17" s="159">
        <f t="shared" si="53"/>
        <v>4.9993869515075184</v>
      </c>
      <c r="CD17" s="159">
        <f t="shared" si="54"/>
        <v>9.721361379095157</v>
      </c>
      <c r="CE17" s="159">
        <f t="shared" si="68"/>
        <v>4.9993869515075184</v>
      </c>
      <c r="CF17" s="159">
        <f t="shared" si="55"/>
        <v>5.122000632779411</v>
      </c>
      <c r="CG17" s="159">
        <f t="shared" si="56"/>
        <v>10.152315482517409</v>
      </c>
      <c r="CH17" s="159">
        <f t="shared" si="69"/>
        <v>5.122000632779411</v>
      </c>
      <c r="CI17" s="159">
        <f t="shared" si="70"/>
        <v>3.0508344856881884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71</v>
      </c>
      <c r="E19" s="668" t="str">
        <f>PLANTILLA!G20</f>
        <v>CAB</v>
      </c>
      <c r="F19" s="290">
        <v>43060</v>
      </c>
      <c r="G19" s="496">
        <v>2.5</v>
      </c>
      <c r="H19" s="497">
        <f>PLANTILLA!I20</f>
        <v>9.5</v>
      </c>
      <c r="I19" s="341"/>
      <c r="J19" s="163">
        <f>PLANTILLA!X20</f>
        <v>0</v>
      </c>
      <c r="K19" s="163">
        <f>PLANTILLA!Y20</f>
        <v>3</v>
      </c>
      <c r="L19" s="163">
        <f>PLANTILLA!Z20</f>
        <v>15.07</v>
      </c>
      <c r="M19" s="163">
        <f>PLANTILLA!AA20</f>
        <v>12.02</v>
      </c>
      <c r="N19" s="163">
        <f>PLANTILLA!AB20</f>
        <v>12</v>
      </c>
      <c r="O19" s="163">
        <f>PLANTILLA!AC20</f>
        <v>8</v>
      </c>
      <c r="P19" s="163">
        <f>PLANTILLA!AD20</f>
        <v>5</v>
      </c>
      <c r="Q19" s="163">
        <f t="shared" ref="Q19" si="71">((2*(N19+1))+(K19+1))/8</f>
        <v>3.75</v>
      </c>
      <c r="R19" s="163">
        <f t="shared" ref="R19" si="72">1.66*(O19+(LOG(H19)*4/3)+G19)+0.55*(P19+(LOG(H19)*4/3)+G19)-7.6</f>
        <v>16.836025556917804</v>
      </c>
      <c r="S19" s="163">
        <f t="shared" ref="S19" si="73">(0.5*O19+ 0.3*P19)/10</f>
        <v>0.55000000000000004</v>
      </c>
      <c r="T19" s="163">
        <f t="shared" ref="T19" si="74">(0.4*K19+0.3*P19)/10</f>
        <v>0.27</v>
      </c>
      <c r="U19" s="163">
        <f t="shared" ref="U19" ca="1" si="75">IF(TODAY()-F19&gt;335,(P19+1+(LOG(H19)*4/3)),(P19+((TODAY()-F19)^0.5)/(336^0.5)+(LOG(H19)*4/3)))</f>
        <v>6.9184291562744331</v>
      </c>
      <c r="V19" s="159">
        <f t="shared" ref="V19" si="76">((J19+G19+(LOG(H19)*4/3))*0.597)+((K19+G19+(LOG(H19)*4/3))*0.276)</f>
        <v>4.1485702765562191</v>
      </c>
      <c r="W19" s="159">
        <f t="shared" ref="W19" si="77">((J19+G19+(LOG(H19)*4/3))*0.866)+((K19+G19+(LOG(H19)*4/3))*0.425)</f>
        <v>6.1854882325705365</v>
      </c>
      <c r="X19" s="159">
        <f t="shared" ref="X19" si="78">V19</f>
        <v>4.1485702765562191</v>
      </c>
      <c r="Y19" s="159">
        <f t="shared" ref="Y19" si="79">((K19+G19+(LOG(H19)*4/3))*0.516)</f>
        <v>3.5106738404387272</v>
      </c>
      <c r="Z19" s="159">
        <f t="shared" ref="Z19" si="80">(K19+G19+(LOG(H19)*4/3))*1</f>
        <v>6.8036314737184638</v>
      </c>
      <c r="AA19" s="159">
        <f t="shared" ref="AA19" si="81">Y19/2</f>
        <v>1.7553369202193636</v>
      </c>
      <c r="AB19" s="159">
        <f t="shared" ref="AB19" si="82">(L19+G19+(LOG(H19)*4/3))*0.238</f>
        <v>4.4919242907449943</v>
      </c>
      <c r="AC19" s="159">
        <f t="shared" ref="AC19" si="83">((K19+G19+(LOG(H19)*4/3))*0.378)</f>
        <v>2.5717726970655792</v>
      </c>
      <c r="AD19" s="159">
        <f t="shared" ref="AD19" si="84">(K19+G19+(LOG(H19)*4/3))*0.723</f>
        <v>4.9190255554984494</v>
      </c>
      <c r="AE19" s="159">
        <f t="shared" ref="AE19" si="85">AC19/2</f>
        <v>1.2858863485327896</v>
      </c>
      <c r="AF19" s="159">
        <f t="shared" ref="AF19" si="86">(L19+G19+(LOG(H19)*4/3))*0.385</f>
        <v>7.2663481173816091</v>
      </c>
      <c r="AG19" s="357">
        <f t="shared" ref="AG19" si="87">((K19+G19+(LOG(H19)*4/3))*0.92)</f>
        <v>6.2593409558209867</v>
      </c>
      <c r="AH19" s="159">
        <f t="shared" ref="AH19" si="88">(K19+G19+(LOG(H19)*4/3))*0.414</f>
        <v>2.816703430119444</v>
      </c>
      <c r="AI19" s="159">
        <f t="shared" ref="AI19" si="89">((L19+G19+(LOG(H19)*4/3))*0.167)</f>
        <v>3.1518964561109839</v>
      </c>
      <c r="AJ19" s="357">
        <f t="shared" ref="AJ19" si="90">(M19+G19+(LOG(H19)*4/3))*0.588</f>
        <v>9.3042953065464555</v>
      </c>
      <c r="AK19" s="159">
        <f t="shared" ref="AK19" si="91">((K19+G19+(LOG(H19)*4/3))*0.754)</f>
        <v>5.1299381311837218</v>
      </c>
      <c r="AL19" s="159">
        <f t="shared" ref="AL19" si="92">((K19+G19+(LOG(H19)*4/3))*0.708)</f>
        <v>4.816971083392672</v>
      </c>
      <c r="AM19" s="159">
        <f t="shared" ref="AM19" si="93">((P19+G19+(LOG(H19)*4/3))*0.167)</f>
        <v>1.4702064561109833</v>
      </c>
      <c r="AN19" s="159">
        <f t="shared" ref="AN19" si="94">((Q19+G19+(LOG(H19)*4/3))*0.288)</f>
        <v>2.1754458644309174</v>
      </c>
      <c r="AO19" s="159">
        <f t="shared" ref="AO19" si="95">((K19+G19+(LOG(H19)*4/3))*0.27)</f>
        <v>1.8369804979039854</v>
      </c>
      <c r="AP19" s="159">
        <f t="shared" ref="AP19" si="96">((K19+G19+(LOG(H19)*4/3))*0.594)</f>
        <v>4.0413570953887676</v>
      </c>
      <c r="AQ19" s="159">
        <f t="shared" ref="AQ19" si="97">AO19/2</f>
        <v>0.91849024895199272</v>
      </c>
      <c r="AR19" s="159">
        <f t="shared" ref="AR19" si="98">((L19+G19+(LOG(H19)*4/3))*0.944)</f>
        <v>17.816708111190231</v>
      </c>
      <c r="AS19" s="159">
        <f t="shared" ref="AS19" si="99">((N19+G19+(LOG(H19)*4/3))*0.13)</f>
        <v>2.0544720915834001</v>
      </c>
      <c r="AT19" s="159">
        <f t="shared" ref="AT19" si="100">((O19+G19+(LOG(H19)*4/3))*0.173)+((N19+G19+(LOG(H19)*4/3))*0.12)</f>
        <v>3.9384640217995095</v>
      </c>
      <c r="AU19" s="159">
        <f t="shared" ref="AU19" si="101">AS19/2</f>
        <v>1.0272360457917</v>
      </c>
      <c r="AV19" s="159">
        <f t="shared" ref="AV19" si="102">((K19+G19+(LOG(H19)*4/3))*0.189)</f>
        <v>1.2858863485327896</v>
      </c>
      <c r="AW19" s="159">
        <f t="shared" ref="AW19" si="103">((K19+G19+(LOG(H19)*4/3))*0.4)</f>
        <v>2.7214525894873858</v>
      </c>
      <c r="AX19" s="159">
        <f t="shared" ref="AX19" si="104">AV19/2</f>
        <v>0.6429431742663948</v>
      </c>
      <c r="AY19" s="159">
        <f t="shared" ref="AY19" si="105">((L19+G19+(LOG(H19)*4/3))*1)</f>
        <v>18.873631473718465</v>
      </c>
      <c r="AZ19" s="159">
        <f t="shared" ref="AZ19" si="106">((N19+G19+(LOG(H19)*4/3))*0.253)</f>
        <v>3.9983187628507713</v>
      </c>
      <c r="BA19" s="159">
        <f t="shared" ref="BA19" si="107">((O19+G19+(LOG(H19)*4/3))*0.21)+((N19+G19+(LOG(H19)*4/3))*0.341)</f>
        <v>7.8678009420188735</v>
      </c>
      <c r="BB19" s="159">
        <f t="shared" ref="BB19" si="108">AZ19/2</f>
        <v>1.9991593814253856</v>
      </c>
      <c r="BC19" s="159">
        <f t="shared" ref="BC19" si="109">((K19+G19+(LOG(H19)*4/3))*0.291)</f>
        <v>1.9798567588520728</v>
      </c>
      <c r="BD19" s="159">
        <f t="shared" ref="BD19" si="110">((K19+G19+(LOG(H19)*4/3))*0.348)</f>
        <v>2.3676637528540252</v>
      </c>
      <c r="BE19" s="159">
        <f t="shared" ref="BE19" si="111">((L19+G19+(LOG(H19)*4/3))*0.881)</f>
        <v>16.627669328345966</v>
      </c>
      <c r="BF19" s="159">
        <f t="shared" ref="BF19" si="112">((M19+G19+(LOG(H19)*4/3))*0.574)+((N19+G19+(LOG(H19)*4/3))*0.315)</f>
        <v>14.060908380135711</v>
      </c>
      <c r="BG19" s="159">
        <f t="shared" ref="BG19" si="113">((N19+G19+(LOG(H19)*4/3))*0.241)</f>
        <v>3.8086751851661496</v>
      </c>
      <c r="BH19" s="159">
        <f t="shared" ref="BH19" si="114">((K19+G19+(LOG(H19)*4/3))*0.485)</f>
        <v>3.2997612647534549</v>
      </c>
      <c r="BI19" s="159">
        <f t="shared" ref="BI19" si="115">((K19+G19+(LOG(H19)*4/3))*0.264)</f>
        <v>1.7961587090616746</v>
      </c>
      <c r="BJ19" s="159">
        <f t="shared" ref="BJ19" si="116">((L19+G19+(LOG(H19)*4/3))*0.381)</f>
        <v>7.1908535914867349</v>
      </c>
      <c r="BK19" s="159">
        <f t="shared" ref="BK19" si="117">((M19+G19+(LOG(H19)*4/3))*0.673)+((N19+G19+(LOG(H19)*4/3))*0.201)</f>
        <v>13.825833908029937</v>
      </c>
      <c r="BL19" s="159">
        <f t="shared" ref="BL19" si="118">((N19+G19+(LOG(H19)*4/3))*0.052)</f>
        <v>0.82178883663336</v>
      </c>
      <c r="BM19" s="159">
        <f t="shared" ref="BM19" si="119">((K19+G19+(LOG(H19)*4/3))*0.18)</f>
        <v>1.2246536652693234</v>
      </c>
      <c r="BN19" s="159">
        <f t="shared" ref="BN19" si="120">(K19+G19+(LOG(H19)*4/3))*0.068</f>
        <v>0.46264694021285557</v>
      </c>
      <c r="BO19" s="159">
        <f t="shared" ref="BO19" si="121">((L19+G19+(LOG(H19)*4/3))*0.305)</f>
        <v>5.7564575994841318</v>
      </c>
      <c r="BP19" s="159">
        <f t="shared" ref="BP19" si="122">((M19+G19+(LOG(H19)*4/3))*1)+((N19+G19+(LOG(H19)*4/3))*0.286)</f>
        <v>20.343470075201942</v>
      </c>
      <c r="BQ19" s="159">
        <f t="shared" ref="BQ19" si="123">((N19+G19+(LOG(H19)*4/3))*0.135)</f>
        <v>2.1334902489519925</v>
      </c>
      <c r="BR19" s="159">
        <f t="shared" ref="BR19" si="124">((K19+G19+(LOG(H19)*4/3))*0.284)</f>
        <v>1.9322313385360435</v>
      </c>
      <c r="BS19" s="159">
        <f t="shared" ref="BS19" si="125">(K19+G19+(LOG(H19)*4/3))*0.244</f>
        <v>1.6600860795873051</v>
      </c>
      <c r="BT19" s="159">
        <f t="shared" ref="BT19" si="126">((L19+G19+(LOG(H19)*4/3))*0.455)</f>
        <v>8.5875023205419012</v>
      </c>
      <c r="BU19" s="159">
        <f t="shared" ref="BU19" si="127">((M19+G19+(LOG(H19)*4/3))*0.864)+((N19+G19+(LOG(H19)*4/3))*0.244)</f>
        <v>17.527703672880055</v>
      </c>
      <c r="BV19" s="159">
        <f t="shared" ref="BV19" si="128">((N19+G19+(LOG(H19)*4/3))*0.121)</f>
        <v>1.9122394083199339</v>
      </c>
      <c r="BW19" s="159">
        <f t="shared" ref="BW19" si="129">((K19+G19+(LOG(H19)*4/3))*0.284)</f>
        <v>1.9322313385360435</v>
      </c>
      <c r="BX19" s="159">
        <f t="shared" ref="BX19" si="130">((K19+G19+(LOG(H19)*4/3))*0.244)</f>
        <v>1.6600860795873051</v>
      </c>
      <c r="BY19" s="159">
        <f t="shared" ref="BY19" si="131">((L19+G19+(LOG(H19)*4/3))*0.631)</f>
        <v>11.909261459916351</v>
      </c>
      <c r="BZ19" s="159">
        <f t="shared" ref="BZ19" si="132">((M19+G19+(LOG(H19)*4/3))*0.702)+((N19+G19+(LOG(H19)*4/3))*0.193)</f>
        <v>14.158290168978024</v>
      </c>
      <c r="CA19" s="159">
        <f t="shared" ref="CA19" si="133">((N19+G19+(LOG(H19)*4/3))*0.148)</f>
        <v>2.3389374581103324</v>
      </c>
      <c r="CB19" s="159">
        <f t="shared" ref="CB19" si="134">((L19+G19+(LOG(H19)*4/3))*0.406)</f>
        <v>7.6626943783296975</v>
      </c>
      <c r="CC19" s="159">
        <f t="shared" ref="CC19" si="135">IF(E19="TEC",((M19+G19+(LOG(H19)*4/3))*0.15)+((N19+G19+(LOG(H19)*4/3))*0.324)+((O19+G19+(LOG(H19)*4/3))*0.127),(((M19+G19+(LOG(H19)*4/3))*0.144)+((N19+G19+(LOG(H19)*4/3))*0.25)+((O19+G19+(LOG(H19)*4/3))*0.127)))</f>
        <v>7.7285719978073191</v>
      </c>
      <c r="CD19" s="159">
        <f t="shared" ref="CD19" si="136">((N19+G19+(LOG(H19)*4/3))*0.543)+((O19+G19+(LOG(H19)*4/3))*0.583)</f>
        <v>15.46288903940699</v>
      </c>
      <c r="CE19" s="159">
        <f t="shared" ref="CE19" si="137">CC19</f>
        <v>7.7285719978073191</v>
      </c>
      <c r="CF19" s="159">
        <f t="shared" ref="CF19" si="138">((O19+1+(LOG(H19)*4/3))*0.26)+((M19+G19+(LOG(H19)*4/3))*0.221)+((N19+G19+(LOG(H19)*4/3))*0.142)</f>
        <v>8.4200824081266017</v>
      </c>
      <c r="CG19" s="159">
        <f t="shared" ref="CG19" si="139">((O19+G19+(LOG(H19)*4/3))*1)+((N19+G19+(LOG(H19)*4/3))*0.369)</f>
        <v>17.635171487520577</v>
      </c>
      <c r="CH19" s="159">
        <f t="shared" ref="CH19" si="140">CF19</f>
        <v>8.4200824081266017</v>
      </c>
      <c r="CI19" s="159">
        <f t="shared" ref="CI19" si="141">((L19+G19+(LOG(H19)*4/3))*0.25)</f>
        <v>4.7184078684296162</v>
      </c>
    </row>
    <row r="20" spans="1:87" x14ac:dyDescent="0.25">
      <c r="A20" t="str">
        <f>PLANTILLA!D21</f>
        <v>J. Limon</v>
      </c>
      <c r="B20" t="s">
        <v>854</v>
      </c>
      <c r="C20" s="632">
        <f>PLANTILLA!E21</f>
        <v>30</v>
      </c>
      <c r="D20" s="632">
        <f ca="1">PLANTILLA!F21</f>
        <v>81</v>
      </c>
      <c r="E20" s="632" t="str">
        <f>PLANTILLA!G21</f>
        <v>RAP</v>
      </c>
      <c r="F20" s="290">
        <v>41664</v>
      </c>
      <c r="G20" s="496">
        <v>1.5</v>
      </c>
      <c r="H20" s="497">
        <f>PLANTILLA!I21</f>
        <v>11</v>
      </c>
      <c r="I20" s="341"/>
      <c r="J20" s="163">
        <f>PLANTILLA!X21</f>
        <v>0</v>
      </c>
      <c r="K20" s="163">
        <f>PLANTILLA!Y21</f>
        <v>6.8376190476190493</v>
      </c>
      <c r="L20" s="163">
        <f>PLANTILLA!Z21</f>
        <v>9</v>
      </c>
      <c r="M20" s="163">
        <f>PLANTILLA!AA21</f>
        <v>8.7399999999999967</v>
      </c>
      <c r="N20" s="163">
        <f>PLANTILLA!AB21</f>
        <v>9.6900000000000013</v>
      </c>
      <c r="O20" s="163">
        <f>PLANTILLA!AC21</f>
        <v>8.5625000000000018</v>
      </c>
      <c r="P20" s="163">
        <f>PLANTILLA!AD21</f>
        <v>18.999999999999993</v>
      </c>
      <c r="Q20" s="163">
        <f t="shared" si="57"/>
        <v>3.6522023809523816</v>
      </c>
      <c r="R20" s="163">
        <f t="shared" si="58"/>
        <v>23.447387112266235</v>
      </c>
      <c r="S20" s="163">
        <f t="shared" si="59"/>
        <v>0.99812499999999993</v>
      </c>
      <c r="T20" s="163">
        <f t="shared" si="60"/>
        <v>0.84350476190476176</v>
      </c>
      <c r="U20" s="163">
        <f t="shared" ca="1" si="0"/>
        <v>21.388523580210961</v>
      </c>
      <c r="V20" s="159">
        <f t="shared" si="1"/>
        <v>4.4088639426670317</v>
      </c>
      <c r="W20" s="159">
        <f t="shared" si="2"/>
        <v>6.6350720372904544</v>
      </c>
      <c r="X20" s="159">
        <f t="shared" si="61"/>
        <v>4.4088639426670317</v>
      </c>
      <c r="Y20" s="159">
        <f t="shared" si="3"/>
        <v>5.0186895959602884</v>
      </c>
      <c r="Z20" s="159">
        <f t="shared" si="4"/>
        <v>9.7261426278300167</v>
      </c>
      <c r="AA20" s="159">
        <f t="shared" si="62"/>
        <v>2.5093447979801442</v>
      </c>
      <c r="AB20" s="159">
        <f t="shared" si="5"/>
        <v>2.8294686120902099</v>
      </c>
      <c r="AC20" s="159">
        <f t="shared" si="6"/>
        <v>3.6764819133197464</v>
      </c>
      <c r="AD20" s="159">
        <f t="shared" si="7"/>
        <v>7.0320011199211017</v>
      </c>
      <c r="AE20" s="159">
        <f t="shared" si="63"/>
        <v>1.8382409566598732</v>
      </c>
      <c r="AF20" s="159">
        <f t="shared" si="8"/>
        <v>4.5770815783812226</v>
      </c>
      <c r="AG20" s="357">
        <f t="shared" si="9"/>
        <v>8.9480512176036164</v>
      </c>
      <c r="AH20" s="159">
        <f t="shared" si="10"/>
        <v>4.0266230479216265</v>
      </c>
      <c r="AI20" s="159">
        <f t="shared" si="11"/>
        <v>1.9853834378952315</v>
      </c>
      <c r="AJ20" s="357">
        <f t="shared" si="12"/>
        <v>6.8375718651640458</v>
      </c>
      <c r="AK20" s="159">
        <f t="shared" si="13"/>
        <v>7.3335115413838325</v>
      </c>
      <c r="AL20" s="159">
        <f t="shared" si="14"/>
        <v>6.8861089805036517</v>
      </c>
      <c r="AM20" s="159">
        <f t="shared" si="15"/>
        <v>3.6553834378952308</v>
      </c>
      <c r="AN20" s="159">
        <f t="shared" si="16"/>
        <v>1.8837290768150441</v>
      </c>
      <c r="AO20" s="159">
        <f t="shared" si="17"/>
        <v>2.6260585095141047</v>
      </c>
      <c r="AP20" s="159">
        <f t="shared" si="18"/>
        <v>5.7773287209310293</v>
      </c>
      <c r="AQ20" s="159">
        <f t="shared" si="64"/>
        <v>1.3130292547570523</v>
      </c>
      <c r="AR20" s="159">
        <f t="shared" si="19"/>
        <v>11.222766259719151</v>
      </c>
      <c r="AS20" s="159">
        <f t="shared" si="20"/>
        <v>1.6352080654274259</v>
      </c>
      <c r="AT20" s="159">
        <f t="shared" si="21"/>
        <v>3.4904499090018133</v>
      </c>
      <c r="AU20" s="159">
        <f t="shared" si="65"/>
        <v>0.81760403271371296</v>
      </c>
      <c r="AV20" s="357">
        <f t="shared" si="22"/>
        <v>1.8382409566598732</v>
      </c>
      <c r="AW20" s="357">
        <f t="shared" si="23"/>
        <v>3.8904570511320067</v>
      </c>
      <c r="AX20" s="357">
        <f t="shared" si="66"/>
        <v>0.9191204783299366</v>
      </c>
      <c r="AY20" s="357">
        <f t="shared" si="24"/>
        <v>11.888523580210967</v>
      </c>
      <c r="AZ20" s="357">
        <f t="shared" si="25"/>
        <v>3.182366465793375</v>
      </c>
      <c r="BA20" s="357">
        <f t="shared" si="26"/>
        <v>6.6939914926962434</v>
      </c>
      <c r="BB20" s="357">
        <f t="shared" si="67"/>
        <v>1.5911832328966875</v>
      </c>
      <c r="BC20" s="357">
        <f t="shared" si="27"/>
        <v>2.8303075046985349</v>
      </c>
      <c r="BD20" s="357">
        <f t="shared" si="28"/>
        <v>3.3846976344848456</v>
      </c>
      <c r="BE20" s="357">
        <f t="shared" si="29"/>
        <v>10.473789274165862</v>
      </c>
      <c r="BF20" s="357">
        <f t="shared" si="30"/>
        <v>10.637007462807547</v>
      </c>
      <c r="BG20" s="357">
        <f t="shared" si="31"/>
        <v>3.0314241828308433</v>
      </c>
      <c r="BH20" s="357">
        <f t="shared" si="32"/>
        <v>4.7171791744975584</v>
      </c>
      <c r="BI20" s="357">
        <f t="shared" si="33"/>
        <v>2.5677016537471244</v>
      </c>
      <c r="BJ20" s="357">
        <f t="shared" si="34"/>
        <v>4.5295274840603783</v>
      </c>
      <c r="BK20" s="357">
        <f t="shared" si="35"/>
        <v>10.354279609104383</v>
      </c>
      <c r="BL20" s="357">
        <f t="shared" si="36"/>
        <v>0.65408322617097026</v>
      </c>
      <c r="BM20" s="357">
        <f t="shared" si="37"/>
        <v>1.7507056730094031</v>
      </c>
      <c r="BN20" s="357">
        <f t="shared" si="38"/>
        <v>0.66137769869244123</v>
      </c>
      <c r="BO20" s="357">
        <f t="shared" si="39"/>
        <v>3.6259996919643447</v>
      </c>
      <c r="BP20" s="357">
        <f t="shared" si="40"/>
        <v>15.225981324151299</v>
      </c>
      <c r="BQ20" s="357">
        <f t="shared" si="41"/>
        <v>1.6981006833284809</v>
      </c>
      <c r="BR20" s="357">
        <f t="shared" si="42"/>
        <v>2.7622245063037245</v>
      </c>
      <c r="BS20" s="357">
        <f t="shared" si="43"/>
        <v>2.3731788011905239</v>
      </c>
      <c r="BT20" s="357">
        <f t="shared" si="44"/>
        <v>5.4092782289959898</v>
      </c>
      <c r="BU20" s="357">
        <f t="shared" si="45"/>
        <v>13.116204126873749</v>
      </c>
      <c r="BV20" s="357">
        <f t="shared" si="46"/>
        <v>1.522001353205527</v>
      </c>
      <c r="BW20" s="357">
        <f t="shared" si="47"/>
        <v>2.7622245063037245</v>
      </c>
      <c r="BX20" s="357">
        <f t="shared" si="48"/>
        <v>2.3731788011905239</v>
      </c>
      <c r="BY20" s="357">
        <f t="shared" si="49"/>
        <v>7.5016583791131204</v>
      </c>
      <c r="BZ20" s="357">
        <f t="shared" si="50"/>
        <v>10.590878604288813</v>
      </c>
      <c r="CA20" s="357">
        <f t="shared" si="51"/>
        <v>1.8616214898712231</v>
      </c>
      <c r="CB20" s="357">
        <f t="shared" si="52"/>
        <v>4.8267405735656528</v>
      </c>
      <c r="CC20" s="357">
        <f t="shared" si="53"/>
        <v>6.2734182852899139</v>
      </c>
      <c r="CD20" s="357">
        <f t="shared" si="54"/>
        <v>13.50608505131755</v>
      </c>
      <c r="CE20" s="357">
        <f t="shared" si="68"/>
        <v>6.2734182852899139</v>
      </c>
      <c r="CF20" s="357">
        <f t="shared" si="55"/>
        <v>7.2033201904714312</v>
      </c>
      <c r="CG20" s="357">
        <f t="shared" si="56"/>
        <v>16.092498781308816</v>
      </c>
      <c r="CH20" s="357">
        <f t="shared" si="69"/>
        <v>7.2033201904714312</v>
      </c>
      <c r="CI20" s="357">
        <f t="shared" si="70"/>
        <v>2.9721308950527416</v>
      </c>
    </row>
    <row r="21" spans="1:87" x14ac:dyDescent="0.25">
      <c r="A21" t="str">
        <f>PLANTILLA!D22</f>
        <v>L. Calosso</v>
      </c>
      <c r="C21" s="632">
        <f>PLANTILLA!E22</f>
        <v>31</v>
      </c>
      <c r="D21" s="632">
        <f ca="1">PLANTILLA!F22</f>
        <v>38</v>
      </c>
      <c r="E21" s="632" t="str">
        <f>PLANTILLA!G22</f>
        <v>TEC</v>
      </c>
      <c r="F21" s="290">
        <v>41890</v>
      </c>
      <c r="G21" s="496">
        <v>1</v>
      </c>
      <c r="H21" s="497">
        <f>PLANTILLA!I22</f>
        <v>11.4</v>
      </c>
      <c r="I21" s="341"/>
      <c r="J21" s="163">
        <f>PLANTILLA!X22</f>
        <v>0</v>
      </c>
      <c r="K21" s="163">
        <f>PLANTILLA!Y22</f>
        <v>3.02</v>
      </c>
      <c r="L21" s="163">
        <f>PLANTILLA!Z22</f>
        <v>14.277609523809524</v>
      </c>
      <c r="M21" s="163">
        <f>PLANTILLA!AA22</f>
        <v>3.04</v>
      </c>
      <c r="N21" s="163">
        <f>PLANTILLA!AB22</f>
        <v>15.02</v>
      </c>
      <c r="O21" s="163">
        <f>PLANTILLA!AC22</f>
        <v>10</v>
      </c>
      <c r="P21" s="163">
        <f>PLANTILLA!AD22</f>
        <v>11</v>
      </c>
      <c r="Q21" s="163">
        <f t="shared" si="57"/>
        <v>4.5075000000000003</v>
      </c>
      <c r="R21" s="163">
        <f t="shared" si="58"/>
        <v>20.374346295271472</v>
      </c>
      <c r="S21" s="163">
        <f t="shared" si="59"/>
        <v>0.83000000000000007</v>
      </c>
      <c r="T21" s="163">
        <f t="shared" si="60"/>
        <v>0.45079999999999998</v>
      </c>
      <c r="U21" s="163">
        <f t="shared" ca="1" si="0"/>
        <v>13.40920646844863</v>
      </c>
      <c r="V21" s="159">
        <f t="shared" si="1"/>
        <v>2.9367572469556542</v>
      </c>
      <c r="W21" s="159">
        <f t="shared" si="2"/>
        <v>4.3937855507671815</v>
      </c>
      <c r="X21" s="159">
        <f t="shared" si="61"/>
        <v>2.9367572469556542</v>
      </c>
      <c r="Y21" s="159">
        <f t="shared" si="3"/>
        <v>2.8014705377194931</v>
      </c>
      <c r="Z21" s="159">
        <f t="shared" si="4"/>
        <v>5.4292064684486299</v>
      </c>
      <c r="AA21" s="159">
        <f t="shared" si="62"/>
        <v>1.4007352688597465</v>
      </c>
      <c r="AB21" s="159">
        <f t="shared" si="5"/>
        <v>3.9714622061574403</v>
      </c>
      <c r="AC21" s="159">
        <f t="shared" si="6"/>
        <v>2.052240045073582</v>
      </c>
      <c r="AD21" s="159">
        <f t="shared" si="7"/>
        <v>3.9253162766883594</v>
      </c>
      <c r="AE21" s="159">
        <f t="shared" si="63"/>
        <v>1.026120022536791</v>
      </c>
      <c r="AF21" s="159">
        <f t="shared" si="8"/>
        <v>6.4244241570193896</v>
      </c>
      <c r="AG21" s="357">
        <f t="shared" si="9"/>
        <v>4.9948699509727401</v>
      </c>
      <c r="AH21" s="159">
        <f t="shared" si="10"/>
        <v>2.2476914779377326</v>
      </c>
      <c r="AI21" s="159">
        <f t="shared" si="11"/>
        <v>2.7866982707071117</v>
      </c>
      <c r="AJ21" s="357">
        <f t="shared" si="12"/>
        <v>3.2041334034477944</v>
      </c>
      <c r="AK21" s="159">
        <f t="shared" si="13"/>
        <v>4.0936216772102672</v>
      </c>
      <c r="AL21" s="159">
        <f t="shared" si="14"/>
        <v>3.8438781796616297</v>
      </c>
      <c r="AM21" s="159">
        <f t="shared" si="15"/>
        <v>2.2393374802309216</v>
      </c>
      <c r="AN21" s="159">
        <f t="shared" si="16"/>
        <v>1.9920114629132055</v>
      </c>
      <c r="AO21" s="159">
        <f t="shared" si="17"/>
        <v>1.4658857464811301</v>
      </c>
      <c r="AP21" s="159">
        <f t="shared" si="18"/>
        <v>3.2249486422584859</v>
      </c>
      <c r="AQ21" s="159">
        <f t="shared" si="64"/>
        <v>0.73294287324056506</v>
      </c>
      <c r="AR21" s="159">
        <f t="shared" si="19"/>
        <v>15.752354296691697</v>
      </c>
      <c r="AS21" s="159">
        <f t="shared" si="20"/>
        <v>2.265796840898322</v>
      </c>
      <c r="AT21" s="159">
        <f t="shared" si="21"/>
        <v>4.2382974952554484</v>
      </c>
      <c r="AU21" s="159">
        <f t="shared" si="65"/>
        <v>1.132898420449161</v>
      </c>
      <c r="AV21" s="357">
        <f t="shared" si="22"/>
        <v>1.026120022536791</v>
      </c>
      <c r="AW21" s="357">
        <f t="shared" si="23"/>
        <v>2.1716825873794519</v>
      </c>
      <c r="AX21" s="357">
        <f t="shared" si="66"/>
        <v>0.51306001126839551</v>
      </c>
      <c r="AY21" s="357">
        <f t="shared" si="24"/>
        <v>16.686815992258154</v>
      </c>
      <c r="AZ21" s="357">
        <f t="shared" si="25"/>
        <v>4.4095892365175038</v>
      </c>
      <c r="BA21" s="357">
        <f t="shared" si="26"/>
        <v>8.5492927641151955</v>
      </c>
      <c r="BB21" s="357">
        <f t="shared" si="67"/>
        <v>2.2047946182587519</v>
      </c>
      <c r="BC21" s="357">
        <f t="shared" si="27"/>
        <v>1.5798990823185513</v>
      </c>
      <c r="BD21" s="357">
        <f t="shared" si="28"/>
        <v>1.8893638510201232</v>
      </c>
      <c r="BE21" s="357">
        <f t="shared" si="29"/>
        <v>14.701084889179434</v>
      </c>
      <c r="BF21" s="357">
        <f t="shared" si="30"/>
        <v>8.6180445504508327</v>
      </c>
      <c r="BG21" s="357">
        <f t="shared" si="31"/>
        <v>4.2004387588961194</v>
      </c>
      <c r="BH21" s="357">
        <f t="shared" si="32"/>
        <v>2.6331651371975853</v>
      </c>
      <c r="BI21" s="357">
        <f t="shared" si="33"/>
        <v>1.4333105076704384</v>
      </c>
      <c r="BJ21" s="357">
        <f t="shared" si="34"/>
        <v>6.3576768930503569</v>
      </c>
      <c r="BK21" s="357">
        <f t="shared" si="35"/>
        <v>7.1705864534241037</v>
      </c>
      <c r="BL21" s="357">
        <f t="shared" si="36"/>
        <v>0.90631873635932869</v>
      </c>
      <c r="BM21" s="357">
        <f t="shared" si="37"/>
        <v>0.97725716432075338</v>
      </c>
      <c r="BN21" s="357">
        <f t="shared" si="38"/>
        <v>0.36918603985450688</v>
      </c>
      <c r="BO21" s="357">
        <f t="shared" si="39"/>
        <v>5.0894788776387365</v>
      </c>
      <c r="BP21" s="357">
        <f t="shared" si="40"/>
        <v>10.433959518424938</v>
      </c>
      <c r="BQ21" s="357">
        <f t="shared" si="41"/>
        <v>2.3529428732405653</v>
      </c>
      <c r="BR21" s="357">
        <f t="shared" si="42"/>
        <v>1.5418946370394107</v>
      </c>
      <c r="BS21" s="357">
        <f t="shared" si="43"/>
        <v>1.3247263783014656</v>
      </c>
      <c r="BT21" s="357">
        <f t="shared" si="44"/>
        <v>7.59250127647746</v>
      </c>
      <c r="BU21" s="357">
        <f t="shared" si="45"/>
        <v>8.9608407670410823</v>
      </c>
      <c r="BV21" s="357">
        <f t="shared" si="46"/>
        <v>2.1089339826822839</v>
      </c>
      <c r="BW21" s="357">
        <f t="shared" si="47"/>
        <v>1.5418946370394107</v>
      </c>
      <c r="BX21" s="357">
        <f t="shared" si="48"/>
        <v>1.3247263783014656</v>
      </c>
      <c r="BY21" s="357">
        <f t="shared" si="49"/>
        <v>10.529380891114895</v>
      </c>
      <c r="BZ21" s="357">
        <f t="shared" si="50"/>
        <v>7.1891797892615239</v>
      </c>
      <c r="CA21" s="357">
        <f t="shared" si="51"/>
        <v>2.5795225573303973</v>
      </c>
      <c r="CB21" s="357">
        <f t="shared" si="52"/>
        <v>6.7748472928568111</v>
      </c>
      <c r="CC21" s="357">
        <f t="shared" si="53"/>
        <v>8.0404130875376261</v>
      </c>
      <c r="CD21" s="357">
        <f t="shared" si="54"/>
        <v>16.698626483473159</v>
      </c>
      <c r="CE21" s="357">
        <f t="shared" si="68"/>
        <v>8.0404130875376261</v>
      </c>
      <c r="CF21" s="357">
        <f t="shared" si="55"/>
        <v>6.9056156298434965</v>
      </c>
      <c r="CG21" s="357">
        <f t="shared" si="56"/>
        <v>18.840583655306176</v>
      </c>
      <c r="CH21" s="357">
        <f t="shared" si="69"/>
        <v>6.9056156298434965</v>
      </c>
      <c r="CI21" s="357">
        <f t="shared" si="70"/>
        <v>4.1717039980645385</v>
      </c>
    </row>
    <row r="22" spans="1:87" x14ac:dyDescent="0.25">
      <c r="A22" t="str">
        <f>PLANTILLA!D23</f>
        <v>P .Trivadi</v>
      </c>
      <c r="B22" t="s">
        <v>854</v>
      </c>
      <c r="C22" s="632">
        <f>PLANTILLA!E23</f>
        <v>28</v>
      </c>
      <c r="D22" s="632">
        <f ca="1">PLANTILLA!F23</f>
        <v>0</v>
      </c>
      <c r="E22" s="632"/>
      <c r="F22" s="290">
        <v>41973</v>
      </c>
      <c r="G22" s="496">
        <v>1.5</v>
      </c>
      <c r="H22" s="497">
        <f>PLANTILLA!I23</f>
        <v>5.6</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19.299597386244933</v>
      </c>
      <c r="S22" s="163">
        <f t="shared" si="59"/>
        <v>0.82622500000000021</v>
      </c>
      <c r="T22" s="163">
        <f t="shared" si="60"/>
        <v>0.56779999999999997</v>
      </c>
      <c r="U22" s="163">
        <f t="shared" ca="1" si="0"/>
        <v>15.564250702674935</v>
      </c>
      <c r="V22" s="159">
        <f t="shared" si="1"/>
        <v>3.2899108634352174</v>
      </c>
      <c r="W22" s="159">
        <f t="shared" si="2"/>
        <v>4.9328809904866731</v>
      </c>
      <c r="X22" s="159">
        <f t="shared" si="61"/>
        <v>3.2899108634352174</v>
      </c>
      <c r="Y22" s="159">
        <f t="shared" si="3"/>
        <v>3.3630733625802658</v>
      </c>
      <c r="Z22" s="159">
        <f t="shared" si="4"/>
        <v>6.5175840360082669</v>
      </c>
      <c r="AA22" s="159">
        <f t="shared" si="62"/>
        <v>1.6815366812901329</v>
      </c>
      <c r="AB22" s="159">
        <f t="shared" si="5"/>
        <v>1.9210065894588559</v>
      </c>
      <c r="AC22" s="159">
        <f t="shared" si="6"/>
        <v>2.4636467656111249</v>
      </c>
      <c r="AD22" s="159">
        <f t="shared" si="7"/>
        <v>4.7122132580339766</v>
      </c>
      <c r="AE22" s="159">
        <f t="shared" si="63"/>
        <v>1.2318233828055625</v>
      </c>
      <c r="AF22" s="159">
        <f t="shared" si="8"/>
        <v>3.1075106594187378</v>
      </c>
      <c r="AG22" s="357">
        <f t="shared" si="9"/>
        <v>5.9961773131276059</v>
      </c>
      <c r="AH22" s="159">
        <f t="shared" si="10"/>
        <v>2.6982797909074225</v>
      </c>
      <c r="AI22" s="159">
        <f t="shared" si="11"/>
        <v>1.3479331951244915</v>
      </c>
      <c r="AJ22" s="357">
        <f t="shared" si="12"/>
        <v>4.7084594131728599</v>
      </c>
      <c r="AK22" s="159">
        <f t="shared" si="13"/>
        <v>4.9142583631502337</v>
      </c>
      <c r="AL22" s="159">
        <f t="shared" si="14"/>
        <v>4.6144494974938528</v>
      </c>
      <c r="AM22" s="159">
        <f t="shared" si="15"/>
        <v>2.6827298673467146</v>
      </c>
      <c r="AN22" s="159">
        <f t="shared" si="16"/>
        <v>1.7496242023703807</v>
      </c>
      <c r="AO22" s="159">
        <f t="shared" si="17"/>
        <v>1.7597476897222322</v>
      </c>
      <c r="AP22" s="159">
        <f t="shared" si="18"/>
        <v>3.8714449173889105</v>
      </c>
      <c r="AQ22" s="159">
        <f t="shared" si="64"/>
        <v>0.87987384486111608</v>
      </c>
      <c r="AR22" s="159">
        <f t="shared" si="19"/>
        <v>7.6194547077695791</v>
      </c>
      <c r="AS22" s="159">
        <f t="shared" si="20"/>
        <v>1.7286859246810746</v>
      </c>
      <c r="AT22" s="159">
        <f t="shared" si="21"/>
        <v>3.4783106225504219</v>
      </c>
      <c r="AU22" s="159">
        <f t="shared" si="65"/>
        <v>0.86434296234053731</v>
      </c>
      <c r="AV22" s="357">
        <f t="shared" si="22"/>
        <v>1.2318233828055625</v>
      </c>
      <c r="AW22" s="357">
        <f t="shared" si="23"/>
        <v>2.6070336144033068</v>
      </c>
      <c r="AX22" s="357">
        <f t="shared" si="66"/>
        <v>0.61591169140278124</v>
      </c>
      <c r="AY22" s="357">
        <f t="shared" si="24"/>
        <v>8.0714562582304872</v>
      </c>
      <c r="AZ22" s="357">
        <f t="shared" si="25"/>
        <v>3.3642887611100911</v>
      </c>
      <c r="BA22" s="357">
        <f t="shared" si="26"/>
        <v>6.8197138038405551</v>
      </c>
      <c r="BB22" s="357">
        <f t="shared" si="67"/>
        <v>1.6821443805550456</v>
      </c>
      <c r="BC22" s="357">
        <f t="shared" si="27"/>
        <v>1.8966169544784055</v>
      </c>
      <c r="BD22" s="357">
        <f t="shared" si="28"/>
        <v>2.2681192445308769</v>
      </c>
      <c r="BE22" s="357">
        <f t="shared" si="29"/>
        <v>7.1109529635010595</v>
      </c>
      <c r="BF22" s="357">
        <f t="shared" si="30"/>
        <v>8.7850922080113492</v>
      </c>
      <c r="BG22" s="357">
        <f t="shared" si="31"/>
        <v>3.204717752677992</v>
      </c>
      <c r="BH22" s="357">
        <f t="shared" si="32"/>
        <v>3.1610282574640092</v>
      </c>
      <c r="BI22" s="357">
        <f t="shared" si="33"/>
        <v>1.7206421855061826</v>
      </c>
      <c r="BJ22" s="357">
        <f t="shared" si="34"/>
        <v>3.0752248343858155</v>
      </c>
      <c r="BK22" s="357">
        <f t="shared" si="35"/>
        <v>8.0619184474712249</v>
      </c>
      <c r="BL22" s="357">
        <f t="shared" si="36"/>
        <v>0.69147436987242972</v>
      </c>
      <c r="BM22" s="357">
        <f t="shared" si="37"/>
        <v>1.173165126481488</v>
      </c>
      <c r="BN22" s="357">
        <f t="shared" si="38"/>
        <v>0.44319571444856221</v>
      </c>
      <c r="BO22" s="357">
        <f t="shared" si="39"/>
        <v>2.4617941587602985</v>
      </c>
      <c r="BP22" s="357">
        <f t="shared" si="40"/>
        <v>11.81069307030663</v>
      </c>
      <c r="BQ22" s="357">
        <f t="shared" si="41"/>
        <v>1.7951738448611159</v>
      </c>
      <c r="BR22" s="357">
        <f t="shared" si="42"/>
        <v>1.8509938662263477</v>
      </c>
      <c r="BS22" s="357">
        <f t="shared" si="43"/>
        <v>1.590290504786017</v>
      </c>
      <c r="BT22" s="357">
        <f t="shared" si="44"/>
        <v>3.6725125974948716</v>
      </c>
      <c r="BU22" s="357">
        <f t="shared" si="45"/>
        <v>10.163163111897159</v>
      </c>
      <c r="BV22" s="357">
        <f t="shared" si="46"/>
        <v>1.609007668357</v>
      </c>
      <c r="BW22" s="357">
        <f t="shared" si="47"/>
        <v>1.8509938662263477</v>
      </c>
      <c r="BX22" s="357">
        <f t="shared" si="48"/>
        <v>1.590290504786017</v>
      </c>
      <c r="BY22" s="357">
        <f t="shared" si="49"/>
        <v>5.0930888989434377</v>
      </c>
      <c r="BZ22" s="357">
        <f t="shared" si="50"/>
        <v>8.1877577122273983</v>
      </c>
      <c r="CA22" s="357">
        <f t="shared" si="51"/>
        <v>1.9680424373292231</v>
      </c>
      <c r="CB22" s="357">
        <f t="shared" si="52"/>
        <v>3.2770112408415781</v>
      </c>
      <c r="CC22" s="357">
        <f t="shared" si="53"/>
        <v>5.8595127827603068</v>
      </c>
      <c r="CD22" s="357">
        <f t="shared" si="54"/>
        <v>13.564843124545309</v>
      </c>
      <c r="CE22" s="357">
        <f t="shared" si="68"/>
        <v>5.8595127827603068</v>
      </c>
      <c r="CF22" s="357">
        <f t="shared" si="55"/>
        <v>6.3572748544331494</v>
      </c>
      <c r="CG22" s="357">
        <f t="shared" si="56"/>
        <v>15.788892545295317</v>
      </c>
      <c r="CH22" s="357">
        <f t="shared" si="69"/>
        <v>6.3572748544331494</v>
      </c>
      <c r="CI22" s="357">
        <f t="shared" si="70"/>
        <v>2.0178640645576218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2018-03-28T14:59:25Z</dcterms:modified>
</cp:coreProperties>
</file>