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Duffill" sheetId="19" r:id="rId15"/>
    <sheet name="Añigas" sheetId="21" r:id="rId16"/>
    <sheet name="Calculador de Sueldo" sheetId="2" r:id="rId17"/>
    <sheet name="Empleados" sheetId="4" r:id="rId18"/>
  </sheets>
  <calcPr calcId="152511"/>
</workbook>
</file>

<file path=xl/calcChain.xml><?xml version="1.0" encoding="utf-8"?>
<calcChain xmlns="http://schemas.openxmlformats.org/spreadsheetml/2006/main">
  <c r="AC23" i="1" l="1"/>
  <c r="AC22" i="1"/>
  <c r="AC21" i="1"/>
  <c r="AC17" i="1"/>
  <c r="AC16" i="1"/>
  <c r="AC15" i="1"/>
  <c r="AC14" i="1"/>
  <c r="AC20" i="1"/>
  <c r="AC19" i="1"/>
  <c r="AC18" i="1"/>
  <c r="AC5" i="1"/>
  <c r="AC6" i="1"/>
  <c r="AC10" i="1"/>
  <c r="AC9" i="1"/>
  <c r="AC11" i="1"/>
  <c r="AC13" i="1"/>
  <c r="AC8" i="1"/>
  <c r="AC7" i="1"/>
  <c r="AC12" i="1"/>
  <c r="AC4" i="1"/>
  <c r="I1" i="19" l="1"/>
  <c r="I1" i="17"/>
  <c r="AB23" i="1" l="1"/>
  <c r="AB21" i="1"/>
  <c r="AB17" i="1"/>
  <c r="AB14" i="1"/>
  <c r="AB20" i="1"/>
  <c r="AB19" i="1"/>
  <c r="AB5" i="1"/>
  <c r="AB9" i="1"/>
  <c r="AB11" i="1"/>
  <c r="AB13" i="1"/>
  <c r="AB8" i="1"/>
  <c r="AB7" i="1"/>
  <c r="AB4" i="1"/>
  <c r="N11" i="1" l="1"/>
  <c r="AI11" i="1" s="1"/>
  <c r="AR11" i="1"/>
  <c r="U11" i="1"/>
  <c r="W11" i="1"/>
  <c r="R11" i="1"/>
  <c r="S11" i="1"/>
  <c r="P11" i="1"/>
  <c r="J11" i="1"/>
  <c r="K11" i="1"/>
  <c r="L11" i="1"/>
  <c r="AM11" i="1" l="1"/>
  <c r="AL11" i="1"/>
  <c r="AK11" i="1"/>
  <c r="AN11" i="1"/>
  <c r="AH11" i="1"/>
  <c r="AG11" i="1"/>
  <c r="AJ11" i="1"/>
  <c r="A11" i="10" l="1"/>
  <c r="B11" i="10"/>
  <c r="D11" i="10"/>
  <c r="E11" i="10"/>
  <c r="G11" i="10"/>
  <c r="H11" i="10"/>
  <c r="I11" i="10"/>
  <c r="L11" i="10" s="1"/>
  <c r="J11" i="10"/>
  <c r="M11" i="10"/>
  <c r="N11" i="10"/>
  <c r="O11" i="10"/>
  <c r="P11" i="10"/>
  <c r="Q11" i="10"/>
  <c r="AH11" i="10" s="1"/>
  <c r="R11" i="10"/>
  <c r="S11" i="10"/>
  <c r="Y11" i="10"/>
  <c r="AD11" i="10"/>
  <c r="AE11" i="10"/>
  <c r="AF11" i="10"/>
  <c r="AG11" i="10"/>
  <c r="AI11" i="10"/>
  <c r="AJ11" i="10"/>
  <c r="U12" i="1"/>
  <c r="AR12" i="1"/>
  <c r="W12" i="1"/>
  <c r="R12" i="1"/>
  <c r="S12" i="1"/>
  <c r="P12" i="1"/>
  <c r="N12" i="1"/>
  <c r="AI12" i="1" s="1"/>
  <c r="J12" i="1"/>
  <c r="K12" i="1"/>
  <c r="L12" i="1"/>
  <c r="AC11" i="10" l="1"/>
  <c r="K11" i="10"/>
  <c r="AM12" i="1"/>
  <c r="AL12" i="1"/>
  <c r="AK12" i="1"/>
  <c r="AN12" i="1"/>
  <c r="AH12" i="1"/>
  <c r="AG12" i="1"/>
  <c r="AJ12" i="1"/>
  <c r="U17" i="1" l="1"/>
  <c r="AR17" i="1"/>
  <c r="W17" i="1"/>
  <c r="R17" i="1"/>
  <c r="S17" i="1"/>
  <c r="P17" i="1"/>
  <c r="AI17" i="1"/>
  <c r="J17" i="1"/>
  <c r="K17" i="1"/>
  <c r="L17" i="1"/>
  <c r="AM17" i="1" l="1"/>
  <c r="AL17" i="1"/>
  <c r="AK17" i="1"/>
  <c r="AN17" i="1"/>
  <c r="AH17" i="1"/>
  <c r="AG17" i="1"/>
  <c r="AJ17" i="1"/>
  <c r="C1" i="20"/>
  <c r="C1" i="19"/>
  <c r="C1" i="18"/>
  <c r="C1" i="17"/>
  <c r="I1" i="15"/>
  <c r="C1" i="16"/>
  <c r="E20" i="10" l="1"/>
  <c r="H20" i="10"/>
  <c r="I20" i="10"/>
  <c r="L20" i="10" s="1"/>
  <c r="J20" i="10"/>
  <c r="M20" i="10"/>
  <c r="N20" i="10"/>
  <c r="AE20" i="10" s="1"/>
  <c r="O20" i="10"/>
  <c r="AF20" i="10" s="1"/>
  <c r="P20" i="10"/>
  <c r="R20" i="10"/>
  <c r="S20" i="10"/>
  <c r="AJ20" i="10" s="1"/>
  <c r="AD20" i="10"/>
  <c r="E21" i="10"/>
  <c r="H21" i="10"/>
  <c r="I21" i="10"/>
  <c r="J21" i="10"/>
  <c r="M21" i="10"/>
  <c r="AD21" i="10" s="1"/>
  <c r="N21" i="10"/>
  <c r="AE21" i="10" s="1"/>
  <c r="O21" i="10"/>
  <c r="AF21" i="10" s="1"/>
  <c r="P21" i="10"/>
  <c r="R21" i="10"/>
  <c r="S21" i="10"/>
  <c r="AJ21" i="10" s="1"/>
  <c r="K20" i="10" l="1"/>
  <c r="L21" i="10"/>
  <c r="K21" i="10"/>
  <c r="AC21" i="10"/>
  <c r="AC20" i="10"/>
  <c r="AR23" i="1" l="1"/>
  <c r="Q21" i="10"/>
  <c r="AH21" i="10" s="1"/>
  <c r="W23" i="1"/>
  <c r="U23" i="1"/>
  <c r="S23" i="1"/>
  <c r="R23" i="1"/>
  <c r="P23" i="1"/>
  <c r="N23" i="1"/>
  <c r="AK23" i="1" s="1"/>
  <c r="L23" i="1"/>
  <c r="K23" i="1"/>
  <c r="J23" i="1"/>
  <c r="AR22" i="1"/>
  <c r="Q20" i="10"/>
  <c r="AH20" i="10" s="1"/>
  <c r="W22" i="1"/>
  <c r="U22" i="1"/>
  <c r="S22" i="1"/>
  <c r="R22" i="1"/>
  <c r="P22" i="1"/>
  <c r="N22" i="1"/>
  <c r="AI22" i="1" s="1"/>
  <c r="L22" i="1"/>
  <c r="K22" i="1"/>
  <c r="J22" i="1"/>
  <c r="AR21" i="1"/>
  <c r="W21" i="1"/>
  <c r="U21" i="1"/>
  <c r="S21" i="1"/>
  <c r="R21" i="1"/>
  <c r="P21" i="1"/>
  <c r="N21" i="1"/>
  <c r="L21" i="1"/>
  <c r="K21" i="1"/>
  <c r="J21" i="1"/>
  <c r="AR20" i="1"/>
  <c r="W20" i="1"/>
  <c r="U20" i="1"/>
  <c r="S20" i="1"/>
  <c r="R20" i="1"/>
  <c r="P20" i="1"/>
  <c r="N20" i="1"/>
  <c r="AI20" i="1" s="1"/>
  <c r="L20" i="1"/>
  <c r="K20" i="1"/>
  <c r="J20" i="1"/>
  <c r="AR19" i="1"/>
  <c r="W19" i="1"/>
  <c r="U19" i="1"/>
  <c r="S19" i="1"/>
  <c r="R19" i="1"/>
  <c r="P19" i="1"/>
  <c r="N19" i="1"/>
  <c r="AK19" i="1" s="1"/>
  <c r="L19" i="1"/>
  <c r="K19" i="1"/>
  <c r="J19" i="1"/>
  <c r="AR18" i="1"/>
  <c r="AN18" i="1"/>
  <c r="AM18" i="1"/>
  <c r="AL18" i="1"/>
  <c r="AJ18" i="1"/>
  <c r="AI18" i="1"/>
  <c r="AH18" i="1"/>
  <c r="AG18" i="1"/>
  <c r="AK18" i="1"/>
  <c r="W18" i="1"/>
  <c r="U18" i="1"/>
  <c r="S18" i="1"/>
  <c r="R18" i="1"/>
  <c r="P18" i="1"/>
  <c r="L18" i="1"/>
  <c r="K18" i="1"/>
  <c r="J18" i="1"/>
  <c r="AR16" i="1"/>
  <c r="AB16" i="1"/>
  <c r="W16" i="1"/>
  <c r="U16" i="1"/>
  <c r="S16" i="1"/>
  <c r="R16" i="1"/>
  <c r="P16" i="1"/>
  <c r="N16" i="1"/>
  <c r="AI16" i="1" s="1"/>
  <c r="L16" i="1"/>
  <c r="K16" i="1"/>
  <c r="J16" i="1"/>
  <c r="AR15" i="1"/>
  <c r="W15" i="1"/>
  <c r="U15" i="1"/>
  <c r="S15" i="1"/>
  <c r="R15" i="1"/>
  <c r="P15" i="1"/>
  <c r="N15" i="1"/>
  <c r="AK15" i="1" s="1"/>
  <c r="L15" i="1"/>
  <c r="K15" i="1"/>
  <c r="J15" i="1"/>
  <c r="AR14" i="1"/>
  <c r="W14" i="1"/>
  <c r="U14" i="1"/>
  <c r="S14" i="1"/>
  <c r="R14" i="1"/>
  <c r="P14" i="1"/>
  <c r="N14" i="1"/>
  <c r="AI14" i="1" s="1"/>
  <c r="L14" i="1"/>
  <c r="K14" i="1"/>
  <c r="J14" i="1"/>
  <c r="AR13" i="1"/>
  <c r="W13" i="1"/>
  <c r="U13" i="1"/>
  <c r="S13" i="1"/>
  <c r="R13" i="1"/>
  <c r="P13" i="1"/>
  <c r="N13" i="1"/>
  <c r="AK13" i="1" s="1"/>
  <c r="L13" i="1"/>
  <c r="K13" i="1"/>
  <c r="J13" i="1"/>
  <c r="AR10" i="1"/>
  <c r="W10" i="1"/>
  <c r="U10" i="1"/>
  <c r="S10" i="1"/>
  <c r="R10" i="1"/>
  <c r="P10" i="1"/>
  <c r="N10" i="1"/>
  <c r="AL10" i="1" s="1"/>
  <c r="L10" i="1"/>
  <c r="K10" i="1"/>
  <c r="J10" i="1"/>
  <c r="AR9" i="1"/>
  <c r="W9" i="1"/>
  <c r="U9" i="1"/>
  <c r="S9" i="1"/>
  <c r="R9" i="1"/>
  <c r="P9" i="1"/>
  <c r="N9" i="1"/>
  <c r="AI9" i="1" s="1"/>
  <c r="L9" i="1"/>
  <c r="K9" i="1"/>
  <c r="J9" i="1"/>
  <c r="AR8" i="1"/>
  <c r="W8" i="1"/>
  <c r="U8" i="1"/>
  <c r="S8" i="1"/>
  <c r="R8" i="1"/>
  <c r="P8" i="1"/>
  <c r="N8" i="1"/>
  <c r="L8" i="1"/>
  <c r="K8" i="1"/>
  <c r="J8" i="1"/>
  <c r="AR7" i="1"/>
  <c r="W7" i="1"/>
  <c r="U7" i="1"/>
  <c r="S7" i="1"/>
  <c r="R7" i="1"/>
  <c r="P7" i="1"/>
  <c r="N7" i="1"/>
  <c r="L7" i="1"/>
  <c r="K7" i="1"/>
  <c r="J7" i="1"/>
  <c r="AR6" i="1"/>
  <c r="AN6" i="1"/>
  <c r="AM6" i="1"/>
  <c r="AL6" i="1"/>
  <c r="AK6" i="1"/>
  <c r="AJ6" i="1"/>
  <c r="AI6" i="1"/>
  <c r="AH6" i="1"/>
  <c r="AG6" i="1"/>
  <c r="W6" i="1"/>
  <c r="U6" i="1"/>
  <c r="S6" i="1"/>
  <c r="R6" i="1"/>
  <c r="P6" i="1"/>
  <c r="L6" i="1"/>
  <c r="K6" i="1"/>
  <c r="J6" i="1"/>
  <c r="AR5" i="1"/>
  <c r="W5" i="1"/>
  <c r="U5" i="1"/>
  <c r="S5" i="1"/>
  <c r="R5" i="1"/>
  <c r="P5" i="1"/>
  <c r="N5" i="1"/>
  <c r="AI5" i="1" s="1"/>
  <c r="L5" i="1"/>
  <c r="K5" i="1"/>
  <c r="J5" i="1"/>
  <c r="AR4" i="1"/>
  <c r="W4" i="1"/>
  <c r="U4" i="1"/>
  <c r="S4" i="1"/>
  <c r="R4" i="1"/>
  <c r="P4" i="1"/>
  <c r="N4" i="1"/>
  <c r="AK4" i="1" s="1"/>
  <c r="L4" i="1"/>
  <c r="K4" i="1"/>
  <c r="J4" i="1"/>
  <c r="AR24" i="1"/>
  <c r="AK21" i="1" l="1"/>
  <c r="AK8" i="1"/>
  <c r="AM10" i="1"/>
  <c r="AM14" i="1"/>
  <c r="AM16" i="1"/>
  <c r="AM19" i="1"/>
  <c r="AM23" i="1"/>
  <c r="AM7" i="1"/>
  <c r="AN9" i="1"/>
  <c r="AL23" i="1"/>
  <c r="AJ9" i="1"/>
  <c r="AN13" i="1"/>
  <c r="AM5" i="1"/>
  <c r="AJ10" i="1"/>
  <c r="AH13" i="1"/>
  <c r="AL19" i="1"/>
  <c r="AM20" i="1"/>
  <c r="AN22" i="1"/>
  <c r="AN5" i="1"/>
  <c r="AM9" i="1"/>
  <c r="AJ13" i="1"/>
  <c r="AN20" i="1"/>
  <c r="AM21" i="1"/>
  <c r="AM22" i="1"/>
  <c r="AL4" i="1"/>
  <c r="AN15" i="1"/>
  <c r="AL21" i="1"/>
  <c r="AN4" i="1"/>
  <c r="AH14" i="1"/>
  <c r="AH16" i="1"/>
  <c r="AH21" i="1"/>
  <c r="AH23" i="1"/>
  <c r="AN23" i="1"/>
  <c r="AH4" i="1"/>
  <c r="AL7" i="1"/>
  <c r="AK10" i="1"/>
  <c r="AH10" i="1"/>
  <c r="AN10" i="1"/>
  <c r="AJ14" i="1"/>
  <c r="AJ15" i="1"/>
  <c r="AJ16" i="1"/>
  <c r="AI19" i="1"/>
  <c r="AH20" i="1"/>
  <c r="AI21" i="1"/>
  <c r="AH22" i="1"/>
  <c r="AI23" i="1"/>
  <c r="AH15" i="1"/>
  <c r="AI15" i="1"/>
  <c r="AH19" i="1"/>
  <c r="AN19" i="1"/>
  <c r="AN21" i="1"/>
  <c r="AH5" i="1"/>
  <c r="AI7" i="1"/>
  <c r="AJ4" i="1"/>
  <c r="AJ5" i="1"/>
  <c r="AH9" i="1"/>
  <c r="AI10" i="1"/>
  <c r="AL13" i="1"/>
  <c r="AN14" i="1"/>
  <c r="AM15" i="1"/>
  <c r="AL15" i="1"/>
  <c r="AN16" i="1"/>
  <c r="AJ19" i="1"/>
  <c r="AJ20" i="1"/>
  <c r="AJ21" i="1"/>
  <c r="AJ22" i="1"/>
  <c r="AJ23" i="1"/>
  <c r="AL8" i="1"/>
  <c r="AI4" i="1"/>
  <c r="AM4" i="1"/>
  <c r="AG5" i="1"/>
  <c r="AK5" i="1"/>
  <c r="AJ7" i="1"/>
  <c r="AN7" i="1"/>
  <c r="AI8" i="1"/>
  <c r="AM8" i="1"/>
  <c r="AG9" i="1"/>
  <c r="AK9" i="1"/>
  <c r="AI13" i="1"/>
  <c r="AM13" i="1"/>
  <c r="AG14" i="1"/>
  <c r="AK14" i="1"/>
  <c r="AG16" i="1"/>
  <c r="AK16" i="1"/>
  <c r="AG20" i="1"/>
  <c r="AK20" i="1"/>
  <c r="AG22" i="1"/>
  <c r="AK22" i="1"/>
  <c r="AH8" i="1"/>
  <c r="AL5" i="1"/>
  <c r="AG7" i="1"/>
  <c r="AK7" i="1"/>
  <c r="AJ8" i="1"/>
  <c r="AN8" i="1"/>
  <c r="AL9" i="1"/>
  <c r="AL14" i="1"/>
  <c r="AL16" i="1"/>
  <c r="AL20" i="1"/>
  <c r="AL22" i="1"/>
  <c r="AG4" i="1"/>
  <c r="AH7" i="1"/>
  <c r="AG8" i="1"/>
  <c r="AG10" i="1"/>
  <c r="AG13" i="1"/>
  <c r="AG15" i="1"/>
  <c r="AG19" i="1"/>
  <c r="AG21" i="1"/>
  <c r="AG23"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3" i="1" s="1"/>
  <c r="F21" i="1" l="1"/>
  <c r="C21" i="1" s="1"/>
  <c r="C19" i="10" s="1"/>
  <c r="F23" i="1"/>
  <c r="F19" i="1"/>
  <c r="C19" i="1" s="1"/>
  <c r="F16" i="1"/>
  <c r="C16" i="1" s="1"/>
  <c r="F5" i="1"/>
  <c r="C5" i="1" s="1"/>
  <c r="F18" i="1"/>
  <c r="C18" i="1" s="1"/>
  <c r="F20" i="1"/>
  <c r="C20" i="1" s="1"/>
  <c r="F10" i="1"/>
  <c r="C10" i="1" s="1"/>
  <c r="F7" i="1"/>
  <c r="C7" i="1" s="1"/>
  <c r="F11" i="1"/>
  <c r="C11" i="1" s="1"/>
  <c r="F8" i="1"/>
  <c r="C8" i="1" s="1"/>
  <c r="F12" i="1"/>
  <c r="F15" i="1"/>
  <c r="C15" i="1" s="1"/>
  <c r="F17" i="1"/>
  <c r="C17" i="1" s="1"/>
  <c r="F22" i="1"/>
  <c r="F9" i="1"/>
  <c r="C9" i="1" s="1"/>
  <c r="F14" i="1"/>
  <c r="C14" i="1" s="1"/>
  <c r="F6" i="1"/>
  <c r="C6" i="1" s="1"/>
  <c r="C13" i="1"/>
  <c r="F4" i="1"/>
  <c r="C4" i="1" s="1"/>
  <c r="C12" i="1" l="1"/>
  <c r="C11" i="10" s="1"/>
  <c r="F11" i="10"/>
  <c r="C22" i="1"/>
  <c r="C20" i="10" s="1"/>
  <c r="F20" i="10"/>
  <c r="C23" i="1"/>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6" i="10"/>
  <c r="C5" i="3"/>
  <c r="C12" i="10"/>
  <c r="C4" i="10"/>
  <c r="C18" i="10"/>
  <c r="C8" i="10"/>
  <c r="C10" i="10"/>
  <c r="C16" i="10"/>
  <c r="C13" i="10"/>
  <c r="C5" i="10"/>
  <c r="C9" i="10"/>
  <c r="C7" i="10"/>
  <c r="C15" i="10"/>
  <c r="C14" i="10"/>
  <c r="C17" i="10"/>
  <c r="C21"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<sst xmlns="http://schemas.openxmlformats.org/spreadsheetml/2006/main" count="1734" uniqueCount="719">
  <si>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</si>
  <si>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</si>
  <si>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</si>
  <si>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</si>
  <si>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</si>
  <si>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</si>
  <si>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</si>
  <si>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</si>
  <si>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</si>
  <si>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</si>
  <si>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</si>
  <si>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</si>
  <si>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</si>
  <si>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</si>
  <si>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</si>
  <si>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</si>
  <si>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</si>
  <si>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</si>
  <si>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</si>
  <si>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</si>
  <si>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</si>
  <si>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</si>
  <si>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</si>
  <si>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</si>
  <si>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</si>
  <si>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</si>
  <si>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</si>
  <si>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</si>
  <si>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</si>
  <si>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</si>
  <si>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</si>
  <si>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</si>
  <si>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</si>
  <si>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</si>
  <si>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</si>
  <si>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</si>
  <si>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</si>
  <si>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</si>
  <si>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</si>
  <si>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</si>
  <si>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</si>
  <si>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</si>
  <si>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</si>
  <si>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</si>
  <si>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</si>
  <si>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</si>
  <si>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</si>
  <si>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</si>
  <si>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</si>
  <si>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</si>
  <si>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</si>
  <si>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</si>
  <si>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</si>
  <si>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</si>
  <si>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</si>
  <si>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</si>
  <si>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</si>
  <si>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</si>
  <si>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</si>
  <si>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</si>
  <si>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</si>
  <si>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</si>
  <si>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</si>
  <si>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</si>
  <si>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</si>
  <si>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</si>
  <si>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</si>
  <si>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</si>
  <si>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</si>
  <si>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</si>
  <si>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</si>
  <si>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</si>
  <si>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</si>
  <si>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</si>
  <si>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</si>
  <si>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</si>
  <si>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</si>
  <si>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</si>
  <si>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</si>
  <si>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</si>
  <si>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</si>
  <si>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</si>
  <si>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</si>
  <si>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</si>
  <si>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</si>
  <si>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</si>
  <si>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</si>
  <si>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</si>
  <si>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</si>
  <si>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</si>
  <si>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</si>
  <si>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</si>
  <si>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</si>
  <si>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</si>
  <si>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</si>
  <si>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</si>
  <si>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</si>
  <si>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</si>
  <si>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</si>
  <si>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</si>
  <si>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</si>
  <si>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</si>
  <si>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</si>
  <si>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</si>
  <si>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</si>
  <si>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</si>
  <si>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</si>
  <si>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</si>
  <si>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</si>
  <si>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</si>
  <si>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</si>
  <si>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</si>
  <si>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</si>
  <si>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</si>
  <si>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</si>
  <si>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</si>
  <si>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</si>
  <si>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</si>
  <si>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</si>
  <si>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</si>
  <si>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</si>
  <si>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</si>
  <si>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</si>
  <si>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</si>
  <si>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</si>
  <si>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</si>
  <si>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</si>
  <si>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</si>
  <si>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</si>
  <si>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</si>
  <si>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</si>
  <si>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</si>
  <si>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</si>
  <si>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</si>
  <si>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</si>
  <si>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</si>
  <si>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</si>
  <si>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</si>
  <si>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</si>
  <si>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</si>
  <si>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</si>
  <si>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</si>
  <si>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</si>
  <si>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</si>
  <si>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</si>
  <si>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</si>
  <si>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</si>
  <si>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</si>
  <si>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</si>
  <si>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</si>
  <si>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</si>
  <si>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</si>
  <si>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</si>
  <si>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</si>
  <si>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</si>
  <si>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</si>
  <si>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</si>
  <si>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</si>
  <si>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</si>
  <si>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</si>
  <si>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</si>
  <si>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</si>
  <si>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</si>
  <si>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</si>
  <si>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</si>
  <si>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</si>
  <si>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</si>
  <si>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</si>
  <si>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</si>
  <si>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</si>
  <si>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</si>
  <si>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</si>
  <si>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</si>
  <si>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</si>
  <si>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</si>
  <si>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</si>
  <si>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</si>
  <si>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</si>
  <si>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</si>
  <si>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</si>
  <si>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</si>
  <si>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</si>
  <si>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</si>
  <si>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</si>
  <si>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</si>
  <si>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</si>
  <si>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</si>
  <si>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</si>
  <si>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</si>
  <si>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</si>
  <si>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</si>
  <si>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</si>
  <si>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</si>
  <si>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</si>
  <si>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</si>
  <si>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</si>
  <si>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</si>
  <si>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</si>
  <si>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</si>
  <si>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</si>
  <si>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</si>
  <si>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</si>
  <si>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</si>
  <si>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</si>
  <si>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</si>
  <si>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</si>
  <si>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</si>
  <si>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</si>
  <si>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</si>
  <si>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</si>
  <si>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</si>
  <si>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</si>
  <si>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</si>
  <si>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</si>
  <si>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</si>
  <si>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</si>
  <si>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</si>
  <si>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</si>
  <si>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</si>
  <si>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</si>
  <si>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</si>
  <si>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</si>
  <si>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</si>
  <si>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</si>
  <si>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</si>
  <si>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</si>
  <si>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</si>
  <si>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</si>
  <si>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</si>
  <si>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</si>
  <si>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</si>
  <si>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</si>
  <si>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</si>
  <si>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</si>
  <si>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</si>
  <si>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</si>
  <si>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</si>
  <si>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</si>
  <si>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</si>
  <si>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</si>
  <si>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</si>
  <si>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</si>
  <si>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</si>
  <si>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</si>
  <si>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</si>
  <si>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</si>
  <si>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</si>
  <si>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</si>
  <si>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</si>
  <si>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</si>
  <si>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</si>
  <si>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</si>
  <si>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</si>
  <si>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</si>
  <si>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</si>
  <si>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</si>
  <si>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</si>
  <si>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</si>
  <si>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</si>
  <si>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</si>
  <si>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</si>
  <si>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</si>
  <si>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</si>
  <si>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</si>
  <si>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</si>
  <si>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</si>
  <si>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</si>
  <si>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</si>
  <si>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</si>
  <si>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</si>
  <si>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</si>
  <si>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</si>
  <si>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</si>
  <si>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</si>
  <si>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</si>
  <si>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</si>
  <si>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</si>
  <si>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</si>
  <si>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</si>
  <si>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</si>
  <si>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</si>
  <si>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</si>
  <si>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</si>
  <si>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</si>
  <si>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</si>
  <si>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</si>
  <si>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</si>
  <si>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</si>
  <si>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</si>
  <si>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</si>
  <si>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</si>
  <si>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</si>
  <si>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</si>
  <si>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</si>
  <si>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</si>
  <si>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</si>
  <si>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</si>
  <si>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</si>
  <si>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</si>
  <si>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</si>
  <si>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</si>
  <si>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</si>
  <si>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</si>
  <si>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</si>
  <si>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</si>
  <si>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</si>
  <si>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</si>
  <si>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</si>
  <si>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</si>
  <si>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</si>
  <si>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</si>
  <si>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</si>
  <si>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</si>
  <si>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</si>
  <si>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</si>
  <si>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</si>
  <si>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</si>
  <si>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</si>
  <si>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</si>
  <si>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</si>
  <si>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</si>
  <si>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</si>
  <si>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</si>
  <si>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</si>
  <si>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</si>
  <si>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</si>
  <si>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</si>
  <si>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</si>
  <si>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</si>
  <si>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</si>
  <si>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</si>
  <si>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</si>
  <si>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</si>
  <si>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</si>
  <si>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</si>
  <si>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</si>
  <si>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</si>
  <si>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</si>
  <si>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</si>
  <si>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</si>
  <si>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</si>
  <si>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</si>
  <si>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</si>
  <si>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</si>
  <si>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</si>
  <si>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</si>
  <si>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</si>
  <si>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</si>
  <si>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</si>
  <si>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</si>
  <si>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</si>
  <si>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</si>
  <si>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</si>
  <si>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</si>
  <si>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</si>
  <si>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</si>
  <si>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</si>
  <si>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</si>
  <si>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</si>
  <si>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</si>
  <si>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</si>
  <si>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</si>
  <si>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</si>
  <si>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</si>
  <si>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</si>
  <si>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</si>
  <si>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</si>
  <si>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</si>
  <si>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</si>
  <si>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</si>
  <si>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</si>
  <si>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</si>
  <si>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</si>
  <si>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</si>
  <si>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</si>
  <si>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</si>
  <si>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</si>
  <si>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</si>
  <si>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</si>
  <si>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</si>
  <si>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</si>
  <si>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</si>
  <si>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</si>
  <si>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</si>
  <si>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</si>
  <si>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</si>
  <si>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</si>
  <si>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</si>
  <si>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</si>
  <si>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</si>
  <si>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</si>
  <si>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</si>
  <si>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</si>
  <si>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</si>
  <si>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</si>
  <si>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</si>
  <si>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</si>
  <si>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</si>
  <si>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</si>
  <si>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</si>
  <si>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</si>
  <si>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</si>
  <si>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</si>
  <si>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</si>
  <si>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</si>
  <si>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</si>
  <si>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</si>
  <si>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</si>
  <si>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</si>
  <si>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</si>
  <si>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</si>
  <si>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</si>
  <si>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</si>
  <si>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</si>
  <si>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</si>
  <si>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</si>
  <si>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</si>
  <si>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</si>
  <si>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</si>
  <si>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</si>
  <si>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</si>
  <si>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</si>
  <si>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</si>
  <si>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</si>
  <si>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</si>
  <si>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</si>
  <si>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</si>
  <si>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</si>
  <si>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</si>
  <si>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</si>
  <si>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</si>
  <si>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</si>
  <si>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</si>
  <si>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</si>
  <si>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</si>
  <si>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</si>
  <si>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</si>
  <si>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</si>
  <si>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</si>
  <si>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</si>
  <si>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</si>
  <si>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</si>
  <si>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</si>
  <si>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</si>
  <si>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</si>
  <si>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</si>
  <si>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</si>
  <si>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</si>
  <si>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</si>
  <si>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</si>
  <si>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</si>
  <si>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</si>
  <si>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</si>
  <si>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</si>
  <si>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</si>
  <si>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</si>
  <si>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</si>
  <si>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</si>
  <si>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</si>
  <si>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</si>
  <si>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</si>
  <si>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</si>
  <si>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</si>
  <si>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</si>
  <si>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</si>
  <si>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</si>
  <si>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</si>
  <si>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</si>
  <si>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</si>
  <si>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</si>
  <si>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</si>
  <si>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</si>
  <si>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</si>
  <si>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</si>
  <si>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</si>
  <si>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</si>
  <si>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</si>
  <si>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</si>
  <si>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</si>
  <si>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</si>
  <si>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</si>
  <si>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</si>
  <si>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</si>
  <si>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</si>
  <si>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</si>
  <si>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</si>
  <si>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</si>
  <si>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</si>
  <si>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</si>
  <si>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</si>
  <si>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</si>
  <si>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</si>
  <si>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</si>
  <si>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</si>
  <si>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</si>
  <si>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</si>
  <si>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</si>
  <si>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</si>
  <si>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</si>
  <si>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</si>
  <si>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</si>
  <si>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</si>
  <si>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</si>
  <si>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</si>
  <si>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</si>
  <si>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</si>
  <si>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</si>
  <si>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</si>
  <si>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</si>
  <si>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</si>
  <si>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</si>
  <si>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</si>
  <si>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</si>
  <si>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</si>
  <si>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</si>
  <si>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</si>
  <si>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</si>
  <si>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</si>
  <si>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</si>
  <si>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</si>
  <si>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</si>
  <si>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</si>
  <si>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</si>
  <si>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</si>
  <si>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</si>
  <si>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</si>
  <si>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</si>
  <si>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</si>
  <si>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</si>
  <si>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</si>
  <si>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</si>
  <si>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</si>
  <si>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</si>
  <si>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</si>
  <si>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</si>
  <si>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</si>
  <si>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</si>
  <si>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</si>
  <si>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</si>
  <si>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</si>
  <si>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</si>
  <si>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</si>
  <si>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</si>
  <si>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</si>
  <si>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</si>
  <si>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</si>
  <si>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</si>
  <si>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</si>
  <si>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</si>
  <si>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</si>
  <si>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</si>
  <si>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</si>
  <si>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</si>
  <si>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</si>
  <si>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</si>
  <si>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</si>
  <si>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</si>
  <si>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</si>
  <si>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</si>
  <si>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</si>
  <si>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</si>
  <si>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</si>
  <si>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</si>
  <si>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</si>
  <si>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</si>
  <si>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</si>
  <si>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</si>
  <si>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</si>
  <si>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</si>
  <si>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</si>
  <si>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</si>
  <si>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</si>
  <si>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</si>
  <si>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</si>
  <si>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</si>
  <si>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</si>
  <si>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</si>
  <si>
    <t>Anotació</t>
  </si>
  <si>
    <t>Setmana de Hattrick</t>
  </si>
  <si>
    <t>Setmanes restants</t>
  </si>
  <si>
    <t>Des de l'última pujada</t>
  </si>
  <si>
    <t>excel·lent (8)</t>
  </si>
  <si>
    <t>14 (55)</t>
  </si>
  <si>
    <t>formidable (9)</t>
  </si>
  <si>
    <t>2 (56)</t>
  </si>
  <si>
    <t>18 (61)</t>
  </si>
  <si>
    <t>destacat (10)</t>
  </si>
  <si>
    <t>7 (56)</t>
  </si>
  <si>
    <t>18 (96)</t>
  </si>
  <si>
    <t>brillant (11)</t>
  </si>
  <si>
    <t>13 (56)</t>
  </si>
  <si>
    <t>19 (26)</t>
  </si>
  <si>
    <t>magnífic (12)</t>
  </si>
  <si>
    <t>4 (57)</t>
  </si>
  <si>
    <t>19 (75)</t>
  </si>
  <si>
    <t>classe mundial (13)</t>
  </si>
  <si>
    <t>11 (57)</t>
  </si>
  <si>
    <t>20 (12)</t>
  </si>
  <si>
    <t>sobrenatural (14)</t>
  </si>
  <si>
    <t>4 (58)</t>
  </si>
  <si>
    <t>titànic (15)</t>
  </si>
  <si>
    <t>13 (58)</t>
  </si>
  <si>
    <t>21 (27)</t>
  </si>
  <si>
    <t>extraterrestre (16)</t>
  </si>
  <si>
    <t>9 (59)</t>
  </si>
  <si>
    <t>21 (110)</t>
  </si>
  <si>
    <t>mític (17)</t>
  </si>
  <si>
    <t>7 (60)</t>
  </si>
  <si>
    <t>22 (96)</t>
  </si>
  <si>
    <t>màgic (18)</t>
  </si>
  <si>
    <t>7 (61)</t>
  </si>
  <si>
    <t>23 (97)</t>
  </si>
  <si>
    <t>utòpic (19)</t>
  </si>
  <si>
    <t>14 (62)</t>
  </si>
  <si>
    <t>25 (33)</t>
  </si>
  <si>
    <t>diví (20)</t>
  </si>
  <si>
    <t>4 (65)</t>
  </si>
  <si>
    <t>18-16</t>
  </si>
  <si>
    <t>16 (55)</t>
  </si>
  <si>
    <t>18 (43)</t>
  </si>
  <si>
    <t>4 (56)</t>
  </si>
  <si>
    <t>18 (71)</t>
  </si>
  <si>
    <t>10 (56)</t>
  </si>
  <si>
    <t>19 (1)</t>
  </si>
  <si>
    <t>1 (57)</t>
  </si>
  <si>
    <t>19 (50)</t>
  </si>
  <si>
    <t>8 (57)</t>
  </si>
  <si>
    <t>19 (99)</t>
  </si>
  <si>
    <t>1 (58)</t>
  </si>
  <si>
    <t>20 (51)</t>
  </si>
  <si>
    <t>10 (58)</t>
  </si>
  <si>
    <t>21 (2)</t>
  </si>
  <si>
    <t>6 (59)</t>
  </si>
  <si>
    <t>21 (85)</t>
  </si>
  <si>
    <t>3 (60)</t>
  </si>
  <si>
    <t>22 (64)</t>
  </si>
  <si>
    <t>4 (61)</t>
  </si>
  <si>
    <t>23 (72)</t>
  </si>
  <si>
    <t>11 (62)</t>
  </si>
  <si>
    <t>25 (8)</t>
  </si>
  <si>
    <t>1 (65)</t>
  </si>
  <si>
    <t>27 (51)</t>
  </si>
  <si>
    <t>18a12d</t>
  </si>
  <si>
    <t>3 (56)</t>
  </si>
  <si>
    <t>18 (78)</t>
  </si>
  <si>
    <t>9 (56)</t>
  </si>
  <si>
    <t>19 (8)</t>
  </si>
  <si>
    <t>15 (56)</t>
  </si>
  <si>
    <t>7 (57)</t>
  </si>
  <si>
    <t>19 (106)</t>
  </si>
  <si>
    <t>15 (57)</t>
  </si>
  <si>
    <t>9 (58)</t>
  </si>
  <si>
    <t>21 (9)</t>
  </si>
  <si>
    <t>4 (59)</t>
  </si>
  <si>
    <t>2 (60)</t>
  </si>
  <si>
    <t>22 (71)</t>
  </si>
  <si>
    <t>3 (61)</t>
  </si>
  <si>
    <t>23 (79)</t>
  </si>
  <si>
    <t>9 (62)</t>
  </si>
  <si>
    <t>15 (64)</t>
  </si>
  <si>
    <t>18-16dias</t>
  </si>
  <si>
    <t>12 (55)</t>
  </si>
  <si>
    <t>18 (16)</t>
  </si>
  <si>
    <t>1 (56)</t>
  </si>
  <si>
    <t>18 (50)</t>
  </si>
  <si>
    <t>5 (56)</t>
  </si>
  <si>
    <t>11 (56)</t>
  </si>
  <si>
    <t>2 (57)</t>
  </si>
  <si>
    <t>19 (57)</t>
  </si>
  <si>
    <t>9 (57)</t>
  </si>
  <si>
    <t>2 (58)</t>
  </si>
  <si>
    <t>20 (58)</t>
  </si>
  <si>
    <t>11 (58)</t>
  </si>
  <si>
    <t>7 (59)</t>
  </si>
  <si>
    <t>21 (92)</t>
  </si>
  <si>
    <t>5 (60)</t>
  </si>
  <si>
    <t>22 (78)</t>
  </si>
  <si>
    <t>5 (61)</t>
  </si>
  <si>
    <t>12 (62)</t>
  </si>
  <si>
    <t>25 (15)</t>
  </si>
  <si>
    <t>2 (65)</t>
  </si>
  <si>
    <t>27 (58)</t>
  </si>
  <si>
    <t>notable (7)</t>
  </si>
  <si>
    <t>17 (93)</t>
  </si>
  <si>
    <t>15 (55)</t>
  </si>
  <si>
    <t>18 (1)</t>
  </si>
  <si>
    <t>18 (36)</t>
  </si>
  <si>
    <t>8 (56)</t>
  </si>
  <si>
    <t>18 (64)</t>
  </si>
  <si>
    <t>14 (56)</t>
  </si>
  <si>
    <t>18 (106)</t>
  </si>
  <si>
    <t>5 (57)</t>
  </si>
  <si>
    <t>19 (43)</t>
  </si>
  <si>
    <t>12 (57)</t>
  </si>
  <si>
    <t>19 (92)</t>
  </si>
  <si>
    <t>5 (58)</t>
  </si>
  <si>
    <t>20 (44)</t>
  </si>
  <si>
    <t>14 (58)</t>
  </si>
  <si>
    <t>20 (107)</t>
  </si>
  <si>
    <t>10 (59)</t>
  </si>
  <si>
    <t>21 (78)</t>
  </si>
  <si>
    <t>22 (57)</t>
  </si>
  <si>
    <t>8 (61)</t>
  </si>
  <si>
    <t>23 (65)</t>
  </si>
  <si>
    <t>15 (62)</t>
  </si>
  <si>
    <t>25 (1)</t>
  </si>
  <si>
    <t>27 (37</t>
  </si>
  <si>
    <t>18 (40)</t>
  </si>
  <si>
    <t>18 (68)</t>
  </si>
  <si>
    <t>18 (103)</t>
  </si>
  <si>
    <t>19 (33)</t>
  </si>
  <si>
    <t>20 (19)</t>
  </si>
  <si>
    <t>20 (83)</t>
  </si>
  <si>
    <t>22 (5)</t>
  </si>
  <si>
    <t>8 (60)</t>
  </si>
  <si>
    <t>22 (103)</t>
  </si>
  <si>
    <t>25 (40)</t>
  </si>
  <si>
    <t>5 (65)</t>
  </si>
  <si>
    <t>27 (83)</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</si>
</sst>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rgb="FF0070C0"/>
      <name val="Calibri"/>
      <family val="2"/>
    </font>
    <font>
      <b/>
      <sz val="8"/>
      <color theme="9" tint="-0.249977111117893"/>
      <name val="Verdana"/>
      <family val="2"/>
    </font>
    <font>
      <u/>
      <sz val="11"/>
      <color theme="10"/>
      <name val="Calibri"/>
      <family val="2"/>
      <scheme val="minor"/>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xf numFmtId="0" fontId="47" fillId="0" borderId="0" applyNumberFormat="0" applyFill="0" applyBorder="0" applyAlignment="0" applyProtection="0"/>
  </cellStyleXfs>
  <cellXfs count="241">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34" borderId="1" xfId="3" applyFont="1" applyFill="1" applyBorder="1" applyAlignment="1">
      <alignment horizontal="right"/>
    </xf>
    <xf numFmtId="0" fontId="46"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vertical="center" wrapText="1"/>
    </xf>
    <xf numFmtId="0" fontId="47" fillId="0" borderId="0" xfId="5" applyAlignment="1">
      <alignment vertical="center" wrapText="1"/>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6">
    <cellStyle name="Excel Built-in Normal" xfId="3"/>
    <cellStyle name="Hipervínculo" xfId="5" builtinId="8"/>
    <cellStyle name="Millares" xfId="1" builtinId="3"/>
    <cellStyle name="Moneda" xfId="4" builtinId="4"/>
    <cellStyle name="Normal" xfId="0" builtinId="0"/>
    <cellStyle name="Porcentaj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31" t="s">
        <v>106</v>
      </c>
      <c r="C59" s="96" t="s">
        <v>105</v>
      </c>
      <c r="D59" s="235" t="s">
        <v>137</v>
      </c>
      <c r="E59" s="235" t="s">
        <v>137</v>
      </c>
      <c r="F59" s="97" t="s">
        <v>103</v>
      </c>
      <c r="H59" s="98" t="s">
        <v>138</v>
      </c>
      <c r="X59" s="89"/>
    </row>
    <row r="60" spans="1:24" ht="15.75" x14ac:dyDescent="0.25">
      <c r="A60" s="99">
        <v>18</v>
      </c>
      <c r="B60" s="231"/>
      <c r="C60" s="96" t="s">
        <v>139</v>
      </c>
      <c r="D60" s="235"/>
      <c r="E60" s="235"/>
      <c r="F60" s="97" t="s">
        <v>140</v>
      </c>
      <c r="H60" s="92" t="s">
        <v>141</v>
      </c>
      <c r="X60" s="89"/>
    </row>
    <row r="61" spans="1:24" ht="15.75" x14ac:dyDescent="0.25">
      <c r="A61" s="95">
        <v>19</v>
      </c>
      <c r="B61" s="231"/>
      <c r="C61" s="100"/>
      <c r="D61" s="235"/>
      <c r="E61" s="235"/>
      <c r="F61" s="101"/>
      <c r="H61" s="92" t="s">
        <v>142</v>
      </c>
      <c r="I61" s="91"/>
      <c r="X61" s="89"/>
    </row>
    <row r="62" spans="1:24" ht="15.75" x14ac:dyDescent="0.25">
      <c r="A62" s="99">
        <v>20</v>
      </c>
      <c r="B62" s="231"/>
      <c r="C62" s="97" t="s">
        <v>137</v>
      </c>
      <c r="D62" s="236" t="s">
        <v>103</v>
      </c>
      <c r="E62" s="97" t="s">
        <v>103</v>
      </c>
      <c r="F62" s="101"/>
      <c r="H62" s="92" t="s">
        <v>143</v>
      </c>
      <c r="X62" s="89"/>
    </row>
    <row r="63" spans="1:24" ht="15.75" x14ac:dyDescent="0.25">
      <c r="A63" s="95">
        <v>21</v>
      </c>
      <c r="B63" s="233" t="s">
        <v>105</v>
      </c>
      <c r="C63" s="97" t="s">
        <v>144</v>
      </c>
      <c r="D63" s="236"/>
      <c r="E63" s="97" t="s">
        <v>140</v>
      </c>
      <c r="F63" s="101"/>
      <c r="H63" s="92" t="s">
        <v>145</v>
      </c>
      <c r="X63" s="89"/>
    </row>
    <row r="64" spans="1:24" ht="15.75" x14ac:dyDescent="0.25">
      <c r="A64" s="99">
        <v>22</v>
      </c>
      <c r="B64" s="233"/>
      <c r="C64" s="101"/>
      <c r="D64" s="236"/>
      <c r="E64" s="101"/>
      <c r="F64" s="101"/>
      <c r="H64" s="92" t="s">
        <v>146</v>
      </c>
      <c r="X64" s="89"/>
    </row>
    <row r="65" spans="1:24" ht="15.75" x14ac:dyDescent="0.25">
      <c r="A65" s="95">
        <v>23</v>
      </c>
      <c r="B65" s="233"/>
      <c r="C65" s="101"/>
      <c r="D65" s="236"/>
      <c r="E65" s="101"/>
      <c r="F65" s="101"/>
      <c r="H65" s="92"/>
      <c r="X65" s="89"/>
    </row>
    <row r="66" spans="1:24" ht="15.75" x14ac:dyDescent="0.25">
      <c r="A66" s="99">
        <v>24</v>
      </c>
      <c r="B66" s="233"/>
      <c r="C66" s="101"/>
      <c r="D66" s="236"/>
      <c r="E66" s="101"/>
      <c r="F66" s="101"/>
      <c r="H66" s="92" t="s">
        <v>147</v>
      </c>
      <c r="X66" s="89"/>
    </row>
    <row r="67" spans="1:24" ht="15.75" x14ac:dyDescent="0.25">
      <c r="A67" s="95">
        <v>25</v>
      </c>
      <c r="B67" s="233"/>
      <c r="C67" s="101"/>
      <c r="D67" s="235" t="s">
        <v>137</v>
      </c>
      <c r="E67" s="101"/>
      <c r="F67" s="101"/>
      <c r="H67" s="92" t="s">
        <v>148</v>
      </c>
      <c r="X67" s="89"/>
    </row>
    <row r="68" spans="1:24" ht="15.75" x14ac:dyDescent="0.25">
      <c r="A68" s="99">
        <v>26</v>
      </c>
      <c r="B68" s="233"/>
      <c r="C68" s="235" t="s">
        <v>137</v>
      </c>
      <c r="D68" s="235"/>
      <c r="E68" s="101"/>
      <c r="F68" s="101"/>
      <c r="H68" s="92"/>
      <c r="X68" s="89"/>
    </row>
    <row r="69" spans="1:24" ht="15.75" x14ac:dyDescent="0.25">
      <c r="A69" s="95">
        <v>27</v>
      </c>
      <c r="B69" s="231" t="s">
        <v>106</v>
      </c>
      <c r="C69" s="235"/>
      <c r="D69" s="235"/>
      <c r="E69" s="101"/>
      <c r="F69" s="101"/>
      <c r="H69" s="92"/>
      <c r="X69" s="89"/>
    </row>
    <row r="70" spans="1:24" ht="15.75" x14ac:dyDescent="0.25">
      <c r="A70" s="99">
        <v>28</v>
      </c>
      <c r="B70" s="231"/>
      <c r="C70" s="233" t="s">
        <v>105</v>
      </c>
      <c r="D70" s="235"/>
      <c r="E70" s="101"/>
      <c r="F70" s="101"/>
      <c r="H70" s="92" t="s">
        <v>149</v>
      </c>
      <c r="X70" s="89"/>
    </row>
    <row r="71" spans="1:24" ht="15.75" x14ac:dyDescent="0.25">
      <c r="A71" s="95">
        <v>29</v>
      </c>
      <c r="B71" s="231"/>
      <c r="C71" s="233"/>
      <c r="D71" s="235"/>
      <c r="E71" s="101"/>
      <c r="F71" s="101"/>
      <c r="H71" s="92"/>
      <c r="X71" s="89"/>
    </row>
    <row r="72" spans="1:24" ht="15.75" x14ac:dyDescent="0.25">
      <c r="A72" s="99">
        <v>30</v>
      </c>
      <c r="B72" s="231"/>
      <c r="C72" s="233"/>
      <c r="D72" s="233" t="s">
        <v>105</v>
      </c>
      <c r="E72" s="101"/>
      <c r="F72" s="101"/>
      <c r="H72" s="92" t="s">
        <v>150</v>
      </c>
      <c r="X72" s="89"/>
    </row>
    <row r="73" spans="1:24" ht="15.75" x14ac:dyDescent="0.25">
      <c r="A73" s="95">
        <v>31</v>
      </c>
      <c r="B73" s="231"/>
      <c r="C73" s="233"/>
      <c r="D73" s="233"/>
      <c r="E73" s="97" t="s">
        <v>137</v>
      </c>
      <c r="F73" s="101"/>
      <c r="H73" s="92"/>
      <c r="X73" s="89"/>
    </row>
    <row r="74" spans="1:24" ht="15.75" x14ac:dyDescent="0.25">
      <c r="A74" s="99">
        <v>32</v>
      </c>
      <c r="B74" s="231"/>
      <c r="C74" s="233"/>
      <c r="D74" s="233"/>
      <c r="E74" s="97" t="s">
        <v>144</v>
      </c>
      <c r="F74" s="101"/>
      <c r="H74" s="92" t="s">
        <v>151</v>
      </c>
      <c r="X74" s="89"/>
    </row>
    <row r="75" spans="1:24" ht="15.75" x14ac:dyDescent="0.25">
      <c r="A75" s="95">
        <v>33</v>
      </c>
      <c r="B75" s="231"/>
      <c r="C75" s="231" t="s">
        <v>106</v>
      </c>
      <c r="D75" s="233"/>
      <c r="E75" s="96" t="s">
        <v>105</v>
      </c>
      <c r="F75" s="96" t="s">
        <v>105</v>
      </c>
      <c r="H75" s="92"/>
      <c r="X75" s="89"/>
    </row>
    <row r="76" spans="1:24" ht="15.75" x14ac:dyDescent="0.25">
      <c r="A76" s="99">
        <v>34</v>
      </c>
      <c r="B76" s="234" t="s">
        <v>152</v>
      </c>
      <c r="C76" s="231"/>
      <c r="D76" s="233"/>
      <c r="E76" s="96" t="s">
        <v>139</v>
      </c>
      <c r="F76" s="96" t="s">
        <v>139</v>
      </c>
      <c r="H76" s="92" t="s">
        <v>153</v>
      </c>
      <c r="X76" s="89"/>
    </row>
    <row r="77" spans="1:24" ht="15.75" x14ac:dyDescent="0.25">
      <c r="A77" s="95">
        <v>35</v>
      </c>
      <c r="B77" s="234"/>
      <c r="C77" s="234" t="s">
        <v>152</v>
      </c>
      <c r="D77" s="231" t="s">
        <v>106</v>
      </c>
      <c r="E77" s="231" t="s">
        <v>106</v>
      </c>
      <c r="F77" s="100"/>
      <c r="H77" s="92"/>
      <c r="X77" s="89"/>
    </row>
    <row r="78" spans="1:24" ht="15.75" x14ac:dyDescent="0.25">
      <c r="A78" s="99">
        <v>36</v>
      </c>
      <c r="B78" s="234"/>
      <c r="C78" s="234"/>
      <c r="D78" s="231"/>
      <c r="E78" s="231"/>
      <c r="F78" s="102" t="s">
        <v>106</v>
      </c>
      <c r="H78" s="92" t="s">
        <v>154</v>
      </c>
      <c r="X78" s="89"/>
    </row>
    <row r="79" spans="1:24" ht="15.75" x14ac:dyDescent="0.25">
      <c r="A79" s="232" t="s">
        <v>155</v>
      </c>
      <c r="B79" s="232"/>
      <c r="C79" s="232"/>
      <c r="D79" s="232"/>
      <c r="E79" s="232"/>
      <c r="F79" s="232"/>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Q19"/>
  <sheetViews>
    <sheetView workbookViewId="0">
      <selection activeCell="M2" sqref="M2:Q2"/>
    </sheetView>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2" bestFit="1" customWidth="1"/>
    <col min="8" max="8" width="12.28515625" style="222" bestFit="1" customWidth="1"/>
    <col min="9" max="9" width="9.5703125" style="222" bestFit="1" customWidth="1"/>
    <col min="10" max="10" width="13.5703125" style="222" bestFit="1" customWidth="1"/>
    <col min="11" max="11" width="7.85546875" style="222" bestFit="1" customWidth="1"/>
    <col min="13" max="13" width="18" bestFit="1" customWidth="1"/>
    <col min="14" max="14" width="12.28515625" bestFit="1" customWidth="1"/>
    <col min="15" max="15" width="9.5703125" bestFit="1" customWidth="1"/>
    <col min="16" max="16" width="13.5703125" bestFit="1" customWidth="1"/>
    <col min="17" max="17" width="7.85546875" bestFit="1" customWidth="1"/>
  </cols>
  <sheetData>
    <row r="1" spans="1:17" x14ac:dyDescent="0.25">
      <c r="A1" s="221">
        <v>43088</v>
      </c>
      <c r="B1" s="220" t="s">
        <v>308</v>
      </c>
      <c r="C1" s="220"/>
      <c r="D1" s="220"/>
      <c r="E1" s="220"/>
      <c r="G1" s="221">
        <v>43110</v>
      </c>
      <c r="H1" s="222" t="s">
        <v>308</v>
      </c>
      <c r="I1" s="47">
        <f>Rendimiento_ENTRENAMIENTO!Y2</f>
        <v>6</v>
      </c>
      <c r="M1" s="221">
        <v>43164</v>
      </c>
      <c r="N1" s="228" t="s">
        <v>308</v>
      </c>
      <c r="O1" t="s">
        <v>617</v>
      </c>
    </row>
    <row r="2" spans="1:17" s="52" customFormat="1" x14ac:dyDescent="0.25">
      <c r="A2" s="225" t="s">
        <v>385</v>
      </c>
      <c r="B2" s="224" t="s">
        <v>483</v>
      </c>
      <c r="C2" s="224" t="s">
        <v>481</v>
      </c>
      <c r="D2" s="224" t="s">
        <v>482</v>
      </c>
      <c r="E2" s="224" t="s">
        <v>389</v>
      </c>
      <c r="G2" s="225" t="s">
        <v>385</v>
      </c>
      <c r="H2" s="224" t="s">
        <v>483</v>
      </c>
      <c r="I2" s="224" t="s">
        <v>481</v>
      </c>
      <c r="J2" s="224" t="s">
        <v>482</v>
      </c>
      <c r="K2" s="224" t="s">
        <v>389</v>
      </c>
      <c r="M2" s="225" t="s">
        <v>385</v>
      </c>
      <c r="N2" s="224" t="s">
        <v>483</v>
      </c>
      <c r="O2" s="224" t="s">
        <v>481</v>
      </c>
      <c r="P2" s="224" t="s">
        <v>482</v>
      </c>
      <c r="Q2" s="224" t="s">
        <v>389</v>
      </c>
    </row>
    <row r="3" spans="1:17" x14ac:dyDescent="0.25">
      <c r="A3" s="223" t="s">
        <v>390</v>
      </c>
      <c r="B3" s="105" t="s">
        <v>391</v>
      </c>
      <c r="C3" s="105">
        <v>3</v>
      </c>
      <c r="D3" s="105">
        <v>3</v>
      </c>
      <c r="E3" s="105" t="s">
        <v>392</v>
      </c>
      <c r="G3" s="105"/>
      <c r="H3" s="105"/>
      <c r="I3" s="105"/>
      <c r="J3" s="105"/>
      <c r="K3" s="105"/>
      <c r="M3" s="57"/>
      <c r="N3" s="57"/>
      <c r="O3" s="57"/>
      <c r="P3" s="57"/>
      <c r="Q3" s="57"/>
    </row>
    <row r="4" spans="1:17" x14ac:dyDescent="0.25">
      <c r="A4" s="105" t="s">
        <v>393</v>
      </c>
      <c r="B4" s="105" t="s">
        <v>394</v>
      </c>
      <c r="C4" s="105">
        <v>5</v>
      </c>
      <c r="D4" s="105">
        <v>2</v>
      </c>
      <c r="E4" s="105" t="s">
        <v>395</v>
      </c>
      <c r="G4" s="223" t="s">
        <v>393</v>
      </c>
      <c r="H4" s="105" t="s">
        <v>441</v>
      </c>
      <c r="I4" s="105">
        <v>1</v>
      </c>
      <c r="J4" s="105">
        <v>1</v>
      </c>
      <c r="K4" s="105" t="s">
        <v>453</v>
      </c>
      <c r="M4" s="57"/>
      <c r="N4" s="57"/>
      <c r="O4" s="57"/>
      <c r="P4" s="57"/>
      <c r="Q4" s="57"/>
    </row>
    <row r="5" spans="1:17" x14ac:dyDescent="0.25">
      <c r="A5" s="105" t="s">
        <v>396</v>
      </c>
      <c r="B5" s="105" t="s">
        <v>397</v>
      </c>
      <c r="C5" s="105">
        <v>8</v>
      </c>
      <c r="D5" s="105">
        <v>3</v>
      </c>
      <c r="E5" s="105" t="s">
        <v>398</v>
      </c>
      <c r="G5" s="105" t="s">
        <v>396</v>
      </c>
      <c r="H5" s="105" t="s">
        <v>442</v>
      </c>
      <c r="I5" s="105">
        <v>3</v>
      </c>
      <c r="J5" s="105">
        <v>2</v>
      </c>
      <c r="K5" s="105" t="s">
        <v>454</v>
      </c>
      <c r="M5" s="57"/>
      <c r="N5" s="57"/>
      <c r="O5" s="57"/>
      <c r="P5" s="57"/>
      <c r="Q5" s="57"/>
    </row>
    <row r="6" spans="1:17" x14ac:dyDescent="0.25">
      <c r="A6" s="105" t="s">
        <v>399</v>
      </c>
      <c r="B6" s="105" t="s">
        <v>400</v>
      </c>
      <c r="C6" s="105">
        <v>11</v>
      </c>
      <c r="D6" s="105">
        <v>3</v>
      </c>
      <c r="E6" s="105" t="s">
        <v>401</v>
      </c>
      <c r="G6" s="105" t="s">
        <v>399</v>
      </c>
      <c r="H6" s="105" t="s">
        <v>455</v>
      </c>
      <c r="I6" s="105">
        <v>7</v>
      </c>
      <c r="J6" s="105">
        <v>4</v>
      </c>
      <c r="K6" s="105" t="s">
        <v>456</v>
      </c>
      <c r="M6" s="57"/>
      <c r="N6" s="57"/>
      <c r="O6" s="57"/>
      <c r="P6" s="57"/>
      <c r="Q6" s="57"/>
    </row>
    <row r="7" spans="1:17" x14ac:dyDescent="0.25">
      <c r="A7" s="105" t="s">
        <v>402</v>
      </c>
      <c r="B7" s="105" t="s">
        <v>403</v>
      </c>
      <c r="C7" s="105">
        <v>14</v>
      </c>
      <c r="D7" s="105">
        <v>3</v>
      </c>
      <c r="E7" s="105" t="s">
        <v>404</v>
      </c>
      <c r="G7" s="105" t="s">
        <v>402</v>
      </c>
      <c r="H7" s="105" t="s">
        <v>457</v>
      </c>
      <c r="I7" s="105">
        <v>10</v>
      </c>
      <c r="J7" s="105">
        <v>3</v>
      </c>
      <c r="K7" s="105" t="s">
        <v>458</v>
      </c>
      <c r="M7" s="57" t="s">
        <v>581</v>
      </c>
      <c r="N7" s="57" t="s">
        <v>582</v>
      </c>
      <c r="O7" s="57">
        <v>3</v>
      </c>
      <c r="P7" s="57">
        <v>3</v>
      </c>
      <c r="Q7" s="57" t="s">
        <v>404</v>
      </c>
    </row>
    <row r="8" spans="1:17" s="52" customFormat="1" x14ac:dyDescent="0.25">
      <c r="A8" s="223" t="s">
        <v>405</v>
      </c>
      <c r="B8" s="223" t="s">
        <v>406</v>
      </c>
      <c r="C8" s="223">
        <v>19</v>
      </c>
      <c r="D8" s="223">
        <v>5</v>
      </c>
      <c r="E8" s="223" t="s">
        <v>407</v>
      </c>
      <c r="G8" s="223" t="s">
        <v>405</v>
      </c>
      <c r="H8" s="223" t="s">
        <v>459</v>
      </c>
      <c r="I8" s="223">
        <v>14</v>
      </c>
      <c r="J8" s="223">
        <v>4</v>
      </c>
      <c r="K8" s="223" t="s">
        <v>460</v>
      </c>
      <c r="M8" s="53" t="s">
        <v>583</v>
      </c>
      <c r="N8" s="53" t="s">
        <v>584</v>
      </c>
      <c r="O8" s="53">
        <v>7</v>
      </c>
      <c r="P8" s="53">
        <v>4</v>
      </c>
      <c r="Q8" s="53" t="s">
        <v>585</v>
      </c>
    </row>
    <row r="9" spans="1:17" x14ac:dyDescent="0.25">
      <c r="A9" s="105" t="s">
        <v>408</v>
      </c>
      <c r="B9" s="105" t="s">
        <v>409</v>
      </c>
      <c r="C9" s="105">
        <v>23</v>
      </c>
      <c r="D9" s="105">
        <v>4</v>
      </c>
      <c r="E9" s="105" t="s">
        <v>410</v>
      </c>
      <c r="G9" s="153" t="s">
        <v>408</v>
      </c>
      <c r="H9" s="153" t="s">
        <v>461</v>
      </c>
      <c r="I9" s="153">
        <v>19</v>
      </c>
      <c r="J9" s="153">
        <v>5</v>
      </c>
      <c r="K9" s="153" t="s">
        <v>462</v>
      </c>
      <c r="M9" s="57" t="s">
        <v>586</v>
      </c>
      <c r="N9" s="57" t="s">
        <v>587</v>
      </c>
      <c r="O9" s="57">
        <v>12</v>
      </c>
      <c r="P9" s="57">
        <v>5</v>
      </c>
      <c r="Q9" s="57" t="s">
        <v>588</v>
      </c>
    </row>
    <row r="10" spans="1:17" x14ac:dyDescent="0.25">
      <c r="A10" s="105" t="s">
        <v>411</v>
      </c>
      <c r="B10" s="105" t="s">
        <v>412</v>
      </c>
      <c r="C10" s="105">
        <v>29</v>
      </c>
      <c r="D10" s="105">
        <v>6</v>
      </c>
      <c r="E10" s="105" t="s">
        <v>413</v>
      </c>
      <c r="G10" s="105" t="s">
        <v>411</v>
      </c>
      <c r="H10" s="105" t="s">
        <v>444</v>
      </c>
      <c r="I10" s="105">
        <v>25</v>
      </c>
      <c r="J10" s="105">
        <v>6</v>
      </c>
      <c r="K10" s="105" t="s">
        <v>445</v>
      </c>
      <c r="M10" s="57" t="s">
        <v>589</v>
      </c>
      <c r="N10" s="57" t="s">
        <v>590</v>
      </c>
      <c r="O10" s="57">
        <v>18</v>
      </c>
      <c r="P10" s="57">
        <v>6</v>
      </c>
      <c r="Q10" s="57" t="s">
        <v>591</v>
      </c>
    </row>
    <row r="11" spans="1:17" x14ac:dyDescent="0.25">
      <c r="A11" s="105" t="s">
        <v>414</v>
      </c>
      <c r="B11" s="105" t="s">
        <v>415</v>
      </c>
      <c r="C11" s="105">
        <v>36</v>
      </c>
      <c r="D11" s="105">
        <v>7</v>
      </c>
      <c r="E11" s="105" t="s">
        <v>416</v>
      </c>
      <c r="G11" s="105" t="s">
        <v>414</v>
      </c>
      <c r="H11" s="105" t="s">
        <v>463</v>
      </c>
      <c r="I11" s="105">
        <v>32</v>
      </c>
      <c r="J11" s="105">
        <v>7</v>
      </c>
      <c r="K11" s="105" t="s">
        <v>464</v>
      </c>
      <c r="M11" s="24" t="s">
        <v>592</v>
      </c>
      <c r="N11" s="24" t="s">
        <v>593</v>
      </c>
      <c r="O11" s="24">
        <v>25</v>
      </c>
      <c r="P11" s="24">
        <v>7</v>
      </c>
      <c r="Q11" s="24" t="s">
        <v>594</v>
      </c>
    </row>
    <row r="12" spans="1:17" x14ac:dyDescent="0.25">
      <c r="A12" s="105" t="s">
        <v>417</v>
      </c>
      <c r="B12" s="105" t="s">
        <v>418</v>
      </c>
      <c r="C12" s="105">
        <v>43</v>
      </c>
      <c r="D12" s="105">
        <v>7</v>
      </c>
      <c r="E12" s="105" t="s">
        <v>419</v>
      </c>
      <c r="G12" s="105" t="s">
        <v>417</v>
      </c>
      <c r="H12" s="105" t="s">
        <v>465</v>
      </c>
      <c r="I12" s="105">
        <v>39</v>
      </c>
      <c r="J12" s="105">
        <v>7</v>
      </c>
      <c r="K12" s="105" t="s">
        <v>466</v>
      </c>
      <c r="M12" s="24" t="s">
        <v>595</v>
      </c>
      <c r="N12" s="24" t="s">
        <v>596</v>
      </c>
      <c r="O12" s="24">
        <v>32</v>
      </c>
      <c r="P12" s="24">
        <v>7</v>
      </c>
      <c r="Q12" s="24" t="s">
        <v>597</v>
      </c>
    </row>
    <row r="13" spans="1:17" x14ac:dyDescent="0.25">
      <c r="A13" s="105" t="s">
        <v>420</v>
      </c>
      <c r="B13" s="105" t="s">
        <v>421</v>
      </c>
      <c r="C13" s="105">
        <v>52</v>
      </c>
      <c r="D13" s="105">
        <v>9</v>
      </c>
      <c r="E13" s="105" t="s">
        <v>422</v>
      </c>
      <c r="G13" s="105" t="s">
        <v>420</v>
      </c>
      <c r="H13" s="105" t="s">
        <v>467</v>
      </c>
      <c r="I13" s="105">
        <v>48</v>
      </c>
      <c r="J13" s="105">
        <v>9</v>
      </c>
      <c r="K13" s="105" t="s">
        <v>468</v>
      </c>
      <c r="M13" s="24" t="s">
        <v>598</v>
      </c>
      <c r="N13" s="24" t="s">
        <v>599</v>
      </c>
      <c r="O13" s="24">
        <v>41</v>
      </c>
      <c r="P13" s="24">
        <v>9</v>
      </c>
      <c r="Q13" s="24" t="s">
        <v>422</v>
      </c>
    </row>
    <row r="14" spans="1:17" x14ac:dyDescent="0.25">
      <c r="A14" s="105" t="s">
        <v>423</v>
      </c>
      <c r="B14" s="105" t="s">
        <v>424</v>
      </c>
      <c r="C14" s="105">
        <v>62</v>
      </c>
      <c r="D14" s="105">
        <v>10</v>
      </c>
      <c r="E14" s="105" t="s">
        <v>425</v>
      </c>
      <c r="G14" s="105" t="s">
        <v>423</v>
      </c>
      <c r="H14" s="105" t="s">
        <v>469</v>
      </c>
      <c r="I14" s="105">
        <v>57</v>
      </c>
      <c r="J14" s="105">
        <v>9</v>
      </c>
      <c r="K14" s="105" t="s">
        <v>470</v>
      </c>
      <c r="M14" s="24" t="s">
        <v>600</v>
      </c>
      <c r="N14" s="24" t="s">
        <v>601</v>
      </c>
      <c r="O14" s="24">
        <v>50</v>
      </c>
      <c r="P14" s="24">
        <v>9</v>
      </c>
      <c r="Q14" s="24" t="s">
        <v>602</v>
      </c>
    </row>
    <row r="15" spans="1:17" x14ac:dyDescent="0.25">
      <c r="A15" s="105" t="s">
        <v>426</v>
      </c>
      <c r="B15" s="105" t="s">
        <v>427</v>
      </c>
      <c r="C15" s="105">
        <v>73</v>
      </c>
      <c r="D15" s="105">
        <v>11</v>
      </c>
      <c r="E15" s="105" t="s">
        <v>428</v>
      </c>
      <c r="G15" s="105" t="s">
        <v>426</v>
      </c>
      <c r="H15" s="105" t="s">
        <v>471</v>
      </c>
      <c r="I15" s="105">
        <v>69</v>
      </c>
      <c r="J15" s="105">
        <v>12</v>
      </c>
      <c r="K15" s="105" t="s">
        <v>472</v>
      </c>
      <c r="M15" s="24" t="s">
        <v>603</v>
      </c>
      <c r="N15" s="24" t="s">
        <v>604</v>
      </c>
      <c r="O15" s="24">
        <v>62</v>
      </c>
      <c r="P15" s="24">
        <v>12</v>
      </c>
      <c r="Q15" s="24" t="s">
        <v>605</v>
      </c>
    </row>
    <row r="16" spans="1:17" x14ac:dyDescent="0.25">
      <c r="A16" s="105" t="s">
        <v>429</v>
      </c>
      <c r="B16" s="105" t="s">
        <v>430</v>
      </c>
      <c r="C16" s="105">
        <v>87</v>
      </c>
      <c r="D16" s="105">
        <v>14</v>
      </c>
      <c r="E16" s="105" t="s">
        <v>431</v>
      </c>
      <c r="G16" s="105" t="s">
        <v>429</v>
      </c>
      <c r="H16" s="105" t="s">
        <v>473</v>
      </c>
      <c r="I16" s="105">
        <v>83</v>
      </c>
      <c r="J16" s="105">
        <v>14</v>
      </c>
      <c r="K16" s="105" t="s">
        <v>474</v>
      </c>
      <c r="M16" s="24" t="s">
        <v>606</v>
      </c>
      <c r="N16" s="24" t="s">
        <v>607</v>
      </c>
      <c r="O16" s="24">
        <v>76</v>
      </c>
      <c r="P16" s="24">
        <v>14</v>
      </c>
      <c r="Q16" s="24" t="s">
        <v>608</v>
      </c>
    </row>
    <row r="17" spans="1:17" x14ac:dyDescent="0.25">
      <c r="A17" s="105" t="s">
        <v>432</v>
      </c>
      <c r="B17" s="105" t="s">
        <v>433</v>
      </c>
      <c r="C17" s="105">
        <v>104</v>
      </c>
      <c r="D17" s="105">
        <v>17</v>
      </c>
      <c r="E17" s="105" t="s">
        <v>434</v>
      </c>
      <c r="G17" s="105" t="s">
        <v>432</v>
      </c>
      <c r="H17" s="105" t="s">
        <v>475</v>
      </c>
      <c r="I17" s="105">
        <v>99</v>
      </c>
      <c r="J17" s="105">
        <v>16</v>
      </c>
      <c r="K17" s="105" t="s">
        <v>476</v>
      </c>
      <c r="M17" s="57" t="s">
        <v>609</v>
      </c>
      <c r="N17" s="57" t="s">
        <v>610</v>
      </c>
      <c r="O17" s="57">
        <v>92</v>
      </c>
      <c r="P17" s="57">
        <v>16</v>
      </c>
      <c r="Q17" s="57" t="s">
        <v>611</v>
      </c>
    </row>
    <row r="18" spans="1:17" x14ac:dyDescent="0.25">
      <c r="A18" s="105" t="s">
        <v>435</v>
      </c>
      <c r="B18" s="105" t="s">
        <v>436</v>
      </c>
      <c r="C18" s="105">
        <v>126</v>
      </c>
      <c r="D18" s="105">
        <v>22</v>
      </c>
      <c r="E18" s="105" t="s">
        <v>437</v>
      </c>
      <c r="G18" s="105" t="s">
        <v>435</v>
      </c>
      <c r="H18" s="105" t="s">
        <v>477</v>
      </c>
      <c r="I18" s="105">
        <v>122</v>
      </c>
      <c r="J18" s="105">
        <v>23</v>
      </c>
      <c r="K18" s="105" t="s">
        <v>478</v>
      </c>
      <c r="M18" s="57" t="s">
        <v>612</v>
      </c>
      <c r="N18" s="57" t="s">
        <v>613</v>
      </c>
      <c r="O18" s="57">
        <v>115</v>
      </c>
      <c r="P18" s="57">
        <v>23</v>
      </c>
      <c r="Q18" s="57" t="s">
        <v>614</v>
      </c>
    </row>
    <row r="19" spans="1:17" x14ac:dyDescent="0.25">
      <c r="A19" s="105" t="s">
        <v>438</v>
      </c>
      <c r="B19" s="105" t="s">
        <v>439</v>
      </c>
      <c r="C19" s="105">
        <v>164</v>
      </c>
      <c r="D19" s="105">
        <v>38</v>
      </c>
      <c r="E19" s="105" t="s">
        <v>440</v>
      </c>
      <c r="G19" s="105" t="s">
        <v>438</v>
      </c>
      <c r="H19" s="105" t="s">
        <v>479</v>
      </c>
      <c r="I19" s="105">
        <v>160</v>
      </c>
      <c r="J19" s="105">
        <v>38</v>
      </c>
      <c r="K19" s="105" t="s">
        <v>480</v>
      </c>
      <c r="M19" s="57" t="s">
        <v>615</v>
      </c>
      <c r="N19" s="57" t="s">
        <v>616</v>
      </c>
      <c r="O19" s="57">
        <v>153</v>
      </c>
      <c r="P19" s="57">
        <v>38</v>
      </c>
      <c r="Q19" s="57" t="s">
        <v>440</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34"/>
  <sheetViews>
    <sheetView workbookViewId="0">
      <selection activeCell="I6" sqref="I6"/>
    </sheetView>
  </sheetViews>
  <sheetFormatPr baseColWidth="10" defaultColWidth="11.42578125" defaultRowHeight="15" x14ac:dyDescent="0.25"/>
  <cols>
    <col min="1" max="1" width="18.42578125" bestFit="1" customWidth="1"/>
    <col min="2" max="2" width="18.5703125" bestFit="1" customWidth="1"/>
    <col min="3" max="3" width="9.5703125" bestFit="1" customWidth="1"/>
    <col min="4" max="4" width="13.5703125" bestFit="1" customWidth="1"/>
    <col min="5" max="5" width="7.85546875" bestFit="1" customWidth="1"/>
    <col min="7" max="7" width="18.42578125" bestFit="1" customWidth="1"/>
    <col min="8" max="8" width="18.5703125" bestFit="1" customWidth="1"/>
    <col min="9" max="9" width="9.5703125" bestFit="1" customWidth="1"/>
    <col min="10" max="10" width="13.5703125" bestFit="1" customWidth="1"/>
    <col min="11" max="11" width="7.85546875" bestFit="1" customWidth="1"/>
  </cols>
  <sheetData>
    <row r="1" spans="1:11" x14ac:dyDescent="0.25">
      <c r="A1" s="30">
        <v>43110</v>
      </c>
      <c r="B1" t="s">
        <v>510</v>
      </c>
      <c r="C1" s="47">
        <f>Rendimiento_ENTRENAMIENTO!Y2</f>
        <v>6</v>
      </c>
      <c r="G1" s="30">
        <v>43164</v>
      </c>
      <c r="H1" t="s">
        <v>510</v>
      </c>
      <c r="I1" s="47" t="s">
        <v>642</v>
      </c>
    </row>
    <row r="2" spans="1:11" s="52" customFormat="1" x14ac:dyDescent="0.25">
      <c r="A2" s="225" t="s">
        <v>385</v>
      </c>
      <c r="B2" s="224" t="s">
        <v>483</v>
      </c>
      <c r="C2" s="224" t="s">
        <v>481</v>
      </c>
      <c r="D2" s="224" t="s">
        <v>482</v>
      </c>
      <c r="E2" s="224" t="s">
        <v>389</v>
      </c>
      <c r="G2" s="225" t="s">
        <v>385</v>
      </c>
      <c r="H2" s="224" t="s">
        <v>483</v>
      </c>
      <c r="I2" s="224" t="s">
        <v>481</v>
      </c>
      <c r="J2" s="224" t="s">
        <v>482</v>
      </c>
      <c r="K2" s="224" t="s">
        <v>389</v>
      </c>
    </row>
    <row r="3" spans="1:11" x14ac:dyDescent="0.25">
      <c r="A3" s="223" t="s">
        <v>396</v>
      </c>
      <c r="B3" s="105" t="s">
        <v>441</v>
      </c>
      <c r="C3" s="105">
        <v>1</v>
      </c>
      <c r="D3" s="105">
        <v>1</v>
      </c>
      <c r="E3" s="105" t="s">
        <v>484</v>
      </c>
      <c r="G3" s="223"/>
      <c r="H3" s="105"/>
      <c r="I3" s="105"/>
      <c r="J3" s="105"/>
      <c r="K3" s="105"/>
    </row>
    <row r="4" spans="1:11" x14ac:dyDescent="0.25">
      <c r="A4" s="105" t="s">
        <v>399</v>
      </c>
      <c r="B4" s="105" t="s">
        <v>485</v>
      </c>
      <c r="C4" s="105">
        <v>4</v>
      </c>
      <c r="D4" s="105">
        <v>3</v>
      </c>
      <c r="E4" s="105" t="s">
        <v>486</v>
      </c>
      <c r="G4" s="105"/>
      <c r="H4" s="105"/>
      <c r="I4" s="105"/>
      <c r="J4" s="105"/>
      <c r="K4" s="105"/>
    </row>
    <row r="5" spans="1:11" x14ac:dyDescent="0.25">
      <c r="A5" s="105" t="s">
        <v>402</v>
      </c>
      <c r="B5" s="105" t="s">
        <v>455</v>
      </c>
      <c r="C5" s="105">
        <v>7</v>
      </c>
      <c r="D5" s="105">
        <v>3</v>
      </c>
      <c r="E5" s="105" t="s">
        <v>487</v>
      </c>
      <c r="G5" s="105"/>
      <c r="H5" s="105"/>
      <c r="I5" s="105"/>
      <c r="J5" s="105"/>
      <c r="K5" s="105"/>
    </row>
    <row r="6" spans="1:11" x14ac:dyDescent="0.25">
      <c r="A6" s="105" t="s">
        <v>405</v>
      </c>
      <c r="B6" s="105" t="s">
        <v>403</v>
      </c>
      <c r="C6" s="105">
        <v>11</v>
      </c>
      <c r="D6" s="105">
        <v>4</v>
      </c>
      <c r="E6" s="105" t="s">
        <v>488</v>
      </c>
      <c r="G6" s="105" t="s">
        <v>583</v>
      </c>
      <c r="H6" s="105" t="s">
        <v>618</v>
      </c>
      <c r="I6" s="105">
        <v>5</v>
      </c>
      <c r="J6" s="105">
        <v>5</v>
      </c>
      <c r="K6" s="105" t="s">
        <v>619</v>
      </c>
    </row>
    <row r="7" spans="1:11" x14ac:dyDescent="0.25">
      <c r="A7" s="223" t="s">
        <v>408</v>
      </c>
      <c r="B7" s="223" t="s">
        <v>406</v>
      </c>
      <c r="C7" s="223">
        <v>16</v>
      </c>
      <c r="D7" s="223">
        <v>5</v>
      </c>
      <c r="E7" s="223" t="s">
        <v>489</v>
      </c>
      <c r="G7" s="105" t="s">
        <v>586</v>
      </c>
      <c r="H7" s="105" t="s">
        <v>620</v>
      </c>
      <c r="I7" s="105">
        <v>9</v>
      </c>
      <c r="J7" s="105">
        <v>4</v>
      </c>
      <c r="K7" s="105" t="s">
        <v>621</v>
      </c>
    </row>
    <row r="8" spans="1:11" x14ac:dyDescent="0.25">
      <c r="A8" s="153" t="s">
        <v>411</v>
      </c>
      <c r="B8" s="153" t="s">
        <v>490</v>
      </c>
      <c r="C8" s="153">
        <v>22</v>
      </c>
      <c r="D8" s="153">
        <v>6</v>
      </c>
      <c r="E8" s="153" t="s">
        <v>491</v>
      </c>
      <c r="G8" s="105" t="s">
        <v>589</v>
      </c>
      <c r="H8" s="105" t="s">
        <v>622</v>
      </c>
      <c r="I8" s="105">
        <v>15</v>
      </c>
      <c r="J8" s="105">
        <v>6</v>
      </c>
      <c r="K8" s="105" t="s">
        <v>623</v>
      </c>
    </row>
    <row r="9" spans="1:11" x14ac:dyDescent="0.25">
      <c r="A9" s="105" t="s">
        <v>414</v>
      </c>
      <c r="B9" s="105" t="s">
        <v>492</v>
      </c>
      <c r="C9" s="105">
        <v>29</v>
      </c>
      <c r="D9" s="105">
        <v>7</v>
      </c>
      <c r="E9" s="105" t="s">
        <v>493</v>
      </c>
      <c r="G9" s="105" t="s">
        <v>592</v>
      </c>
      <c r="H9" s="105" t="s">
        <v>624</v>
      </c>
      <c r="I9" s="105">
        <v>22</v>
      </c>
      <c r="J9" s="105">
        <v>7</v>
      </c>
      <c r="K9" s="105" t="s">
        <v>625</v>
      </c>
    </row>
    <row r="10" spans="1:11" x14ac:dyDescent="0.25">
      <c r="A10" s="105" t="s">
        <v>417</v>
      </c>
      <c r="B10" s="105" t="s">
        <v>494</v>
      </c>
      <c r="C10" s="105">
        <v>36</v>
      </c>
      <c r="D10" s="105">
        <v>7</v>
      </c>
      <c r="E10" s="105" t="s">
        <v>495</v>
      </c>
      <c r="G10" s="105" t="s">
        <v>595</v>
      </c>
      <c r="H10" s="105" t="s">
        <v>626</v>
      </c>
      <c r="I10" s="105">
        <v>29</v>
      </c>
      <c r="J10" s="105">
        <v>7</v>
      </c>
      <c r="K10" s="105" t="s">
        <v>627</v>
      </c>
    </row>
    <row r="11" spans="1:11" x14ac:dyDescent="0.25">
      <c r="A11" s="105" t="s">
        <v>420</v>
      </c>
      <c r="B11" s="105" t="s">
        <v>496</v>
      </c>
      <c r="C11" s="105">
        <v>45</v>
      </c>
      <c r="D11" s="105">
        <v>9</v>
      </c>
      <c r="E11" s="105" t="s">
        <v>497</v>
      </c>
      <c r="G11" s="105" t="s">
        <v>598</v>
      </c>
      <c r="H11" s="105" t="s">
        <v>628</v>
      </c>
      <c r="I11" s="105">
        <v>38</v>
      </c>
      <c r="J11" s="105">
        <v>9</v>
      </c>
      <c r="K11" s="105" t="s">
        <v>629</v>
      </c>
    </row>
    <row r="12" spans="1:11" x14ac:dyDescent="0.25">
      <c r="A12" s="105" t="s">
        <v>423</v>
      </c>
      <c r="B12" s="105" t="s">
        <v>498</v>
      </c>
      <c r="C12" s="105">
        <v>54</v>
      </c>
      <c r="D12" s="105">
        <v>9</v>
      </c>
      <c r="E12" s="105" t="s">
        <v>499</v>
      </c>
      <c r="G12" s="105" t="s">
        <v>600</v>
      </c>
      <c r="H12" s="105" t="s">
        <v>630</v>
      </c>
      <c r="I12" s="105">
        <v>47</v>
      </c>
      <c r="J12" s="105">
        <v>9</v>
      </c>
      <c r="K12" s="105" t="s">
        <v>631</v>
      </c>
    </row>
    <row r="13" spans="1:11" x14ac:dyDescent="0.25">
      <c r="A13" s="105" t="s">
        <v>426</v>
      </c>
      <c r="B13" s="105" t="s">
        <v>500</v>
      </c>
      <c r="C13" s="105">
        <v>66</v>
      </c>
      <c r="D13" s="105">
        <v>12</v>
      </c>
      <c r="E13" s="105" t="s">
        <v>501</v>
      </c>
      <c r="G13" s="105" t="s">
        <v>603</v>
      </c>
      <c r="H13" s="105" t="s">
        <v>632</v>
      </c>
      <c r="I13" s="105">
        <v>59</v>
      </c>
      <c r="J13" s="105">
        <v>12</v>
      </c>
      <c r="K13" s="105" t="s">
        <v>633</v>
      </c>
    </row>
    <row r="14" spans="1:11" x14ac:dyDescent="0.25">
      <c r="A14" s="105" t="s">
        <v>429</v>
      </c>
      <c r="B14" s="105" t="s">
        <v>502</v>
      </c>
      <c r="C14" s="105">
        <v>79</v>
      </c>
      <c r="D14" s="105">
        <v>13</v>
      </c>
      <c r="E14" s="105" t="s">
        <v>503</v>
      </c>
      <c r="G14" s="105" t="s">
        <v>606</v>
      </c>
      <c r="H14" s="105" t="s">
        <v>634</v>
      </c>
      <c r="I14" s="105">
        <v>72</v>
      </c>
      <c r="J14" s="105">
        <v>13</v>
      </c>
      <c r="K14" s="105" t="s">
        <v>635</v>
      </c>
    </row>
    <row r="15" spans="1:11" x14ac:dyDescent="0.25">
      <c r="A15" s="105" t="s">
        <v>432</v>
      </c>
      <c r="B15" s="105" t="s">
        <v>504</v>
      </c>
      <c r="C15" s="105">
        <v>96</v>
      </c>
      <c r="D15" s="105">
        <v>17</v>
      </c>
      <c r="E15" s="105" t="s">
        <v>505</v>
      </c>
      <c r="G15" s="105" t="s">
        <v>609</v>
      </c>
      <c r="H15" s="105" t="s">
        <v>636</v>
      </c>
      <c r="I15" s="105">
        <v>89</v>
      </c>
      <c r="J15" s="105">
        <v>17</v>
      </c>
      <c r="K15" s="105" t="s">
        <v>637</v>
      </c>
    </row>
    <row r="16" spans="1:11" x14ac:dyDescent="0.25">
      <c r="A16" s="105" t="s">
        <v>435</v>
      </c>
      <c r="B16" s="105" t="s">
        <v>506</v>
      </c>
      <c r="C16" s="105">
        <v>119</v>
      </c>
      <c r="D16" s="105">
        <v>23</v>
      </c>
      <c r="E16" s="105" t="s">
        <v>507</v>
      </c>
      <c r="G16" s="105" t="s">
        <v>612</v>
      </c>
      <c r="H16" s="105" t="s">
        <v>638</v>
      </c>
      <c r="I16" s="105">
        <v>112</v>
      </c>
      <c r="J16" s="105">
        <v>23</v>
      </c>
      <c r="K16" s="105" t="s">
        <v>639</v>
      </c>
    </row>
    <row r="17" spans="1:11" x14ac:dyDescent="0.25">
      <c r="A17" s="105" t="s">
        <v>438</v>
      </c>
      <c r="B17" s="105" t="s">
        <v>508</v>
      </c>
      <c r="C17" s="105">
        <v>156</v>
      </c>
      <c r="D17" s="105">
        <v>37</v>
      </c>
      <c r="E17" s="105" t="s">
        <v>509</v>
      </c>
      <c r="G17" s="105" t="s">
        <v>615</v>
      </c>
      <c r="H17" s="105" t="s">
        <v>640</v>
      </c>
      <c r="I17" s="105">
        <v>150</v>
      </c>
      <c r="J17" s="105">
        <v>38</v>
      </c>
      <c r="K17" s="105" t="s">
        <v>641</v>
      </c>
    </row>
    <row r="18" spans="1:11" x14ac:dyDescent="0.25">
      <c r="A18" s="105"/>
      <c r="B18" s="105"/>
      <c r="C18" s="105"/>
      <c r="D18" s="105"/>
      <c r="E18" s="105"/>
      <c r="G18" s="105"/>
      <c r="H18" s="105"/>
      <c r="I18" s="105"/>
      <c r="J18" s="105"/>
      <c r="K18" s="105"/>
    </row>
    <row r="19" spans="1:11" x14ac:dyDescent="0.25">
      <c r="A19" s="105"/>
      <c r="B19" s="105"/>
      <c r="C19" s="105"/>
      <c r="D19" s="105"/>
      <c r="E19" s="105"/>
      <c r="G19" s="105"/>
      <c r="H19" s="105"/>
      <c r="I19" s="105"/>
      <c r="J19" s="105"/>
      <c r="K19" s="105"/>
    </row>
    <row r="22" spans="1:11" x14ac:dyDescent="0.25">
      <c r="G22" s="205"/>
      <c r="H22" s="205"/>
      <c r="I22" s="205"/>
      <c r="J22" s="205"/>
      <c r="K22" s="205"/>
    </row>
    <row r="23" spans="1:11" x14ac:dyDescent="0.25">
      <c r="G23" s="230"/>
      <c r="H23" s="229"/>
      <c r="I23" s="229"/>
      <c r="J23" s="229"/>
      <c r="K23" s="229"/>
    </row>
    <row r="24" spans="1:11" x14ac:dyDescent="0.25">
      <c r="G24" s="230"/>
      <c r="H24" s="229"/>
      <c r="I24" s="229"/>
      <c r="J24" s="229"/>
      <c r="K24" s="229"/>
    </row>
    <row r="25" spans="1:11" x14ac:dyDescent="0.25">
      <c r="G25" s="230"/>
      <c r="H25" s="229"/>
      <c r="I25" s="229"/>
      <c r="J25" s="229"/>
      <c r="K25" s="229"/>
    </row>
    <row r="26" spans="1:11" x14ac:dyDescent="0.25">
      <c r="G26" s="230"/>
      <c r="H26" s="229"/>
      <c r="I26" s="229"/>
      <c r="J26" s="229"/>
      <c r="K26" s="229"/>
    </row>
    <row r="27" spans="1:11" x14ac:dyDescent="0.25">
      <c r="G27" s="230"/>
      <c r="H27" s="229"/>
      <c r="I27" s="229"/>
      <c r="J27" s="229"/>
      <c r="K27" s="229"/>
    </row>
    <row r="28" spans="1:11" x14ac:dyDescent="0.25">
      <c r="G28" s="230"/>
      <c r="H28" s="229"/>
      <c r="I28" s="229"/>
      <c r="J28" s="229"/>
      <c r="K28" s="229"/>
    </row>
    <row r="29" spans="1:11" x14ac:dyDescent="0.25">
      <c r="G29" s="230"/>
      <c r="H29" s="229"/>
      <c r="I29" s="229"/>
      <c r="J29" s="229"/>
      <c r="K29" s="229"/>
    </row>
    <row r="30" spans="1:11" x14ac:dyDescent="0.25">
      <c r="G30" s="230"/>
      <c r="H30" s="229"/>
      <c r="I30" s="229"/>
      <c r="J30" s="229"/>
      <c r="K30" s="229"/>
    </row>
    <row r="31" spans="1:11" x14ac:dyDescent="0.25">
      <c r="G31" s="230"/>
      <c r="H31" s="229"/>
      <c r="I31" s="229"/>
      <c r="J31" s="229"/>
      <c r="K31" s="229"/>
    </row>
    <row r="32" spans="1:11" x14ac:dyDescent="0.25">
      <c r="G32" s="230"/>
      <c r="H32" s="229"/>
      <c r="I32" s="229"/>
      <c r="J32" s="229"/>
      <c r="K32" s="229"/>
    </row>
    <row r="33" spans="7:11" x14ac:dyDescent="0.25">
      <c r="G33" s="230"/>
      <c r="H33" s="229"/>
      <c r="I33" s="229"/>
      <c r="J33" s="229"/>
      <c r="K33" s="229"/>
    </row>
    <row r="34" spans="7:11" x14ac:dyDescent="0.25">
      <c r="G34" s="230"/>
      <c r="H34" s="229"/>
      <c r="I34" s="229"/>
      <c r="J34" s="229"/>
      <c r="K34" s="2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I5" sqref="I5"/>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 bestFit="1" customWidth="1"/>
    <col min="8" max="8" width="21.7109375" bestFit="1" customWidth="1"/>
    <col min="9" max="9" width="17.85546875" bestFit="1" customWidth="1"/>
    <col min="10" max="10" width="21.42578125" bestFit="1" customWidth="1"/>
    <col min="11" max="11" width="7.85546875" bestFit="1" customWidth="1"/>
  </cols>
  <sheetData>
    <row r="1" spans="1:11" x14ac:dyDescent="0.25">
      <c r="A1" s="30">
        <v>43110</v>
      </c>
      <c r="B1" t="s">
        <v>511</v>
      </c>
      <c r="C1" s="47">
        <f>Rendimiento_ENTRENAMIENTO!Y2</f>
        <v>6</v>
      </c>
      <c r="G1" s="30">
        <v>43164</v>
      </c>
      <c r="H1" t="s">
        <v>511</v>
      </c>
      <c r="I1" s="47">
        <f>Rendimiento_ENTRENAMIENTO!AE2</f>
        <v>0</v>
      </c>
    </row>
    <row r="2" spans="1:11" s="52" customFormat="1" x14ac:dyDescent="0.25">
      <c r="A2" s="225" t="s">
        <v>385</v>
      </c>
      <c r="B2" s="224" t="s">
        <v>386</v>
      </c>
      <c r="C2" s="224" t="s">
        <v>387</v>
      </c>
      <c r="D2" s="224" t="s">
        <v>388</v>
      </c>
      <c r="E2" s="224" t="s">
        <v>389</v>
      </c>
      <c r="G2" s="225" t="s">
        <v>385</v>
      </c>
      <c r="H2" s="224" t="s">
        <v>386</v>
      </c>
      <c r="I2" s="224" t="s">
        <v>387</v>
      </c>
      <c r="J2" s="224" t="s">
        <v>388</v>
      </c>
      <c r="K2" s="224" t="s">
        <v>389</v>
      </c>
    </row>
    <row r="3" spans="1:11" x14ac:dyDescent="0.25">
      <c r="A3" s="223" t="s">
        <v>399</v>
      </c>
      <c r="B3" s="105" t="s">
        <v>394</v>
      </c>
      <c r="C3" s="105">
        <v>2</v>
      </c>
      <c r="D3" s="105">
        <v>2</v>
      </c>
      <c r="E3" s="105" t="s">
        <v>486</v>
      </c>
      <c r="G3" s="105"/>
      <c r="H3" s="105"/>
      <c r="I3" s="105"/>
      <c r="J3" s="105"/>
      <c r="K3" s="105"/>
    </row>
    <row r="4" spans="1:11" x14ac:dyDescent="0.25">
      <c r="A4" s="105" t="s">
        <v>402</v>
      </c>
      <c r="B4" s="105" t="s">
        <v>512</v>
      </c>
      <c r="C4" s="105">
        <v>6</v>
      </c>
      <c r="D4" s="105">
        <v>4</v>
      </c>
      <c r="E4" s="105" t="s">
        <v>513</v>
      </c>
      <c r="G4" s="105"/>
      <c r="H4" s="105"/>
      <c r="I4" s="105"/>
      <c r="J4" s="105"/>
      <c r="K4" s="105"/>
    </row>
    <row r="5" spans="1:11" x14ac:dyDescent="0.25">
      <c r="A5" s="105" t="s">
        <v>405</v>
      </c>
      <c r="B5" s="105" t="s">
        <v>457</v>
      </c>
      <c r="C5" s="105">
        <v>10</v>
      </c>
      <c r="D5" s="105">
        <v>4</v>
      </c>
      <c r="E5" s="105" t="s">
        <v>514</v>
      </c>
      <c r="G5" s="105" t="s">
        <v>583</v>
      </c>
      <c r="H5" s="105" t="s">
        <v>582</v>
      </c>
      <c r="I5" s="105">
        <v>3</v>
      </c>
      <c r="J5" s="105">
        <v>3</v>
      </c>
      <c r="K5" s="105" t="s">
        <v>535</v>
      </c>
    </row>
    <row r="6" spans="1:11" x14ac:dyDescent="0.25">
      <c r="A6" s="223" t="s">
        <v>408</v>
      </c>
      <c r="B6" s="223" t="s">
        <v>443</v>
      </c>
      <c r="C6" s="223">
        <v>15</v>
      </c>
      <c r="D6" s="223">
        <v>5</v>
      </c>
      <c r="E6" s="223" t="s">
        <v>515</v>
      </c>
      <c r="G6" s="105" t="s">
        <v>586</v>
      </c>
      <c r="H6" s="105" t="s">
        <v>643</v>
      </c>
      <c r="I6" s="105">
        <v>8</v>
      </c>
      <c r="J6" s="105">
        <v>5</v>
      </c>
      <c r="K6" s="105" t="s">
        <v>644</v>
      </c>
    </row>
    <row r="7" spans="1:11" x14ac:dyDescent="0.25">
      <c r="A7" s="153" t="s">
        <v>411</v>
      </c>
      <c r="B7" s="153" t="s">
        <v>516</v>
      </c>
      <c r="C7" s="153">
        <v>21</v>
      </c>
      <c r="D7" s="153">
        <v>6</v>
      </c>
      <c r="E7" s="153" t="s">
        <v>517</v>
      </c>
      <c r="G7" s="105" t="s">
        <v>589</v>
      </c>
      <c r="H7" s="105" t="s">
        <v>645</v>
      </c>
      <c r="I7" s="105">
        <v>14</v>
      </c>
      <c r="J7" s="105">
        <v>6</v>
      </c>
      <c r="K7" s="105" t="s">
        <v>646</v>
      </c>
    </row>
    <row r="8" spans="1:11" x14ac:dyDescent="0.25">
      <c r="A8" s="153" t="s">
        <v>414</v>
      </c>
      <c r="B8" s="153" t="s">
        <v>518</v>
      </c>
      <c r="C8" s="153">
        <v>27</v>
      </c>
      <c r="D8" s="153">
        <v>6</v>
      </c>
      <c r="E8" s="153" t="s">
        <v>493</v>
      </c>
      <c r="G8" s="105" t="s">
        <v>592</v>
      </c>
      <c r="H8" s="105" t="s">
        <v>647</v>
      </c>
      <c r="I8" s="105">
        <v>20</v>
      </c>
      <c r="J8" s="105">
        <v>6</v>
      </c>
      <c r="K8" s="105" t="s">
        <v>625</v>
      </c>
    </row>
    <row r="9" spans="1:11" x14ac:dyDescent="0.25">
      <c r="A9" s="105" t="s">
        <v>417</v>
      </c>
      <c r="B9" s="105" t="s">
        <v>519</v>
      </c>
      <c r="C9" s="105">
        <v>35</v>
      </c>
      <c r="D9" s="105">
        <v>8</v>
      </c>
      <c r="E9" s="105" t="s">
        <v>520</v>
      </c>
      <c r="G9" s="105" t="s">
        <v>595</v>
      </c>
      <c r="H9" s="105" t="s">
        <v>648</v>
      </c>
      <c r="I9" s="105">
        <v>28</v>
      </c>
      <c r="J9" s="105">
        <v>8</v>
      </c>
      <c r="K9" s="105" t="s">
        <v>649</v>
      </c>
    </row>
    <row r="10" spans="1:11" x14ac:dyDescent="0.25">
      <c r="A10" s="105" t="s">
        <v>420</v>
      </c>
      <c r="B10" s="105" t="s">
        <v>521</v>
      </c>
      <c r="C10" s="105">
        <v>43</v>
      </c>
      <c r="D10" s="105">
        <v>8</v>
      </c>
      <c r="E10" s="105" t="s">
        <v>497</v>
      </c>
      <c r="G10" s="105" t="s">
        <v>598</v>
      </c>
      <c r="H10" s="105" t="s">
        <v>650</v>
      </c>
      <c r="I10" s="105">
        <v>36</v>
      </c>
      <c r="J10" s="105">
        <v>8</v>
      </c>
      <c r="K10" s="105" t="s">
        <v>629</v>
      </c>
    </row>
    <row r="11" spans="1:11" x14ac:dyDescent="0.25">
      <c r="A11" s="105" t="s">
        <v>423</v>
      </c>
      <c r="B11" s="105" t="s">
        <v>449</v>
      </c>
      <c r="C11" s="105">
        <v>53</v>
      </c>
      <c r="D11" s="105">
        <v>10</v>
      </c>
      <c r="E11" s="105" t="s">
        <v>522</v>
      </c>
      <c r="G11" s="105" t="s">
        <v>600</v>
      </c>
      <c r="H11" s="105" t="s">
        <v>651</v>
      </c>
      <c r="I11" s="105">
        <v>46</v>
      </c>
      <c r="J11" s="105">
        <v>10</v>
      </c>
      <c r="K11" s="105" t="s">
        <v>652</v>
      </c>
    </row>
    <row r="12" spans="1:11" x14ac:dyDescent="0.25">
      <c r="A12" s="105" t="s">
        <v>426</v>
      </c>
      <c r="B12" s="105" t="s">
        <v>523</v>
      </c>
      <c r="C12" s="105">
        <v>64</v>
      </c>
      <c r="D12" s="105">
        <v>11</v>
      </c>
      <c r="E12" s="105" t="s">
        <v>524</v>
      </c>
      <c r="G12" s="105" t="s">
        <v>603</v>
      </c>
      <c r="H12" s="105" t="s">
        <v>653</v>
      </c>
      <c r="I12" s="105">
        <v>57</v>
      </c>
      <c r="J12" s="105">
        <v>11</v>
      </c>
      <c r="K12" s="105" t="s">
        <v>633</v>
      </c>
    </row>
    <row r="13" spans="1:11" x14ac:dyDescent="0.25">
      <c r="A13" s="105" t="s">
        <v>429</v>
      </c>
      <c r="B13" s="105" t="s">
        <v>525</v>
      </c>
      <c r="C13" s="105">
        <v>78</v>
      </c>
      <c r="D13" s="105">
        <v>14</v>
      </c>
      <c r="E13" s="105" t="s">
        <v>526</v>
      </c>
      <c r="G13" s="105" t="s">
        <v>606</v>
      </c>
      <c r="H13" s="105" t="s">
        <v>654</v>
      </c>
      <c r="I13" s="105">
        <v>71</v>
      </c>
      <c r="J13" s="105">
        <v>14</v>
      </c>
      <c r="K13" s="105" t="s">
        <v>655</v>
      </c>
    </row>
    <row r="14" spans="1:11" x14ac:dyDescent="0.25">
      <c r="A14" s="105" t="s">
        <v>432</v>
      </c>
      <c r="B14" s="105" t="s">
        <v>527</v>
      </c>
      <c r="C14" s="105">
        <v>95</v>
      </c>
      <c r="D14" s="105">
        <v>17</v>
      </c>
      <c r="E14" s="105" t="s">
        <v>528</v>
      </c>
      <c r="G14" s="105" t="s">
        <v>609</v>
      </c>
      <c r="H14" s="105" t="s">
        <v>656</v>
      </c>
      <c r="I14" s="105">
        <v>88</v>
      </c>
      <c r="J14" s="105">
        <v>17</v>
      </c>
      <c r="K14" s="105" t="s">
        <v>657</v>
      </c>
    </row>
    <row r="15" spans="1:11" x14ac:dyDescent="0.25">
      <c r="A15" s="105" t="s">
        <v>435</v>
      </c>
      <c r="B15" s="105" t="s">
        <v>529</v>
      </c>
      <c r="C15" s="105">
        <v>117</v>
      </c>
      <c r="D15" s="105">
        <v>22</v>
      </c>
      <c r="E15" s="105" t="s">
        <v>507</v>
      </c>
      <c r="G15" s="105" t="s">
        <v>612</v>
      </c>
      <c r="H15" s="105" t="s">
        <v>658</v>
      </c>
      <c r="I15" s="105">
        <v>110</v>
      </c>
      <c r="J15" s="105">
        <v>22</v>
      </c>
      <c r="K15" s="105" t="s">
        <v>639</v>
      </c>
    </row>
    <row r="16" spans="1:11" x14ac:dyDescent="0.25">
      <c r="A16" s="105" t="s">
        <v>438</v>
      </c>
      <c r="B16" s="105" t="s">
        <v>530</v>
      </c>
      <c r="C16" s="105">
        <v>155</v>
      </c>
      <c r="D16" s="105">
        <v>38</v>
      </c>
      <c r="E16" s="105" t="s">
        <v>531</v>
      </c>
      <c r="G16" s="105" t="s">
        <v>615</v>
      </c>
      <c r="H16" s="105" t="s">
        <v>659</v>
      </c>
      <c r="I16" s="105">
        <v>148</v>
      </c>
      <c r="J16" s="105">
        <v>38</v>
      </c>
      <c r="K16" s="105" t="s">
        <v>641</v>
      </c>
    </row>
    <row r="17" spans="1:11" x14ac:dyDescent="0.25">
      <c r="A17" s="105"/>
      <c r="B17" s="105"/>
      <c r="C17" s="105"/>
      <c r="D17" s="105"/>
      <c r="E17" s="105"/>
      <c r="G17" s="105"/>
      <c r="H17" s="105"/>
      <c r="I17" s="105"/>
      <c r="J17" s="105"/>
      <c r="K17" s="105"/>
    </row>
    <row r="18" spans="1:11" x14ac:dyDescent="0.25">
      <c r="A18" s="105"/>
      <c r="B18" s="105"/>
      <c r="C18" s="105"/>
      <c r="D18" s="105"/>
      <c r="E18" s="105"/>
      <c r="G18" s="105"/>
      <c r="H18" s="105"/>
      <c r="I18" s="105"/>
      <c r="J18" s="105"/>
      <c r="K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G6" sqref="G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43110</v>
      </c>
      <c r="B1" t="s">
        <v>294</v>
      </c>
      <c r="C1" s="47">
        <f>Rendimiento_ENTRENAMIENTO!Y2</f>
        <v>6</v>
      </c>
      <c r="G1" s="30">
        <v>43110</v>
      </c>
      <c r="H1" t="s">
        <v>294</v>
      </c>
      <c r="I1" s="47" t="s">
        <v>660</v>
      </c>
    </row>
    <row r="2" spans="1:11" s="52" customFormat="1" x14ac:dyDescent="0.25">
      <c r="A2" s="225" t="s">
        <v>385</v>
      </c>
      <c r="B2" s="224" t="s">
        <v>386</v>
      </c>
      <c r="C2" s="224" t="s">
        <v>387</v>
      </c>
      <c r="D2" s="224" t="s">
        <v>388</v>
      </c>
      <c r="E2" s="224" t="s">
        <v>389</v>
      </c>
      <c r="G2" s="225" t="s">
        <v>385</v>
      </c>
      <c r="H2" s="224" t="s">
        <v>386</v>
      </c>
      <c r="I2" s="224" t="s">
        <v>387</v>
      </c>
      <c r="J2" s="224" t="s">
        <v>388</v>
      </c>
      <c r="K2" s="224" t="s">
        <v>389</v>
      </c>
    </row>
    <row r="3" spans="1:11" x14ac:dyDescent="0.25">
      <c r="A3" s="223" t="s">
        <v>396</v>
      </c>
      <c r="B3" s="105" t="s">
        <v>394</v>
      </c>
      <c r="C3" s="105">
        <v>2</v>
      </c>
      <c r="D3" s="105">
        <v>2</v>
      </c>
      <c r="E3" s="105" t="s">
        <v>532</v>
      </c>
      <c r="G3" s="223"/>
      <c r="H3" s="105"/>
      <c r="I3" s="105"/>
      <c r="J3" s="105"/>
      <c r="K3" s="105"/>
    </row>
    <row r="4" spans="1:11" x14ac:dyDescent="0.25">
      <c r="A4" s="105" t="s">
        <v>399</v>
      </c>
      <c r="B4" s="105" t="s">
        <v>397</v>
      </c>
      <c r="C4" s="105">
        <v>5</v>
      </c>
      <c r="D4" s="105">
        <v>3</v>
      </c>
      <c r="E4" s="105" t="s">
        <v>533</v>
      </c>
    </row>
    <row r="5" spans="1:11" x14ac:dyDescent="0.25">
      <c r="A5" s="105" t="s">
        <v>402</v>
      </c>
      <c r="B5" s="105" t="s">
        <v>400</v>
      </c>
      <c r="C5" s="105">
        <v>8</v>
      </c>
      <c r="D5" s="105">
        <v>3</v>
      </c>
      <c r="E5" s="105" t="s">
        <v>513</v>
      </c>
      <c r="G5" s="105" t="s">
        <v>581</v>
      </c>
      <c r="H5" s="105" t="s">
        <v>661</v>
      </c>
      <c r="I5" s="105">
        <v>1</v>
      </c>
      <c r="J5" s="105">
        <v>1</v>
      </c>
      <c r="K5" s="105" t="s">
        <v>662</v>
      </c>
    </row>
    <row r="6" spans="1:11" x14ac:dyDescent="0.25">
      <c r="A6" s="223" t="s">
        <v>405</v>
      </c>
      <c r="B6" s="223" t="s">
        <v>534</v>
      </c>
      <c r="C6" s="223">
        <v>13</v>
      </c>
      <c r="D6" s="223">
        <v>5</v>
      </c>
      <c r="E6" s="223" t="s">
        <v>535</v>
      </c>
      <c r="G6" s="105" t="s">
        <v>583</v>
      </c>
      <c r="H6" s="105" t="s">
        <v>663</v>
      </c>
      <c r="I6" s="105">
        <v>6</v>
      </c>
      <c r="J6" s="105">
        <v>5</v>
      </c>
      <c r="K6" s="105" t="s">
        <v>664</v>
      </c>
    </row>
    <row r="7" spans="1:11" x14ac:dyDescent="0.25">
      <c r="A7" s="153" t="s">
        <v>408</v>
      </c>
      <c r="B7" s="153" t="s">
        <v>536</v>
      </c>
      <c r="C7" s="153">
        <v>17</v>
      </c>
      <c r="D7" s="153">
        <v>4</v>
      </c>
      <c r="E7" s="153" t="s">
        <v>515</v>
      </c>
      <c r="G7" s="223" t="s">
        <v>586</v>
      </c>
      <c r="H7" s="223" t="s">
        <v>665</v>
      </c>
      <c r="I7" s="223">
        <v>10</v>
      </c>
      <c r="J7" s="223">
        <v>4</v>
      </c>
      <c r="K7" s="223" t="s">
        <v>644</v>
      </c>
    </row>
    <row r="8" spans="1:11" x14ac:dyDescent="0.25">
      <c r="A8" s="153" t="s">
        <v>411</v>
      </c>
      <c r="B8" s="153" t="s">
        <v>537</v>
      </c>
      <c r="C8" s="153">
        <v>23</v>
      </c>
      <c r="D8" s="153">
        <v>6</v>
      </c>
      <c r="E8" s="153" t="s">
        <v>517</v>
      </c>
      <c r="G8" s="153" t="s">
        <v>589</v>
      </c>
      <c r="H8" s="153" t="s">
        <v>666</v>
      </c>
      <c r="I8" s="153">
        <v>16</v>
      </c>
      <c r="J8" s="153">
        <v>6</v>
      </c>
      <c r="K8" s="153" t="s">
        <v>646</v>
      </c>
    </row>
    <row r="9" spans="1:11" x14ac:dyDescent="0.25">
      <c r="A9" s="105" t="s">
        <v>414</v>
      </c>
      <c r="B9" s="105" t="s">
        <v>446</v>
      </c>
      <c r="C9" s="105">
        <v>30</v>
      </c>
      <c r="D9" s="105">
        <v>7</v>
      </c>
      <c r="E9" s="105" t="s">
        <v>538</v>
      </c>
      <c r="G9" s="153" t="s">
        <v>592</v>
      </c>
      <c r="H9" s="153" t="s">
        <v>667</v>
      </c>
      <c r="I9" s="153">
        <v>23</v>
      </c>
      <c r="J9" s="153">
        <v>7</v>
      </c>
      <c r="K9" s="153" t="s">
        <v>668</v>
      </c>
    </row>
    <row r="10" spans="1:11" x14ac:dyDescent="0.25">
      <c r="A10" s="105" t="s">
        <v>417</v>
      </c>
      <c r="B10" s="105" t="s">
        <v>447</v>
      </c>
      <c r="C10" s="105">
        <v>37</v>
      </c>
      <c r="D10" s="105">
        <v>7</v>
      </c>
      <c r="E10" s="105" t="s">
        <v>520</v>
      </c>
      <c r="G10" s="105" t="s">
        <v>595</v>
      </c>
      <c r="H10" s="105" t="s">
        <v>669</v>
      </c>
      <c r="I10" s="105">
        <v>30</v>
      </c>
      <c r="J10" s="105">
        <v>7</v>
      </c>
      <c r="K10" s="105" t="s">
        <v>649</v>
      </c>
    </row>
    <row r="11" spans="1:11" x14ac:dyDescent="0.25">
      <c r="A11" s="105" t="s">
        <v>420</v>
      </c>
      <c r="B11" s="105" t="s">
        <v>539</v>
      </c>
      <c r="C11" s="105">
        <v>46</v>
      </c>
      <c r="D11" s="105">
        <v>9</v>
      </c>
      <c r="E11" s="105" t="s">
        <v>540</v>
      </c>
      <c r="G11" s="105" t="s">
        <v>598</v>
      </c>
      <c r="H11" s="105" t="s">
        <v>670</v>
      </c>
      <c r="I11" s="105">
        <v>39</v>
      </c>
      <c r="J11" s="105">
        <v>9</v>
      </c>
      <c r="K11" s="105" t="s">
        <v>671</v>
      </c>
    </row>
    <row r="12" spans="1:11" x14ac:dyDescent="0.25">
      <c r="A12" s="105" t="s">
        <v>423</v>
      </c>
      <c r="B12" s="105" t="s">
        <v>541</v>
      </c>
      <c r="C12" s="105">
        <v>55</v>
      </c>
      <c r="D12" s="105">
        <v>9</v>
      </c>
      <c r="E12" s="105" t="s">
        <v>522</v>
      </c>
      <c r="G12" s="105" t="s">
        <v>600</v>
      </c>
      <c r="H12" s="105" t="s">
        <v>672</v>
      </c>
      <c r="I12" s="105">
        <v>48</v>
      </c>
      <c r="J12" s="105">
        <v>9</v>
      </c>
      <c r="K12" s="105" t="s">
        <v>652</v>
      </c>
    </row>
    <row r="13" spans="1:11" x14ac:dyDescent="0.25">
      <c r="A13" s="105" t="s">
        <v>426</v>
      </c>
      <c r="B13" s="105" t="s">
        <v>542</v>
      </c>
      <c r="C13" s="105">
        <v>67</v>
      </c>
      <c r="D13" s="105">
        <v>12</v>
      </c>
      <c r="E13" s="105" t="s">
        <v>543</v>
      </c>
      <c r="G13" s="105" t="s">
        <v>603</v>
      </c>
      <c r="H13" s="105" t="s">
        <v>673</v>
      </c>
      <c r="I13" s="105">
        <v>60</v>
      </c>
      <c r="J13" s="105">
        <v>12</v>
      </c>
      <c r="K13" s="105" t="s">
        <v>674</v>
      </c>
    </row>
    <row r="14" spans="1:11" x14ac:dyDescent="0.25">
      <c r="A14" s="105" t="s">
        <v>429</v>
      </c>
      <c r="B14" s="105" t="s">
        <v>544</v>
      </c>
      <c r="C14" s="105">
        <v>80</v>
      </c>
      <c r="D14" s="105">
        <v>13</v>
      </c>
      <c r="E14" s="105" t="s">
        <v>526</v>
      </c>
      <c r="G14" s="105" t="s">
        <v>606</v>
      </c>
      <c r="H14" s="105" t="s">
        <v>675</v>
      </c>
      <c r="I14" s="105">
        <v>74</v>
      </c>
      <c r="J14" s="105">
        <v>14</v>
      </c>
      <c r="K14" s="105" t="s">
        <v>676</v>
      </c>
    </row>
    <row r="15" spans="1:11" x14ac:dyDescent="0.25">
      <c r="A15" s="105" t="s">
        <v>432</v>
      </c>
      <c r="B15" s="105" t="s">
        <v>545</v>
      </c>
      <c r="C15" s="105">
        <v>97</v>
      </c>
      <c r="D15" s="105">
        <v>17</v>
      </c>
      <c r="E15" s="105" t="s">
        <v>528</v>
      </c>
      <c r="G15" s="105" t="s">
        <v>609</v>
      </c>
      <c r="H15" s="105" t="s">
        <v>677</v>
      </c>
      <c r="I15" s="105">
        <v>90</v>
      </c>
      <c r="J15" s="105">
        <v>16</v>
      </c>
      <c r="K15" s="105" t="s">
        <v>657</v>
      </c>
    </row>
    <row r="16" spans="1:11" x14ac:dyDescent="0.25">
      <c r="A16" s="105" t="s">
        <v>435</v>
      </c>
      <c r="B16" s="105" t="s">
        <v>546</v>
      </c>
      <c r="C16" s="105">
        <v>120</v>
      </c>
      <c r="D16" s="105">
        <v>23</v>
      </c>
      <c r="E16" s="105" t="s">
        <v>547</v>
      </c>
      <c r="G16" s="105" t="s">
        <v>612</v>
      </c>
      <c r="H16" s="105" t="s">
        <v>678</v>
      </c>
      <c r="I16" s="105">
        <v>113</v>
      </c>
      <c r="J16" s="105">
        <v>23</v>
      </c>
      <c r="K16" s="105" t="s">
        <v>679</v>
      </c>
    </row>
    <row r="17" spans="1:11" x14ac:dyDescent="0.25">
      <c r="A17" s="105" t="s">
        <v>438</v>
      </c>
      <c r="B17" s="105" t="s">
        <v>548</v>
      </c>
      <c r="C17" s="105">
        <v>158</v>
      </c>
      <c r="D17" s="105">
        <v>38</v>
      </c>
      <c r="E17" s="105" t="s">
        <v>549</v>
      </c>
      <c r="G17" s="105" t="s">
        <v>615</v>
      </c>
      <c r="H17" s="105" t="s">
        <v>680</v>
      </c>
      <c r="I17" s="105">
        <v>151</v>
      </c>
      <c r="J17" s="105">
        <v>38</v>
      </c>
      <c r="K17" s="105" t="s">
        <v>681</v>
      </c>
    </row>
    <row r="18" spans="1:11" x14ac:dyDescent="0.25">
      <c r="A18" s="105"/>
      <c r="B18" s="105"/>
      <c r="C18" s="105"/>
      <c r="D18" s="105"/>
      <c r="E18" s="105"/>
      <c r="G18" s="105"/>
      <c r="H18" s="105"/>
      <c r="I18" s="105"/>
      <c r="J18" s="105"/>
      <c r="K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452</v>
      </c>
      <c r="C1" s="47">
        <f>Rendimiento_ENTRENAMIENTO!Y2</f>
        <v>6</v>
      </c>
    </row>
    <row r="2" spans="1:5" s="52" customFormat="1" x14ac:dyDescent="0.25">
      <c r="A2" s="225" t="s">
        <v>385</v>
      </c>
      <c r="B2" s="224" t="s">
        <v>386</v>
      </c>
      <c r="C2" s="224" t="s">
        <v>387</v>
      </c>
      <c r="D2" s="224" t="s">
        <v>388</v>
      </c>
      <c r="E2" s="224" t="s">
        <v>389</v>
      </c>
    </row>
    <row r="3" spans="1:5" x14ac:dyDescent="0.25">
      <c r="A3" s="223" t="s">
        <v>399</v>
      </c>
      <c r="B3" s="105" t="s">
        <v>485</v>
      </c>
      <c r="C3" s="105">
        <v>4</v>
      </c>
      <c r="D3" s="105">
        <v>4</v>
      </c>
      <c r="E3" s="105" t="s">
        <v>484</v>
      </c>
    </row>
    <row r="4" spans="1:5" x14ac:dyDescent="0.25">
      <c r="A4" s="105" t="s">
        <v>402</v>
      </c>
      <c r="B4" s="105" t="s">
        <v>455</v>
      </c>
      <c r="C4" s="105">
        <v>7</v>
      </c>
      <c r="D4" s="105">
        <v>3</v>
      </c>
      <c r="E4" s="105" t="s">
        <v>486</v>
      </c>
    </row>
    <row r="5" spans="1:5" x14ac:dyDescent="0.25">
      <c r="A5" s="153" t="s">
        <v>405</v>
      </c>
      <c r="B5" s="153" t="s">
        <v>403</v>
      </c>
      <c r="C5" s="153">
        <v>11</v>
      </c>
      <c r="D5" s="153">
        <v>4</v>
      </c>
      <c r="E5" s="153" t="s">
        <v>513</v>
      </c>
    </row>
    <row r="6" spans="1:5" x14ac:dyDescent="0.25">
      <c r="A6" s="223" t="s">
        <v>408</v>
      </c>
      <c r="B6" s="223" t="s">
        <v>406</v>
      </c>
      <c r="C6" s="223">
        <v>16</v>
      </c>
      <c r="D6" s="223">
        <v>5</v>
      </c>
      <c r="E6" s="223" t="s">
        <v>535</v>
      </c>
    </row>
    <row r="7" spans="1:5" x14ac:dyDescent="0.25">
      <c r="A7" s="153" t="s">
        <v>411</v>
      </c>
      <c r="B7" s="153" t="s">
        <v>490</v>
      </c>
      <c r="C7" s="153">
        <v>22</v>
      </c>
      <c r="D7" s="153">
        <v>6</v>
      </c>
      <c r="E7" s="153" t="s">
        <v>551</v>
      </c>
    </row>
    <row r="8" spans="1:5" x14ac:dyDescent="0.25">
      <c r="A8" s="153" t="s">
        <v>414</v>
      </c>
      <c r="B8" s="153" t="s">
        <v>552</v>
      </c>
      <c r="C8" s="153">
        <v>28</v>
      </c>
      <c r="D8" s="153">
        <v>6</v>
      </c>
      <c r="E8" s="153" t="s">
        <v>553</v>
      </c>
    </row>
    <row r="9" spans="1:5" x14ac:dyDescent="0.25">
      <c r="A9" s="105" t="s">
        <v>417</v>
      </c>
      <c r="B9" s="105" t="s">
        <v>494</v>
      </c>
      <c r="C9" s="105">
        <v>36</v>
      </c>
      <c r="D9" s="105">
        <v>8</v>
      </c>
      <c r="E9" s="105" t="s">
        <v>554</v>
      </c>
    </row>
    <row r="10" spans="1:5" x14ac:dyDescent="0.25">
      <c r="A10" s="105" t="s">
        <v>420</v>
      </c>
      <c r="B10" s="105" t="s">
        <v>448</v>
      </c>
      <c r="C10" s="105">
        <v>44</v>
      </c>
      <c r="D10" s="105">
        <v>8</v>
      </c>
      <c r="E10" s="105" t="s">
        <v>555</v>
      </c>
    </row>
    <row r="11" spans="1:5" x14ac:dyDescent="0.25">
      <c r="A11" s="105" t="s">
        <v>423</v>
      </c>
      <c r="B11" s="105" t="s">
        <v>498</v>
      </c>
      <c r="C11" s="105">
        <v>54</v>
      </c>
      <c r="D11" s="105">
        <v>10</v>
      </c>
      <c r="E11" s="105" t="s">
        <v>556</v>
      </c>
    </row>
    <row r="12" spans="1:5" x14ac:dyDescent="0.25">
      <c r="A12" s="105" t="s">
        <v>426</v>
      </c>
      <c r="B12" s="105" t="s">
        <v>557</v>
      </c>
      <c r="C12" s="105">
        <v>65</v>
      </c>
      <c r="D12" s="105">
        <v>11</v>
      </c>
      <c r="E12" s="105" t="s">
        <v>558</v>
      </c>
    </row>
    <row r="13" spans="1:5" x14ac:dyDescent="0.25">
      <c r="A13" s="105" t="s">
        <v>429</v>
      </c>
      <c r="B13" s="105" t="s">
        <v>502</v>
      </c>
      <c r="C13" s="105">
        <v>79</v>
      </c>
      <c r="D13" s="105">
        <v>14</v>
      </c>
      <c r="E13" s="105" t="s">
        <v>559</v>
      </c>
    </row>
    <row r="14" spans="1:5" x14ac:dyDescent="0.25">
      <c r="A14" s="105" t="s">
        <v>432</v>
      </c>
      <c r="B14" s="105" t="s">
        <v>504</v>
      </c>
      <c r="C14" s="105">
        <v>96</v>
      </c>
      <c r="D14" s="105">
        <v>17</v>
      </c>
      <c r="E14" s="105" t="s">
        <v>560</v>
      </c>
    </row>
    <row r="15" spans="1:5" x14ac:dyDescent="0.25">
      <c r="A15" s="105" t="s">
        <v>435</v>
      </c>
      <c r="B15" s="105" t="s">
        <v>561</v>
      </c>
      <c r="C15" s="105">
        <v>118</v>
      </c>
      <c r="D15" s="105">
        <v>22</v>
      </c>
      <c r="E15" s="105" t="s">
        <v>562</v>
      </c>
    </row>
    <row r="16" spans="1:5" x14ac:dyDescent="0.25">
      <c r="A16" s="105" t="s">
        <v>438</v>
      </c>
      <c r="B16" s="105" t="s">
        <v>530</v>
      </c>
      <c r="C16" s="105">
        <v>155</v>
      </c>
      <c r="D16" s="105">
        <v>37</v>
      </c>
      <c r="E16" s="105" t="s">
        <v>563</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7"/>
  <sheetViews>
    <sheetView workbookViewId="0">
      <selection activeCell="H5" sqref="H5"/>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43124</v>
      </c>
      <c r="B1" t="s">
        <v>566</v>
      </c>
      <c r="C1" s="47">
        <f>Rendimiento_ENTRENAMIENTO!Y2</f>
        <v>6</v>
      </c>
      <c r="G1" s="30">
        <v>43164</v>
      </c>
      <c r="H1" t="s">
        <v>566</v>
      </c>
      <c r="I1" s="47">
        <f>Rendimiento_ENTRENAMIENTO!AE2</f>
        <v>0</v>
      </c>
    </row>
    <row r="2" spans="1:11" s="52" customFormat="1" x14ac:dyDescent="0.25">
      <c r="A2" s="225" t="s">
        <v>385</v>
      </c>
      <c r="B2" s="224" t="s">
        <v>386</v>
      </c>
      <c r="C2" s="224" t="s">
        <v>387</v>
      </c>
      <c r="D2" s="224" t="s">
        <v>388</v>
      </c>
      <c r="E2" s="224" t="s">
        <v>389</v>
      </c>
      <c r="G2" s="225" t="s">
        <v>385</v>
      </c>
      <c r="H2" s="224" t="s">
        <v>386</v>
      </c>
      <c r="I2" s="224" t="s">
        <v>387</v>
      </c>
      <c r="J2" s="224" t="s">
        <v>388</v>
      </c>
      <c r="K2" s="224" t="s">
        <v>389</v>
      </c>
    </row>
    <row r="3" spans="1:11" x14ac:dyDescent="0.25">
      <c r="A3" s="223" t="s">
        <v>396</v>
      </c>
      <c r="B3" s="105" t="s">
        <v>397</v>
      </c>
      <c r="C3" s="105">
        <v>3</v>
      </c>
      <c r="D3" s="105">
        <v>3</v>
      </c>
      <c r="E3" s="105" t="s">
        <v>567</v>
      </c>
      <c r="G3" s="223"/>
      <c r="H3" s="105"/>
      <c r="I3" s="105"/>
      <c r="J3" s="105"/>
      <c r="K3" s="105"/>
    </row>
    <row r="4" spans="1:11" x14ac:dyDescent="0.25">
      <c r="A4" s="105" t="s">
        <v>399</v>
      </c>
      <c r="B4" s="105" t="s">
        <v>400</v>
      </c>
      <c r="C4" s="105">
        <v>6</v>
      </c>
      <c r="D4" s="105">
        <v>3</v>
      </c>
      <c r="E4" s="105" t="s">
        <v>568</v>
      </c>
      <c r="G4" s="105" t="s">
        <v>682</v>
      </c>
      <c r="H4" s="105" t="s">
        <v>661</v>
      </c>
      <c r="I4" s="105">
        <v>1</v>
      </c>
      <c r="J4" s="105">
        <v>1</v>
      </c>
      <c r="K4" s="105" t="s">
        <v>683</v>
      </c>
    </row>
    <row r="5" spans="1:11" x14ac:dyDescent="0.25">
      <c r="A5" s="223" t="s">
        <v>402</v>
      </c>
      <c r="B5" s="223" t="s">
        <v>569</v>
      </c>
      <c r="C5" s="223">
        <v>10</v>
      </c>
      <c r="D5" s="223">
        <v>4</v>
      </c>
      <c r="E5" s="223" t="s">
        <v>570</v>
      </c>
      <c r="G5" s="223" t="s">
        <v>581</v>
      </c>
      <c r="H5" s="223" t="s">
        <v>684</v>
      </c>
      <c r="I5" s="223">
        <v>4</v>
      </c>
      <c r="J5" s="223">
        <v>3</v>
      </c>
      <c r="K5" s="223" t="s">
        <v>685</v>
      </c>
    </row>
    <row r="6" spans="1:11" x14ac:dyDescent="0.25">
      <c r="A6" s="153" t="s">
        <v>405</v>
      </c>
      <c r="B6" s="153" t="s">
        <v>406</v>
      </c>
      <c r="C6" s="153">
        <v>14</v>
      </c>
      <c r="D6" s="153">
        <v>4</v>
      </c>
      <c r="E6" s="153" t="s">
        <v>571</v>
      </c>
      <c r="G6" s="153" t="s">
        <v>583</v>
      </c>
      <c r="H6" s="153" t="s">
        <v>620</v>
      </c>
      <c r="I6" s="153">
        <v>9</v>
      </c>
      <c r="J6" s="153">
        <v>5</v>
      </c>
      <c r="K6" s="153" t="s">
        <v>686</v>
      </c>
    </row>
    <row r="7" spans="1:11" x14ac:dyDescent="0.25">
      <c r="A7" s="153" t="s">
        <v>408</v>
      </c>
      <c r="B7" s="153" t="s">
        <v>516</v>
      </c>
      <c r="C7" s="153">
        <v>19</v>
      </c>
      <c r="D7" s="153">
        <v>5</v>
      </c>
      <c r="E7" s="153" t="s">
        <v>489</v>
      </c>
      <c r="G7" s="153" t="s">
        <v>586</v>
      </c>
      <c r="H7" s="153" t="s">
        <v>687</v>
      </c>
      <c r="I7" s="153">
        <v>13</v>
      </c>
      <c r="J7" s="153">
        <v>4</v>
      </c>
      <c r="K7" s="153" t="s">
        <v>688</v>
      </c>
    </row>
    <row r="8" spans="1:11" x14ac:dyDescent="0.25">
      <c r="A8" s="153" t="s">
        <v>411</v>
      </c>
      <c r="B8" s="153" t="s">
        <v>518</v>
      </c>
      <c r="C8" s="153">
        <v>25</v>
      </c>
      <c r="D8" s="153">
        <v>6</v>
      </c>
      <c r="E8" s="153" t="s">
        <v>491</v>
      </c>
      <c r="G8" s="153" t="s">
        <v>589</v>
      </c>
      <c r="H8" s="153" t="s">
        <v>689</v>
      </c>
      <c r="I8" s="153">
        <v>19</v>
      </c>
      <c r="J8" s="153">
        <v>6</v>
      </c>
      <c r="K8" s="153" t="s">
        <v>690</v>
      </c>
    </row>
    <row r="9" spans="1:11" x14ac:dyDescent="0.25">
      <c r="A9" s="105" t="s">
        <v>414</v>
      </c>
      <c r="B9" s="105" t="s">
        <v>415</v>
      </c>
      <c r="C9" s="105">
        <v>31</v>
      </c>
      <c r="D9" s="105">
        <v>6</v>
      </c>
      <c r="E9" s="105" t="s">
        <v>572</v>
      </c>
      <c r="G9" s="105" t="s">
        <v>592</v>
      </c>
      <c r="H9" s="105" t="s">
        <v>691</v>
      </c>
      <c r="I9" s="105">
        <v>26</v>
      </c>
      <c r="J9" s="105">
        <v>7</v>
      </c>
      <c r="K9" s="105" t="s">
        <v>692</v>
      </c>
    </row>
    <row r="10" spans="1:11" x14ac:dyDescent="0.25">
      <c r="A10" s="105" t="s">
        <v>417</v>
      </c>
      <c r="B10" s="105" t="s">
        <v>550</v>
      </c>
      <c r="C10" s="105">
        <v>39</v>
      </c>
      <c r="D10" s="105">
        <v>8</v>
      </c>
      <c r="E10" s="105" t="s">
        <v>495</v>
      </c>
      <c r="G10" s="105" t="s">
        <v>595</v>
      </c>
      <c r="H10" s="105" t="s">
        <v>693</v>
      </c>
      <c r="I10" s="105">
        <v>33</v>
      </c>
      <c r="J10" s="105">
        <v>7</v>
      </c>
      <c r="K10" s="105" t="s">
        <v>694</v>
      </c>
    </row>
    <row r="11" spans="1:11" x14ac:dyDescent="0.25">
      <c r="A11" s="105" t="s">
        <v>420</v>
      </c>
      <c r="B11" s="105" t="s">
        <v>421</v>
      </c>
      <c r="C11" s="105">
        <v>47</v>
      </c>
      <c r="D11" s="105">
        <v>8</v>
      </c>
      <c r="E11" s="105" t="s">
        <v>573</v>
      </c>
      <c r="G11" s="105" t="s">
        <v>598</v>
      </c>
      <c r="H11" s="105" t="s">
        <v>695</v>
      </c>
      <c r="I11" s="105">
        <v>42</v>
      </c>
      <c r="J11" s="105">
        <v>9</v>
      </c>
      <c r="K11" s="105" t="s">
        <v>696</v>
      </c>
    </row>
    <row r="12" spans="1:11" x14ac:dyDescent="0.25">
      <c r="A12" s="105" t="s">
        <v>423</v>
      </c>
      <c r="B12" s="105" t="s">
        <v>424</v>
      </c>
      <c r="C12" s="105">
        <v>57</v>
      </c>
      <c r="D12" s="105">
        <v>10</v>
      </c>
      <c r="E12" s="105" t="s">
        <v>499</v>
      </c>
      <c r="G12" s="105" t="s">
        <v>600</v>
      </c>
      <c r="H12" s="105" t="s">
        <v>697</v>
      </c>
      <c r="I12" s="105">
        <v>51</v>
      </c>
      <c r="J12" s="105">
        <v>9</v>
      </c>
      <c r="K12" s="105" t="s">
        <v>698</v>
      </c>
    </row>
    <row r="13" spans="1:11" x14ac:dyDescent="0.25">
      <c r="A13" s="105" t="s">
        <v>426</v>
      </c>
      <c r="B13" s="105" t="s">
        <v>427</v>
      </c>
      <c r="C13" s="105">
        <v>68</v>
      </c>
      <c r="D13" s="105">
        <v>11</v>
      </c>
      <c r="E13" s="105" t="s">
        <v>574</v>
      </c>
      <c r="G13" s="105" t="s">
        <v>603</v>
      </c>
      <c r="H13" s="105" t="s">
        <v>699</v>
      </c>
      <c r="I13" s="105">
        <v>63</v>
      </c>
      <c r="J13" s="105">
        <v>12</v>
      </c>
      <c r="K13" s="105" t="s">
        <v>700</v>
      </c>
    </row>
    <row r="14" spans="1:11" x14ac:dyDescent="0.25">
      <c r="A14" s="105" t="s">
        <v>429</v>
      </c>
      <c r="B14" s="105" t="s">
        <v>430</v>
      </c>
      <c r="C14" s="105">
        <v>82</v>
      </c>
      <c r="D14" s="105">
        <v>14</v>
      </c>
      <c r="E14" s="105" t="s">
        <v>503</v>
      </c>
      <c r="G14" s="105" t="s">
        <v>606</v>
      </c>
      <c r="H14" s="105" t="s">
        <v>607</v>
      </c>
      <c r="I14" s="105">
        <v>76</v>
      </c>
      <c r="J14" s="105">
        <v>13</v>
      </c>
      <c r="K14" s="105" t="s">
        <v>701</v>
      </c>
    </row>
    <row r="15" spans="1:11" x14ac:dyDescent="0.25">
      <c r="A15" s="105" t="s">
        <v>432</v>
      </c>
      <c r="B15" s="105" t="s">
        <v>433</v>
      </c>
      <c r="C15" s="105">
        <v>99</v>
      </c>
      <c r="D15" s="105">
        <v>17</v>
      </c>
      <c r="E15" s="105" t="s">
        <v>505</v>
      </c>
      <c r="G15" s="105" t="s">
        <v>609</v>
      </c>
      <c r="H15" s="105" t="s">
        <v>702</v>
      </c>
      <c r="I15" s="105">
        <v>93</v>
      </c>
      <c r="J15" s="105">
        <v>17</v>
      </c>
      <c r="K15" s="105" t="s">
        <v>703</v>
      </c>
    </row>
    <row r="16" spans="1:11" x14ac:dyDescent="0.25">
      <c r="A16" s="105" t="s">
        <v>435</v>
      </c>
      <c r="B16" s="105" t="s">
        <v>436</v>
      </c>
      <c r="C16" s="105">
        <v>121</v>
      </c>
      <c r="D16" s="105">
        <v>22</v>
      </c>
      <c r="E16" s="105" t="s">
        <v>575</v>
      </c>
      <c r="G16" s="105" t="s">
        <v>612</v>
      </c>
      <c r="H16" s="105" t="s">
        <v>704</v>
      </c>
      <c r="I16" s="105">
        <v>116</v>
      </c>
      <c r="J16" s="105">
        <v>23</v>
      </c>
      <c r="K16" s="105" t="s">
        <v>705</v>
      </c>
    </row>
    <row r="17" spans="1:11" x14ac:dyDescent="0.25">
      <c r="A17" t="s">
        <v>438</v>
      </c>
      <c r="B17" t="s">
        <v>439</v>
      </c>
      <c r="C17">
        <v>159</v>
      </c>
      <c r="D17">
        <v>38</v>
      </c>
      <c r="E17" t="s">
        <v>509</v>
      </c>
      <c r="G17" t="s">
        <v>615</v>
      </c>
      <c r="H17" t="s">
        <v>616</v>
      </c>
      <c r="I17">
        <v>153</v>
      </c>
      <c r="J17">
        <v>37</v>
      </c>
      <c r="K17" t="s">
        <v>706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5"/>
  <sheetViews>
    <sheetView workbookViewId="0">
      <selection activeCell="A4" sqref="A4"/>
    </sheetView>
  </sheetViews>
  <sheetFormatPr baseColWidth="10" defaultRowHeight="15" x14ac:dyDescent="0.25"/>
  <cols>
    <col min="1" max="1" width="18" bestFit="1" customWidth="1"/>
    <col min="2" max="2" width="18.85546875" bestFit="1" customWidth="1"/>
    <col min="3" max="3" width="17.42578125" bestFit="1" customWidth="1"/>
    <col min="4" max="4" width="20.7109375" bestFit="1" customWidth="1"/>
    <col min="5" max="5" width="7.85546875" bestFit="1" customWidth="1"/>
  </cols>
  <sheetData>
    <row r="1" spans="1:5" x14ac:dyDescent="0.25">
      <c r="A1" s="30">
        <v>43164</v>
      </c>
    </row>
    <row r="2" spans="1:5" x14ac:dyDescent="0.25">
      <c r="A2" t="s">
        <v>577</v>
      </c>
      <c r="B2" t="s">
        <v>578</v>
      </c>
      <c r="C2" t="s">
        <v>579</v>
      </c>
      <c r="D2" t="s">
        <v>580</v>
      </c>
      <c r="E2" t="s">
        <v>389</v>
      </c>
    </row>
    <row r="3" spans="1:5" x14ac:dyDescent="0.25">
      <c r="A3" t="s">
        <v>581</v>
      </c>
      <c r="B3" t="s">
        <v>684</v>
      </c>
      <c r="C3">
        <v>4</v>
      </c>
      <c r="D3">
        <v>4</v>
      </c>
      <c r="E3" t="s">
        <v>707</v>
      </c>
    </row>
    <row r="4" spans="1:5" x14ac:dyDescent="0.25">
      <c r="A4" t="s">
        <v>583</v>
      </c>
      <c r="B4" t="s">
        <v>643</v>
      </c>
      <c r="C4">
        <v>8</v>
      </c>
      <c r="D4">
        <v>4</v>
      </c>
      <c r="E4" t="s">
        <v>708</v>
      </c>
    </row>
    <row r="5" spans="1:5" x14ac:dyDescent="0.25">
      <c r="A5" t="s">
        <v>586</v>
      </c>
      <c r="B5" t="s">
        <v>687</v>
      </c>
      <c r="C5">
        <v>13</v>
      </c>
      <c r="D5">
        <v>5</v>
      </c>
      <c r="E5" t="s">
        <v>709</v>
      </c>
    </row>
    <row r="6" spans="1:5" x14ac:dyDescent="0.25">
      <c r="A6" t="s">
        <v>589</v>
      </c>
      <c r="B6" t="s">
        <v>689</v>
      </c>
      <c r="C6">
        <v>19</v>
      </c>
      <c r="D6">
        <v>6</v>
      </c>
      <c r="E6" t="s">
        <v>710</v>
      </c>
    </row>
    <row r="7" spans="1:5" x14ac:dyDescent="0.25">
      <c r="A7" t="s">
        <v>592</v>
      </c>
      <c r="B7" t="s">
        <v>593</v>
      </c>
      <c r="C7">
        <v>25</v>
      </c>
      <c r="D7">
        <v>6</v>
      </c>
      <c r="E7" t="s">
        <v>594</v>
      </c>
    </row>
    <row r="8" spans="1:5" x14ac:dyDescent="0.25">
      <c r="A8" t="s">
        <v>595</v>
      </c>
      <c r="B8" t="s">
        <v>693</v>
      </c>
      <c r="C8">
        <v>33</v>
      </c>
      <c r="D8">
        <v>8</v>
      </c>
      <c r="E8" t="s">
        <v>711</v>
      </c>
    </row>
    <row r="9" spans="1:5" x14ac:dyDescent="0.25">
      <c r="A9" t="s">
        <v>598</v>
      </c>
      <c r="B9" t="s">
        <v>695</v>
      </c>
      <c r="C9">
        <v>42</v>
      </c>
      <c r="D9">
        <v>9</v>
      </c>
      <c r="E9" t="s">
        <v>712</v>
      </c>
    </row>
    <row r="10" spans="1:5" x14ac:dyDescent="0.25">
      <c r="A10" t="s">
        <v>600</v>
      </c>
      <c r="B10" t="s">
        <v>697</v>
      </c>
      <c r="C10">
        <v>51</v>
      </c>
      <c r="D10">
        <v>9</v>
      </c>
      <c r="E10" t="s">
        <v>425</v>
      </c>
    </row>
    <row r="11" spans="1:5" x14ac:dyDescent="0.25">
      <c r="A11" t="s">
        <v>603</v>
      </c>
      <c r="B11" t="s">
        <v>699</v>
      </c>
      <c r="C11">
        <v>63</v>
      </c>
      <c r="D11">
        <v>12</v>
      </c>
      <c r="E11" t="s">
        <v>713</v>
      </c>
    </row>
    <row r="12" spans="1:5" x14ac:dyDescent="0.25">
      <c r="A12" t="s">
        <v>606</v>
      </c>
      <c r="B12" t="s">
        <v>714</v>
      </c>
      <c r="C12">
        <v>77</v>
      </c>
      <c r="D12">
        <v>14</v>
      </c>
      <c r="E12" t="s">
        <v>715</v>
      </c>
    </row>
    <row r="13" spans="1:5" x14ac:dyDescent="0.25">
      <c r="A13" t="s">
        <v>609</v>
      </c>
      <c r="B13" t="s">
        <v>702</v>
      </c>
      <c r="C13">
        <v>93</v>
      </c>
      <c r="D13">
        <v>16</v>
      </c>
      <c r="E13" t="s">
        <v>434</v>
      </c>
    </row>
    <row r="14" spans="1:5" x14ac:dyDescent="0.25">
      <c r="A14" t="s">
        <v>612</v>
      </c>
      <c r="B14" t="s">
        <v>704</v>
      </c>
      <c r="C14">
        <v>116</v>
      </c>
      <c r="D14">
        <v>23</v>
      </c>
      <c r="E14" t="s">
        <v>716</v>
      </c>
    </row>
    <row r="15" spans="1:5" x14ac:dyDescent="0.25">
      <c r="A15" t="s">
        <v>615</v>
      </c>
      <c r="B15" t="s">
        <v>717</v>
      </c>
      <c r="C15">
        <v>154</v>
      </c>
      <c r="D15">
        <v>38</v>
      </c>
      <c r="E15" t="s">
        <v>718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E4" activePane="bottomRight" state="frozen"/>
      <selection pane="topRight" activeCell="E1" sqref="E1"/>
      <selection pane="bottomLeft" activeCell="A4" sqref="A4"/>
      <selection pane="bottomRight" activeCell="J10" sqref="J10"/>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43182</v>
      </c>
      <c r="I2" s="32">
        <f>AVERAGE(I4:I23)</f>
        <v>1.3</v>
      </c>
      <c r="J2" s="32"/>
      <c r="N2" s="37">
        <f ca="1">AVERAGE(N4:N23)</f>
        <v>0.65505966579553188</v>
      </c>
      <c r="O2" s="32">
        <f>AVERAGE(O4:O23)</f>
        <v>4.3299999999999992</v>
      </c>
      <c r="Q2" s="32">
        <f>AVERAGE(Q4:Q23)</f>
        <v>5.75</v>
      </c>
      <c r="R2" s="116">
        <f>AVERAGE(R4:R23)</f>
        <v>0.9006411935792098</v>
      </c>
      <c r="S2" s="116">
        <f>AVERAGE(S4:S23)</f>
        <v>0.95293835069116462</v>
      </c>
      <c r="T2" s="38">
        <f>SUM(T4:T23)</f>
        <v>58880</v>
      </c>
      <c r="U2" s="38">
        <f>SUM(U4:U23)</f>
        <v>3280</v>
      </c>
      <c r="V2" s="38">
        <f>SUM(V4:V23)</f>
        <v>8340</v>
      </c>
      <c r="W2" s="39">
        <f>T2/V2</f>
        <v>7.0599520383693042</v>
      </c>
      <c r="AD2" s="37">
        <f>AVERAGE(AD22:AD23)</f>
        <v>2.75</v>
      </c>
      <c r="AE2" s="33">
        <f>AVERAGE(AE22:AE23)</f>
        <v>407</v>
      </c>
      <c r="AF2" s="33"/>
      <c r="AK2" s="32"/>
      <c r="AL2" s="32"/>
      <c r="AM2" s="32"/>
      <c r="AN2" s="32"/>
      <c r="AO2" s="32">
        <f>AVERAGE(AO22:AO24)</f>
        <v>1</v>
      </c>
      <c r="AP2" s="32"/>
      <c r="AQ2" s="32">
        <f>AVERAGE(AQ22:AQ24)</f>
        <v>0.66666666666666663</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10.205357142857142</v>
      </c>
      <c r="D4" s="216" t="s">
        <v>450</v>
      </c>
      <c r="E4" s="1">
        <v>22</v>
      </c>
      <c r="F4" s="2">
        <f ca="1">8-659+D2-D1-112-62</f>
        <v>89</v>
      </c>
      <c r="G4" s="3" t="s">
        <v>296</v>
      </c>
      <c r="H4" s="4">
        <v>4</v>
      </c>
      <c r="I4" s="5">
        <v>2.7</v>
      </c>
      <c r="J4" s="22">
        <f>LOG(I4)*4/3</f>
        <v>0.57515168554531648</v>
      </c>
      <c r="K4" s="6">
        <f t="shared" ref="K4:K5" si="0">(H4)*(H4)*(I4)</f>
        <v>43.2</v>
      </c>
      <c r="L4" s="6">
        <f t="shared" ref="L4:L5" si="1">(H4+1)*(H4+1)*I4</f>
        <v>67.5</v>
      </c>
      <c r="M4" s="130">
        <v>43097</v>
      </c>
      <c r="N4" s="131">
        <f ca="1">IF((TODAY()-M4)&gt;335,1,((TODAY()-M4)^0.64)/(336^0.64))</f>
        <v>0.41492631106246303</v>
      </c>
      <c r="O4" s="25">
        <v>5.5</v>
      </c>
      <c r="P4" s="20">
        <f t="shared" ref="P4:P6" si="2">O4*10+19</f>
        <v>74</v>
      </c>
      <c r="Q4" s="26">
        <v>7</v>
      </c>
      <c r="R4" s="115">
        <f t="shared" ref="R4:R5" si="3">(Q4/7)^0.5</f>
        <v>1</v>
      </c>
      <c r="S4" s="115">
        <f t="shared" ref="S4:S5" si="4">IF(Q4=7,1,((Q4+0.99)/7)^0.5)</f>
        <v>1</v>
      </c>
      <c r="T4" s="29">
        <v>9080</v>
      </c>
      <c r="U4" s="29">
        <f>T4-AS4</f>
        <v>70</v>
      </c>
      <c r="V4" s="7">
        <v>710</v>
      </c>
      <c r="W4" s="8">
        <f t="shared" ref="W4:W5" si="5">T4/V4</f>
        <v>12.788732394366198</v>
      </c>
      <c r="X4" s="21">
        <v>0</v>
      </c>
      <c r="Y4" s="22">
        <v>7</v>
      </c>
      <c r="Z4" s="21">
        <v>2</v>
      </c>
      <c r="AA4" s="22">
        <v>5</v>
      </c>
      <c r="AB4" s="21">
        <f>7+0.25*11/90</f>
        <v>7.0305555555555559</v>
      </c>
      <c r="AC4" s="22">
        <f>5+1/21+1/21+1/21+1/21+1/21+1/21+1/21+1/21+1/21+1/21+1/21</f>
        <v>5.5238095238095219</v>
      </c>
      <c r="AD4" s="21">
        <v>4</v>
      </c>
      <c r="AE4" s="9">
        <v>645</v>
      </c>
      <c r="AF4" s="9">
        <v>1496</v>
      </c>
      <c r="AG4" s="23">
        <f ca="1">(AD4+1+(LOG(I4)*4/3)+N4)*(Q4/7)^0.5</f>
        <v>5.9900779966077797</v>
      </c>
      <c r="AH4" s="23">
        <f ca="1">(AD4+1+N4+(LOG(I4)*4/3))*(IF(Q4=7, (Q4/7)^0.5, ((Q4+1)/7)^0.5))</f>
        <v>5.9900779966077797</v>
      </c>
      <c r="AI4" s="120">
        <f ca="1">(Z4+N4+(LOG(I4)*4/3))*(Q4/7)^0.5</f>
        <v>2.9900779966077797</v>
      </c>
      <c r="AJ4" s="120">
        <f ca="1">(Z4+N4+(LOG(I4)*4/3))*(IF(Q4=7, (Q4/7)^0.5, ((Q4+1)/7)^0.5))</f>
        <v>2.9900779966077797</v>
      </c>
      <c r="AK4" s="8">
        <f ca="1">(((Y4+LOG(I4)*4/3+N4)+(AB4+LOG(I4)*4/3+N4)*2)/8)*(Q4/7)^0.5</f>
        <v>3.0039181376168065</v>
      </c>
      <c r="AL4" s="8">
        <f ca="1">(AD4+LOG(I4)*4/3+N4)*0.7+(AC4+LOG(I4)*4/3+N4)*0.3</f>
        <v>5.4472208537506361</v>
      </c>
      <c r="AM4" s="8">
        <f ca="1">(0.5*(AC4+LOG(I4)*4/3+N4)+ 0.3*(AD4+LOG(I4)*4/3+N4))/10</f>
        <v>0.47539671591909849</v>
      </c>
      <c r="AN4" s="8">
        <f ca="1">(0.4*(Y4+LOG(I4)*4/3+N4)+0.3*(AD4+LOG(I4)*4/3+N4))/10</f>
        <v>0.46930545976254462</v>
      </c>
      <c r="AO4" s="20">
        <v>4</v>
      </c>
      <c r="AP4" s="20">
        <v>1</v>
      </c>
      <c r="AQ4" s="20">
        <v>2</v>
      </c>
      <c r="AR4" s="129">
        <f t="shared" ref="AR4:AR5" si="6">IF(AP4=4,IF(AQ4=0,0.137+0.0697,0.137+0.02),IF(AP4=3,IF(AQ4=0,0.0958+0.0697,0.0958+0.02),IF(AP4=2,IF(AQ4=0,0.0415+0.0697,0.0415+0.02),IF(AP4=1,IF(AQ4=0,0.0294+0.0697,0.0294+0.02),IF(AP4=0,IF(AQ4=0,0.0063+0.0697,0.0063+0.02))))))</f>
        <v>4.9399999999999999E-2</v>
      </c>
      <c r="AS4">
        <v>9010</v>
      </c>
    </row>
    <row r="5" spans="1:45" x14ac:dyDescent="0.25">
      <c r="A5" s="15" t="s">
        <v>369</v>
      </c>
      <c r="B5" s="15" t="s">
        <v>370</v>
      </c>
      <c r="C5" s="121">
        <f t="shared" ref="C5" ca="1" si="7">((33*112)-(E5*112)-(F5))/112</f>
        <v>14.723214285714286</v>
      </c>
      <c r="D5" s="215" t="s">
        <v>306</v>
      </c>
      <c r="E5" s="16">
        <v>18</v>
      </c>
      <c r="F5" s="2">
        <f ca="1">8-159+16-570-5+D2-D1-2-12-49+9-11+44-40-112</f>
        <v>31</v>
      </c>
      <c r="G5" s="18" t="s">
        <v>177</v>
      </c>
      <c r="H5" s="4">
        <v>3</v>
      </c>
      <c r="I5" s="27">
        <v>1</v>
      </c>
      <c r="J5" s="22">
        <f t="shared" ref="J5" si="8">LOG(I5)*4/3</f>
        <v>0</v>
      </c>
      <c r="K5" s="6">
        <f t="shared" si="0"/>
        <v>9</v>
      </c>
      <c r="L5" s="6">
        <f t="shared" si="1"/>
        <v>16</v>
      </c>
      <c r="M5" s="130">
        <v>43046</v>
      </c>
      <c r="N5" s="131">
        <f t="shared" ref="N5" ca="1" si="9">IF((TODAY()-M5)&gt;335,1,((TODAY()-M5)^0.64)/(336^0.64))</f>
        <v>0.56054149028618405</v>
      </c>
      <c r="O5" s="19">
        <v>3.8</v>
      </c>
      <c r="P5" s="20">
        <f t="shared" si="2"/>
        <v>57</v>
      </c>
      <c r="Q5" s="26">
        <v>4</v>
      </c>
      <c r="R5" s="115">
        <f t="shared" si="3"/>
        <v>0.7559289460184544</v>
      </c>
      <c r="S5" s="115">
        <f t="shared" si="4"/>
        <v>0.84430867747355465</v>
      </c>
      <c r="T5" s="29">
        <v>490</v>
      </c>
      <c r="U5" s="29">
        <f t="shared" ref="U5" si="10">T5-AS5</f>
        <v>50</v>
      </c>
      <c r="V5" s="29">
        <v>270</v>
      </c>
      <c r="W5" s="8">
        <f t="shared" si="5"/>
        <v>1.8148148148148149</v>
      </c>
      <c r="X5" s="21">
        <v>0</v>
      </c>
      <c r="Y5" s="22">
        <v>4</v>
      </c>
      <c r="Z5" s="21">
        <v>4</v>
      </c>
      <c r="AA5" s="22">
        <v>3</v>
      </c>
      <c r="AB5" s="21">
        <f>4+0.25+(0.25*0.16*3/90)+0.25*3/90*0.16+0.25*0.16</f>
        <v>4.2926666666666664</v>
      </c>
      <c r="AC5" s="22">
        <f>3+1/15+1/15+1/15+1/15+1/15+1/15+1/15+1/15+1/15</f>
        <v>3.6000000000000019</v>
      </c>
      <c r="AD5" s="21">
        <v>0.4</v>
      </c>
      <c r="AE5" s="9">
        <v>360</v>
      </c>
      <c r="AF5" s="9">
        <v>1991</v>
      </c>
      <c r="AG5" s="23">
        <f t="shared" ref="AG5" ca="1" si="11">(AD5+1+(LOG(I5)*4/3)+N5)*(Q5/7)^0.5</f>
        <v>1.4820300623774849</v>
      </c>
      <c r="AH5" s="23">
        <f t="shared" ref="AH5" ca="1" si="12">(AD5+1+N5+(LOG(I5)*4/3))*(IF(Q5=7, (Q5/7)^0.5, ((Q5+1)/7)^0.5))</f>
        <v>1.656959982087155</v>
      </c>
      <c r="AI5" s="120">
        <f t="shared" ref="AI5" ca="1" si="13">(Z5+N5+(LOG(I5)*4/3))*(Q5/7)^0.5</f>
        <v>3.4474453220254664</v>
      </c>
      <c r="AJ5" s="120">
        <f t="shared" ref="AJ5" ca="1" si="14">(Z5+N5+(LOG(I5)*4/3))*(IF(Q5=7, (Q5/7)^0.5, ((Q5+1)/7)^0.5))</f>
        <v>3.8543610443812981</v>
      </c>
      <c r="AK5" s="8">
        <f t="shared" ref="AK5" ca="1" si="15">(((Y5+LOG(I5)*4/3+N5)+(AB5+LOG(I5)*4/3+N5)*2)/8)*(Q5/7)^0.5</f>
        <v>1.3481007969765666</v>
      </c>
      <c r="AL5" s="8">
        <f t="shared" ref="AL5" ca="1" si="16">(AD5+LOG(I5)*4/3+N5)*0.7+(AC5+LOG(I5)*4/3+N5)*0.3</f>
        <v>1.9205414902861846</v>
      </c>
      <c r="AM5" s="8">
        <f t="shared" ref="AM5" ca="1" si="17">(0.5*(AC5+LOG(I5)*4/3+N5)+ 0.3*(AD5+LOG(I5)*4/3+N5))/10</f>
        <v>0.23684331922289484</v>
      </c>
      <c r="AN5" s="8">
        <f t="shared" ref="AN5" ca="1" si="18">(0.4*(Y5+LOG(I5)*4/3+N5)+0.3*(AD5+LOG(I5)*4/3+N5))/10</f>
        <v>0.21123790432003289</v>
      </c>
      <c r="AO5" s="20">
        <v>1</v>
      </c>
      <c r="AP5" s="20">
        <v>1</v>
      </c>
      <c r="AQ5" s="20">
        <v>3</v>
      </c>
      <c r="AR5" s="129">
        <f t="shared" si="6"/>
        <v>4.9399999999999999E-2</v>
      </c>
      <c r="AS5">
        <v>440</v>
      </c>
    </row>
    <row r="6" spans="1:45" x14ac:dyDescent="0.25">
      <c r="A6" s="15" t="s">
        <v>39</v>
      </c>
      <c r="B6" s="15" t="s">
        <v>370</v>
      </c>
      <c r="C6" s="121">
        <f ca="1">((33*112)-(E6*112)-(F6))/112</f>
        <v>15.196428571428571</v>
      </c>
      <c r="D6" s="215" t="s">
        <v>451</v>
      </c>
      <c r="E6" s="16">
        <v>17</v>
      </c>
      <c r="F6" s="17">
        <f ca="1">72+D2-D1-112-112-112-112-112+17-112-112+10-112-27</f>
        <v>90</v>
      </c>
      <c r="G6" s="18"/>
      <c r="H6" s="4">
        <v>1</v>
      </c>
      <c r="I6" s="27">
        <v>1.5</v>
      </c>
      <c r="J6" s="22">
        <f>LOG(I6)*4/3</f>
        <v>0.23478834540757498</v>
      </c>
      <c r="K6" s="6">
        <f>(H6)*(H6)*(I6)</f>
        <v>1.5</v>
      </c>
      <c r="L6" s="6">
        <f>(H6+1)*(H6+1)*I6</f>
        <v>6</v>
      </c>
      <c r="M6" s="130">
        <v>43097</v>
      </c>
      <c r="N6" s="131">
        <v>1.5</v>
      </c>
      <c r="O6" s="19">
        <v>3.8</v>
      </c>
      <c r="P6" s="20">
        <f t="shared" si="2"/>
        <v>57</v>
      </c>
      <c r="Q6" s="20">
        <v>5</v>
      </c>
      <c r="R6" s="115">
        <f>(Q6/7)^0.5</f>
        <v>0.84515425472851657</v>
      </c>
      <c r="S6" s="115">
        <f>IF(Q6=7,1,((Q6+0.99)/7)^0.5)</f>
        <v>0.92504826128926143</v>
      </c>
      <c r="T6" s="29">
        <v>1460</v>
      </c>
      <c r="U6" s="29">
        <f>T6-AS6</f>
        <v>-100</v>
      </c>
      <c r="V6" s="29">
        <v>470</v>
      </c>
      <c r="W6" s="8">
        <f>T6/V6</f>
        <v>3.1063829787234041</v>
      </c>
      <c r="X6" s="21">
        <v>0</v>
      </c>
      <c r="Y6" s="22">
        <v>5</v>
      </c>
      <c r="Z6" s="21">
        <v>6.7</v>
      </c>
      <c r="AA6" s="22">
        <v>3</v>
      </c>
      <c r="AB6" s="21">
        <v>3</v>
      </c>
      <c r="AC6" s="22">
        <f>3+1/15+1/15+1/15+1/15+1/15*80/90+1/15+1/15+1/15+1/15+1/15+1/15</f>
        <v>3.7259259259259281</v>
      </c>
      <c r="AD6" s="21">
        <v>2</v>
      </c>
      <c r="AE6" s="9">
        <v>442</v>
      </c>
      <c r="AF6" s="9">
        <v>2015</v>
      </c>
      <c r="AG6" s="23">
        <f>(AD6+1+(LOG(I6)*4/3)+N6)*(Q6/7)^0.5</f>
        <v>4.0016265153602051</v>
      </c>
      <c r="AH6" s="23">
        <f>(AD6+1+N6+(LOG(I6)*4/3))*(IF(Q6=7, (Q6/7)^0.5, ((Q6+1)/7)^0.5))</f>
        <v>4.3835622183471541</v>
      </c>
      <c r="AI6" s="120">
        <f>(Z6+N6+(LOG(I6)*4/3))*(Q6/7)^0.5</f>
        <v>7.1286972578557153</v>
      </c>
      <c r="AJ6" s="120">
        <f>(Z6+N6+(LOG(I6)*4/3))*(IF(Q6=7, (Q6/7)^0.5, ((Q6+1)/7)^0.5))</f>
        <v>7.8090965875055938</v>
      </c>
      <c r="AK6" s="8">
        <f>(((Y6+LOG(I6)*4/3+N6)+(AB6+LOG(I6)*4/3+N6)*2)/8)*(Q6/7)^0.5</f>
        <v>1.7118985069422061</v>
      </c>
      <c r="AL6" s="8">
        <f>(AD6+LOG(I6)*4/3+N6)*0.7+(AC6+LOG(I6)*4/3+N6)*0.3</f>
        <v>4.2525661231853533</v>
      </c>
      <c r="AM6" s="8">
        <f>(0.5*(AC6+LOG(I6)*4/3+N6)+ 0.3*(AD6+LOG(I6)*4/3+N6))/10</f>
        <v>0.38507936392890241</v>
      </c>
      <c r="AN6" s="8">
        <f>(0.4*(Y6+LOG(I6)*4/3+N6)+0.3*(AD6+LOG(I6)*4/3+N6))/10</f>
        <v>0.38143518417853028</v>
      </c>
      <c r="AO6" s="20">
        <v>2</v>
      </c>
      <c r="AP6" s="20">
        <v>2</v>
      </c>
      <c r="AQ6" s="20">
        <v>1</v>
      </c>
      <c r="AR6" s="129">
        <f>IF(AP6=4,IF(AQ6=0,0.137+0.0697,0.137+0.02),IF(AP6=3,IF(AQ6=0,0.0958+0.0697,0.0958+0.02),IF(AP6=2,IF(AQ6=0,0.0415+0.0697,0.0415+0.02),IF(AP6=1,IF(AQ6=0,0.0294+0.0697,0.0294+0.02),IF(AP6=0,IF(AQ6=0,0.0063+0.0697,0.0063+0.02))))))</f>
        <v>6.1499999999999999E-2</v>
      </c>
      <c r="AS6">
        <v>1560</v>
      </c>
    </row>
    <row r="7" spans="1:45" x14ac:dyDescent="0.25">
      <c r="A7" s="15" t="s">
        <v>41</v>
      </c>
      <c r="B7" s="15" t="s">
        <v>194</v>
      </c>
      <c r="C7" s="121">
        <f ca="1">((33*112)-(E7*112)-(F7))/112</f>
        <v>14.696428571428571</v>
      </c>
      <c r="D7" s="226" t="s">
        <v>308</v>
      </c>
      <c r="E7" s="16">
        <v>18</v>
      </c>
      <c r="F7" s="2">
        <f ca="1">8-159+16-570-5+D2-D1-2-31-25-112</f>
        <v>34</v>
      </c>
      <c r="G7" s="18" t="s">
        <v>296</v>
      </c>
      <c r="H7" s="40">
        <v>6</v>
      </c>
      <c r="I7" s="27">
        <v>1.8</v>
      </c>
      <c r="J7" s="22">
        <f>LOG(I7)*4/3</f>
        <v>0.34036334013774144</v>
      </c>
      <c r="K7" s="6">
        <f>(H7)*(H7)*(I7)</f>
        <v>64.8</v>
      </c>
      <c r="L7" s="6">
        <f>(H7+1)*(H7+1)*I7</f>
        <v>88.2</v>
      </c>
      <c r="M7" s="130">
        <v>43051</v>
      </c>
      <c r="N7" s="131">
        <f ca="1">IF((TODAY()-M7)&gt;335,1,((TODAY()-M7)^0.64)/(336^0.64))</f>
        <v>0.54726351015566865</v>
      </c>
      <c r="O7" s="19">
        <v>4.5</v>
      </c>
      <c r="P7" s="20">
        <f>O7*10+19</f>
        <v>64</v>
      </c>
      <c r="Q7" s="26">
        <v>4</v>
      </c>
      <c r="R7" s="115">
        <f>(Q7/7)^0.5</f>
        <v>0.7559289460184544</v>
      </c>
      <c r="S7" s="115">
        <f>IF(Q7=7,1,((Q7+0.99)/7)^0.5)</f>
        <v>0.84430867747355465</v>
      </c>
      <c r="T7" s="29">
        <v>4120</v>
      </c>
      <c r="U7" s="29">
        <f>T7-AS7</f>
        <v>1000</v>
      </c>
      <c r="V7" s="29">
        <v>410</v>
      </c>
      <c r="W7" s="8">
        <f>T7/V7</f>
        <v>10.048780487804878</v>
      </c>
      <c r="X7" s="21">
        <v>0</v>
      </c>
      <c r="Y7" s="22">
        <v>6</v>
      </c>
      <c r="Z7" s="21">
        <v>3</v>
      </c>
      <c r="AA7" s="22">
        <v>3</v>
      </c>
      <c r="AB7" s="21">
        <f>5.4+0.2+0.2+0.2</f>
        <v>6.0000000000000009</v>
      </c>
      <c r="AC7" s="22">
        <f>3.34+0.34+0.33+0.33+0.33+0.33+0.33+0.33+0.33+0.26+0.25+0.25+0.25</f>
        <v>7</v>
      </c>
      <c r="AD7" s="21">
        <v>3</v>
      </c>
      <c r="AE7" s="9">
        <v>618</v>
      </c>
      <c r="AF7" s="9">
        <v>2051</v>
      </c>
      <c r="AG7" s="23">
        <f t="shared" ref="AG7:AG20" ca="1" si="19">(AD7+1+(LOG(I7)*4/3)+N7)*(Q7/7)^0.5</f>
        <v>3.6946986134737951</v>
      </c>
      <c r="AH7" s="23">
        <f t="shared" ref="AH7:AH20" ca="1" si="20">(AD7+1+N7+(LOG(I7)*4/3))*(IF(Q7=7, (Q7/7)^0.5, ((Q7+1)/7)^0.5))</f>
        <v>4.1307986280508135</v>
      </c>
      <c r="AI7" s="120">
        <f t="shared" ref="AI7:AI20" ca="1" si="21">(Z7+N7+(LOG(I7)*4/3))*(Q7/7)^0.5</f>
        <v>2.9387696674553414</v>
      </c>
      <c r="AJ7" s="120">
        <f t="shared" ref="AJ7:AJ20" ca="1" si="22">(Z7+N7+(LOG(I7)*4/3))*(IF(Q7=7, (Q7/7)^0.5, ((Q7+1)/7)^0.5))</f>
        <v>3.2856443733222975</v>
      </c>
      <c r="AK7" s="8">
        <f t="shared" ref="AK7:AK20" ca="1" si="23">(((Y7+LOG(I7)*4/3+N7)+(AB7+LOG(I7)*4/3+N7)*2)/8)*(Q7/7)^0.5</f>
        <v>1.9524586895665141</v>
      </c>
      <c r="AL7" s="8">
        <f t="shared" ref="AL7:AL20" ca="1" si="24">(AD7+LOG(I7)*4/3+N7)*0.7+(AC7+LOG(I7)*4/3+N7)*0.3</f>
        <v>5.0876268502934092</v>
      </c>
      <c r="AM7" s="8">
        <f t="shared" ref="AM7:AM20" ca="1" si="25">(0.5*(AC7+LOG(I7)*4/3+N7)+ 0.3*(AD7+LOG(I7)*4/3+N7))/10</f>
        <v>0.51101014802347278</v>
      </c>
      <c r="AN7" s="8">
        <f t="shared" ref="AN7:AN20" ca="1" si="26">(0.4*(Y7+LOG(I7)*4/3+N7)+0.3*(AD7+LOG(I7)*4/3+N7))/10</f>
        <v>0.39213387952053874</v>
      </c>
      <c r="AO7" s="20">
        <v>2</v>
      </c>
      <c r="AP7" s="20">
        <v>2</v>
      </c>
      <c r="AQ7" s="20">
        <v>1</v>
      </c>
      <c r="AR7" s="129">
        <f>IF(AP7=4,IF(AQ7=0,0.137+0.0697,0.137+0.02),IF(AP7=3,IF(AQ7=0,0.0958+0.0697,0.0958+0.02),IF(AP7=2,IF(AQ7=0,0.0415+0.0697,0.0415+0.02),IF(AP7=1,IF(AQ7=0,0.0294+0.0697,0.0294+0.02),IF(AP7=0,IF(AQ7=0,0.0063+0.0697,0.0063+0.02))))))</f>
        <v>6.1499999999999999E-2</v>
      </c>
      <c r="AS7">
        <v>3120</v>
      </c>
    </row>
    <row r="8" spans="1:45" x14ac:dyDescent="0.25">
      <c r="A8" s="15" t="s">
        <v>38</v>
      </c>
      <c r="B8" s="15" t="s">
        <v>194</v>
      </c>
      <c r="C8" s="121">
        <f ca="1">((33*112)-(E8*112)-(F8))/112</f>
        <v>14.607142857142858</v>
      </c>
      <c r="D8" s="226" t="s">
        <v>382</v>
      </c>
      <c r="E8" s="16">
        <v>18</v>
      </c>
      <c r="F8" s="2">
        <f ca="1">8-159+16-570-5+D2-D1-2-31-15-112</f>
        <v>44</v>
      </c>
      <c r="G8" s="18" t="s">
        <v>70</v>
      </c>
      <c r="H8" s="4">
        <v>0</v>
      </c>
      <c r="I8" s="27">
        <v>1.9</v>
      </c>
      <c r="J8" s="22">
        <f>LOG(I8)*4/3</f>
        <v>0.3716714679371052</v>
      </c>
      <c r="K8" s="6">
        <f>(H8)*(H8)*(I8)</f>
        <v>0</v>
      </c>
      <c r="L8" s="6">
        <f>(H8+1)*(H8+1)*I8</f>
        <v>1.9</v>
      </c>
      <c r="M8" s="130">
        <v>43081</v>
      </c>
      <c r="N8" s="131">
        <f ca="1">IF((TODAY()-M8)&gt;335,1,((TODAY()-M8)^0.64)/(336^0.64))</f>
        <v>0.46334933247594834</v>
      </c>
      <c r="O8" s="19">
        <v>3.5</v>
      </c>
      <c r="P8" s="20">
        <f>O8*10+19</f>
        <v>54</v>
      </c>
      <c r="Q8" s="26">
        <v>6</v>
      </c>
      <c r="R8" s="115">
        <f>(Q8/7)^0.5</f>
        <v>0.92582009977255142</v>
      </c>
      <c r="S8" s="115">
        <f>IF(Q8=7,1,((Q8+0.99)/7)^0.5)</f>
        <v>0.99928545900129484</v>
      </c>
      <c r="T8" s="29">
        <v>7030</v>
      </c>
      <c r="U8" s="29">
        <f>T8-AS8</f>
        <v>-1080</v>
      </c>
      <c r="V8" s="29">
        <v>550</v>
      </c>
      <c r="W8" s="8">
        <f>T8/V8</f>
        <v>12.781818181818181</v>
      </c>
      <c r="X8" s="21">
        <v>0</v>
      </c>
      <c r="Y8" s="22">
        <v>6</v>
      </c>
      <c r="Z8" s="21">
        <v>5</v>
      </c>
      <c r="AA8" s="22">
        <v>6</v>
      </c>
      <c r="AB8" s="21">
        <f>5.8+0.2+0.2</f>
        <v>6.2</v>
      </c>
      <c r="AC8" s="22">
        <f>5+0.34+0.33+0.33+0.25+0.25+0.25+0.25+0.25+0.25+0.25+0.25</f>
        <v>8</v>
      </c>
      <c r="AD8" s="21">
        <v>0</v>
      </c>
      <c r="AE8" s="9">
        <v>774</v>
      </c>
      <c r="AF8" s="9">
        <v>2193</v>
      </c>
      <c r="AG8" s="23">
        <f t="shared" ca="1" si="19"/>
        <v>1.6988991405231204</v>
      </c>
      <c r="AH8" s="23">
        <f t="shared" ca="1" si="20"/>
        <v>1.8350208004130535</v>
      </c>
      <c r="AI8" s="120">
        <f t="shared" ca="1" si="21"/>
        <v>5.4021795396133259</v>
      </c>
      <c r="AJ8" s="120">
        <f t="shared" ca="1" si="22"/>
        <v>5.8350208004130533</v>
      </c>
      <c r="AK8" s="8">
        <f t="shared" ca="1" si="23"/>
        <v>2.4192908697583317</v>
      </c>
      <c r="AL8" s="8">
        <f t="shared" ca="1" si="24"/>
        <v>3.2350208004130532</v>
      </c>
      <c r="AM8" s="8">
        <f t="shared" ca="1" si="25"/>
        <v>0.46680166403304424</v>
      </c>
      <c r="AN8" s="8">
        <f t="shared" ca="1" si="26"/>
        <v>0.29845145602891376</v>
      </c>
      <c r="AO8" s="20">
        <v>1</v>
      </c>
      <c r="AP8" s="20">
        <v>2</v>
      </c>
      <c r="AQ8" s="20">
        <v>2</v>
      </c>
      <c r="AR8" s="129">
        <f>IF(AP8=4,IF(AQ8=0,0.137+0.0697,0.137+0.02),IF(AP8=3,IF(AQ8=0,0.0958+0.0697,0.0958+0.02),IF(AP8=2,IF(AQ8=0,0.0415+0.0697,0.0415+0.02),IF(AP8=1,IF(AQ8=0,0.0294+0.0697,0.0294+0.02),IF(AP8=0,IF(AQ8=0,0.0063+0.0697,0.0063+0.02))))))</f>
        <v>6.1499999999999999E-2</v>
      </c>
      <c r="AS8" s="214">
        <v>8110</v>
      </c>
    </row>
    <row r="9" spans="1:45" x14ac:dyDescent="0.25">
      <c r="A9" s="15" t="s">
        <v>364</v>
      </c>
      <c r="B9" s="24" t="s">
        <v>194</v>
      </c>
      <c r="C9" s="121">
        <f ca="1">((33*112)-(E9*112)-(F9))/112</f>
        <v>14.303571428571429</v>
      </c>
      <c r="D9" s="216" t="s">
        <v>301</v>
      </c>
      <c r="E9" s="1">
        <v>18</v>
      </c>
      <c r="F9" s="2">
        <f ca="1">8-159+16-570-5+D2-D1-2-12-112</f>
        <v>78</v>
      </c>
      <c r="G9" s="3" t="s">
        <v>70</v>
      </c>
      <c r="H9" s="4">
        <v>2</v>
      </c>
      <c r="I9" s="5">
        <v>0.5</v>
      </c>
      <c r="J9" s="22">
        <f>LOG(I9)*4/3</f>
        <v>-0.40137332755197491</v>
      </c>
      <c r="K9" s="6">
        <f>(H9)*(H9)*(I9)</f>
        <v>2</v>
      </c>
      <c r="L9" s="6">
        <f>(H9+1)*(H9+1)*I9</f>
        <v>4.5</v>
      </c>
      <c r="M9" s="130">
        <v>43046</v>
      </c>
      <c r="N9" s="131">
        <f ca="1">IF((TODAY()-M9)&gt;335,1,((TODAY()-M9)^0.64)/(336^0.64))</f>
        <v>0.56054149028618405</v>
      </c>
      <c r="O9" s="25">
        <v>5</v>
      </c>
      <c r="P9" s="20">
        <f>O9*10+19</f>
        <v>69</v>
      </c>
      <c r="Q9" s="26">
        <v>7</v>
      </c>
      <c r="R9" s="115">
        <f>(Q9/7)^0.5</f>
        <v>1</v>
      </c>
      <c r="S9" s="115">
        <f>IF(Q9=7,1,((Q9+0.99)/7)^0.5)</f>
        <v>1</v>
      </c>
      <c r="T9" s="29">
        <v>2600</v>
      </c>
      <c r="U9" s="29">
        <f>T9-AS9</f>
        <v>40</v>
      </c>
      <c r="V9" s="7">
        <v>450</v>
      </c>
      <c r="W9" s="8">
        <f>T9/V9</f>
        <v>5.7777777777777777</v>
      </c>
      <c r="X9" s="21">
        <v>0</v>
      </c>
      <c r="Y9" s="22">
        <v>6</v>
      </c>
      <c r="Z9" s="21">
        <v>4</v>
      </c>
      <c r="AA9" s="22">
        <v>4</v>
      </c>
      <c r="AB9" s="21">
        <f>2.67+0.33+0.33*0.16+0.25+0.25</f>
        <v>3.5528</v>
      </c>
      <c r="AC9" s="22">
        <f>3.27+0.33+1/15+1/15+1/15+1/15+1/15+1/15+1/15+1/15+1/15+1/15+1/15+1/15</f>
        <v>4.3999999999999995</v>
      </c>
      <c r="AD9" s="21">
        <v>6</v>
      </c>
      <c r="AE9" s="9">
        <v>488</v>
      </c>
      <c r="AF9" s="9">
        <v>1928</v>
      </c>
      <c r="AG9" s="23">
        <f t="shared" ca="1" si="19"/>
        <v>7.1591681627342085</v>
      </c>
      <c r="AH9" s="23">
        <f t="shared" ca="1" si="20"/>
        <v>7.1591681627342085</v>
      </c>
      <c r="AI9" s="120">
        <f t="shared" ca="1" si="21"/>
        <v>4.1591681627342085</v>
      </c>
      <c r="AJ9" s="120">
        <f t="shared" ca="1" si="22"/>
        <v>4.1591681627342085</v>
      </c>
      <c r="AK9" s="8">
        <f t="shared" ca="1" si="23"/>
        <v>1.6978880610253282</v>
      </c>
      <c r="AL9" s="8">
        <f t="shared" ca="1" si="24"/>
        <v>5.6791681627342081</v>
      </c>
      <c r="AM9" s="8">
        <f t="shared" ca="1" si="25"/>
        <v>0.41273345301873671</v>
      </c>
      <c r="AN9" s="8">
        <f t="shared" ca="1" si="26"/>
        <v>0.43114177139139465</v>
      </c>
      <c r="AO9" s="20">
        <v>2</v>
      </c>
      <c r="AP9" s="20">
        <v>0</v>
      </c>
      <c r="AQ9" s="20">
        <v>3</v>
      </c>
      <c r="AR9" s="129">
        <f>IF(AP9=4,IF(AQ9=0,0.137+0.0697,0.137+0.02),IF(AP9=3,IF(AQ9=0,0.0958+0.0697,0.0958+0.02),IF(AP9=2,IF(AQ9=0,0.0415+0.0697,0.0415+0.02),IF(AP9=1,IF(AQ9=0,0.0294+0.0697,0.0294+0.02),IF(AP9=0,IF(AQ9=0,0.0063+0.0697,0.0063+0.02))))))</f>
        <v>2.63E-2</v>
      </c>
      <c r="AS9">
        <v>2560</v>
      </c>
    </row>
    <row r="10" spans="1:45" x14ac:dyDescent="0.25">
      <c r="A10" s="15" t="s">
        <v>309</v>
      </c>
      <c r="B10" s="15" t="s">
        <v>194</v>
      </c>
      <c r="C10" s="121">
        <f t="shared" ref="C10:C12" ca="1" si="27">((33*112)-(E10*112)-(F10))/112</f>
        <v>14.732142857142858</v>
      </c>
      <c r="D10" s="216" t="s">
        <v>299</v>
      </c>
      <c r="E10" s="1">
        <v>18</v>
      </c>
      <c r="F10" s="2">
        <f ca="1">8-159+16-570-5+D2-D1-2-60-112</f>
        <v>30</v>
      </c>
      <c r="G10" s="3" t="s">
        <v>296</v>
      </c>
      <c r="H10" s="4">
        <v>3</v>
      </c>
      <c r="I10" s="5">
        <v>1.4</v>
      </c>
      <c r="J10" s="22">
        <f t="shared" ref="J10:J12" si="28">LOG(I10)*4/3</f>
        <v>0.19483738090431735</v>
      </c>
      <c r="K10" s="6">
        <f t="shared" ref="K10:K13" si="29">(H10)*(H10)*(I10)</f>
        <v>12.6</v>
      </c>
      <c r="L10" s="6">
        <f t="shared" ref="L10:L13" si="30">(H10+1)*(H10+1)*I10</f>
        <v>22.4</v>
      </c>
      <c r="M10" s="130">
        <v>43045</v>
      </c>
      <c r="N10" s="131">
        <f t="shared" ref="N10:N12" ca="1" si="31">IF((TODAY()-M10)&gt;335,1,((TODAY()-M10)^0.64)/(336^0.64))</f>
        <v>0.56317585291883743</v>
      </c>
      <c r="O10" s="25">
        <v>4.5</v>
      </c>
      <c r="P10" s="20">
        <f t="shared" ref="P10:P13" si="32">O10*10+19</f>
        <v>64</v>
      </c>
      <c r="Q10" s="26">
        <v>5</v>
      </c>
      <c r="R10" s="115">
        <f t="shared" ref="R10:R12" si="33">(Q10/7)^0.5</f>
        <v>0.84515425472851657</v>
      </c>
      <c r="S10" s="115">
        <f t="shared" ref="S10:S12" si="34">IF(Q10=7,1,((Q10+0.99)/7)^0.5)</f>
        <v>0.92504826128926143</v>
      </c>
      <c r="T10" s="29">
        <v>1130</v>
      </c>
      <c r="U10" s="29">
        <f t="shared" ref="U10:U12" si="35">T10-AS10</f>
        <v>160</v>
      </c>
      <c r="V10" s="7">
        <v>330</v>
      </c>
      <c r="W10" s="8">
        <f t="shared" ref="W10:W13" si="36">T10/V10</f>
        <v>3.4242424242424243</v>
      </c>
      <c r="X10" s="21">
        <v>0</v>
      </c>
      <c r="Y10" s="22">
        <v>5</v>
      </c>
      <c r="Z10" s="21">
        <v>3</v>
      </c>
      <c r="AA10" s="22">
        <v>4</v>
      </c>
      <c r="AB10" s="21">
        <v>3</v>
      </c>
      <c r="AC10" s="22">
        <f>3.73+1/15+1/15+1/15+1/15+1/15+1/15+1/15+1/15+1/15+1/15+1/15+1/15+1/15</f>
        <v>4.5966666666666658</v>
      </c>
      <c r="AD10" s="21">
        <v>3</v>
      </c>
      <c r="AE10" s="9">
        <v>401</v>
      </c>
      <c r="AF10" s="9">
        <v>1900</v>
      </c>
      <c r="AG10" s="23">
        <f t="shared" ca="1" si="19"/>
        <v>4.0212551286202274</v>
      </c>
      <c r="AH10" s="23">
        <f t="shared" ca="1" si="20"/>
        <v>4.4050642868572734</v>
      </c>
      <c r="AI10" s="120">
        <f t="shared" ca="1" si="21"/>
        <v>3.1761008738917109</v>
      </c>
      <c r="AJ10" s="120">
        <f t="shared" ca="1" si="22"/>
        <v>3.4792441870847215</v>
      </c>
      <c r="AK10" s="8">
        <f t="shared" ca="1" si="23"/>
        <v>1.4023263913915209</v>
      </c>
      <c r="AL10" s="8">
        <f t="shared" ca="1" si="24"/>
        <v>4.2370132338231548</v>
      </c>
      <c r="AM10" s="8">
        <f t="shared" ca="1" si="25"/>
        <v>0.38047439203918565</v>
      </c>
      <c r="AN10" s="8">
        <f t="shared" ca="1" si="26"/>
        <v>0.34306092636762087</v>
      </c>
      <c r="AO10" s="20">
        <v>3</v>
      </c>
      <c r="AP10" s="20">
        <v>1</v>
      </c>
      <c r="AQ10" s="20">
        <v>2</v>
      </c>
      <c r="AR10" s="129">
        <f t="shared" ref="AR10:AR12" si="37">IF(AP10=4,IF(AQ10=0,0.137+0.0697,0.137+0.02),IF(AP10=3,IF(AQ10=0,0.0958+0.0697,0.0958+0.02),IF(AP10=2,IF(AQ10=0,0.0415+0.0697,0.0415+0.02),IF(AP10=1,IF(AQ10=0,0.0294+0.0697,0.0294+0.02),IF(AP10=0,IF(AQ10=0,0.0063+0.0697,0.0063+0.02))))))</f>
        <v>4.9399999999999999E-2</v>
      </c>
      <c r="AS10">
        <v>970</v>
      </c>
    </row>
    <row r="11" spans="1:45" x14ac:dyDescent="0.25">
      <c r="A11" s="15" t="s">
        <v>43</v>
      </c>
      <c r="B11" s="15" t="s">
        <v>194</v>
      </c>
      <c r="C11" s="121">
        <f t="shared" ca="1" si="27"/>
        <v>14.696428571428571</v>
      </c>
      <c r="D11" s="226" t="s">
        <v>576</v>
      </c>
      <c r="E11" s="1">
        <v>18</v>
      </c>
      <c r="F11" s="2">
        <f ca="1">8-159+16-570-5+D2-D1-2-56-112</f>
        <v>34</v>
      </c>
      <c r="G11" s="3" t="s">
        <v>296</v>
      </c>
      <c r="H11" s="227">
        <v>5</v>
      </c>
      <c r="I11" s="5">
        <v>1.4</v>
      </c>
      <c r="J11" s="22">
        <f t="shared" si="28"/>
        <v>0.19483738090431735</v>
      </c>
      <c r="K11" s="6">
        <f t="shared" si="29"/>
        <v>35</v>
      </c>
      <c r="L11" s="6">
        <f t="shared" si="30"/>
        <v>50.4</v>
      </c>
      <c r="M11" s="130">
        <v>43137</v>
      </c>
      <c r="N11" s="131">
        <f t="shared" ca="1" si="31"/>
        <v>0.27618422641528872</v>
      </c>
      <c r="O11" s="25">
        <v>3.5</v>
      </c>
      <c r="P11" s="20">
        <f t="shared" si="32"/>
        <v>54</v>
      </c>
      <c r="Q11" s="26">
        <v>6</v>
      </c>
      <c r="R11" s="115">
        <f t="shared" si="33"/>
        <v>0.92582009977255142</v>
      </c>
      <c r="S11" s="115">
        <f t="shared" si="34"/>
        <v>0.99928545900129484</v>
      </c>
      <c r="T11" s="29">
        <v>6170</v>
      </c>
      <c r="U11" s="29">
        <f t="shared" si="35"/>
        <v>1060</v>
      </c>
      <c r="V11" s="7">
        <v>790</v>
      </c>
      <c r="W11" s="8">
        <f t="shared" si="36"/>
        <v>7.8101265822784809</v>
      </c>
      <c r="X11" s="21">
        <v>0</v>
      </c>
      <c r="Y11" s="22">
        <v>8</v>
      </c>
      <c r="Z11" s="21">
        <v>4</v>
      </c>
      <c r="AA11" s="22">
        <v>5</v>
      </c>
      <c r="AB11" s="21">
        <f>4+0.25</f>
        <v>4.25</v>
      </c>
      <c r="AC11" s="22">
        <f>5.25+0.25+0.25+0.25+0.25+0.25+0.25</f>
        <v>6.75</v>
      </c>
      <c r="AD11" s="21">
        <v>3</v>
      </c>
      <c r="AE11" s="9">
        <v>678</v>
      </c>
      <c r="AF11" s="9">
        <v>2137</v>
      </c>
      <c r="AG11" s="23">
        <f t="shared" ca="1" si="19"/>
        <v>4.1393616705738712</v>
      </c>
      <c r="AH11" s="23">
        <f t="shared" ca="1" si="20"/>
        <v>4.4710216073196065</v>
      </c>
      <c r="AI11" s="120">
        <f t="shared" ca="1" si="21"/>
        <v>4.1393616705738712</v>
      </c>
      <c r="AJ11" s="120">
        <f t="shared" ca="1" si="22"/>
        <v>4.4710216073196065</v>
      </c>
      <c r="AK11" s="8">
        <f t="shared" ref="AK11" ca="1" si="38">(((Y11+LOG(I11)*4/3+N11)+(AB11+LOG(I11)*4/3+N11)*2)/8)*(Q11/7)^0.5</f>
        <v>2.0730344325872618</v>
      </c>
      <c r="AL11" s="8">
        <f t="shared" ref="AL11" ca="1" si="39">(AD11+LOG(I11)*4/3+N11)*0.7+(AC11+LOG(I11)*4/3+N11)*0.3</f>
        <v>4.5960216073196065</v>
      </c>
      <c r="AM11" s="8">
        <f t="shared" ref="AM11" ca="1" si="40">(0.5*(AC11+LOG(I11)*4/3+N11)+ 0.3*(AD11+LOG(I11)*4/3+N11))/10</f>
        <v>0.4651817285855685</v>
      </c>
      <c r="AN11" s="8">
        <f t="shared" ca="1" si="26"/>
        <v>0.44297151251237243</v>
      </c>
      <c r="AO11" s="20">
        <v>1</v>
      </c>
      <c r="AP11" s="20">
        <v>2</v>
      </c>
      <c r="AQ11" s="20">
        <v>3</v>
      </c>
      <c r="AR11" s="129">
        <f t="shared" si="37"/>
        <v>6.1499999999999999E-2</v>
      </c>
      <c r="AS11">
        <v>5110</v>
      </c>
    </row>
    <row r="12" spans="1:45" x14ac:dyDescent="0.25">
      <c r="A12" s="15" t="s">
        <v>33</v>
      </c>
      <c r="B12" s="15" t="s">
        <v>194</v>
      </c>
      <c r="C12" s="121">
        <f t="shared" ca="1" si="27"/>
        <v>15.044642857142858</v>
      </c>
      <c r="D12" s="226" t="s">
        <v>566</v>
      </c>
      <c r="E12" s="1">
        <v>17</v>
      </c>
      <c r="F12" s="2">
        <f ca="1">58++D2-D1-112-112-112-112-112-112-112-81</f>
        <v>107</v>
      </c>
      <c r="G12" s="3" t="s">
        <v>45</v>
      </c>
      <c r="H12" s="4">
        <v>3</v>
      </c>
      <c r="I12" s="5">
        <v>1.5</v>
      </c>
      <c r="J12" s="22">
        <f t="shared" si="28"/>
        <v>0.23478834540757498</v>
      </c>
      <c r="K12" s="6">
        <f t="shared" si="29"/>
        <v>13.5</v>
      </c>
      <c r="L12" s="6">
        <f t="shared" si="30"/>
        <v>24</v>
      </c>
      <c r="M12" s="130">
        <v>43122</v>
      </c>
      <c r="N12" s="131">
        <f t="shared" ca="1" si="31"/>
        <v>0.33201649666360128</v>
      </c>
      <c r="O12" s="25">
        <v>3.7</v>
      </c>
      <c r="P12" s="20">
        <f t="shared" si="32"/>
        <v>56</v>
      </c>
      <c r="Q12" s="26">
        <v>6</v>
      </c>
      <c r="R12" s="115">
        <f t="shared" si="33"/>
        <v>0.92582009977255142</v>
      </c>
      <c r="S12" s="115">
        <f t="shared" si="34"/>
        <v>0.99928545900129484</v>
      </c>
      <c r="T12" s="29">
        <v>5600</v>
      </c>
      <c r="U12" s="29">
        <f t="shared" si="35"/>
        <v>760</v>
      </c>
      <c r="V12" s="7">
        <v>410</v>
      </c>
      <c r="W12" s="8">
        <f t="shared" si="36"/>
        <v>13.658536585365853</v>
      </c>
      <c r="X12" s="21">
        <v>0</v>
      </c>
      <c r="Y12" s="22">
        <v>6</v>
      </c>
      <c r="Z12" s="21">
        <v>3</v>
      </c>
      <c r="AA12" s="22">
        <v>3</v>
      </c>
      <c r="AB12" s="21">
        <v>7</v>
      </c>
      <c r="AC12" s="22">
        <f>4.25+0.25+0.25+0.25+0.25+0.25+0.25+0.25+0.25+0.25+0.25</f>
        <v>6.75</v>
      </c>
      <c r="AD12" s="21">
        <v>3</v>
      </c>
      <c r="AE12" s="9">
        <v>613</v>
      </c>
      <c r="AF12" s="9">
        <v>2102</v>
      </c>
      <c r="AG12" s="23">
        <f t="shared" ca="1" si="19"/>
        <v>4.2280397145281068</v>
      </c>
      <c r="AH12" s="23">
        <f t="shared" ca="1" si="20"/>
        <v>4.5668048420711767</v>
      </c>
      <c r="AI12" s="120">
        <f t="shared" ca="1" si="21"/>
        <v>3.3022196147555558</v>
      </c>
      <c r="AJ12" s="120">
        <f t="shared" ca="1" si="22"/>
        <v>3.5668048420711762</v>
      </c>
      <c r="AK12" s="8">
        <f t="shared" ref="AK12" ca="1" si="41">(((Y12+LOG(I12)*4/3+N12)+(AB12+LOG(I12)*4/3+N12)*2)/8)*(Q12/7)^0.5</f>
        <v>2.5113349927205917</v>
      </c>
      <c r="AL12" s="8">
        <f t="shared" ref="AL12" ca="1" si="42">(AD12+LOG(I12)*4/3+N12)*0.7+(AC12+LOG(I12)*4/3+N12)*0.3</f>
        <v>4.6918048420711758</v>
      </c>
      <c r="AM12" s="8">
        <f t="shared" ref="AM12" ca="1" si="43">(0.5*(AC12+LOG(I12)*4/3+N12)+ 0.3*(AD12+LOG(I12)*4/3+N12))/10</f>
        <v>0.47284438736569412</v>
      </c>
      <c r="AN12" s="8">
        <f t="shared" ca="1" si="26"/>
        <v>0.36967633894498231</v>
      </c>
      <c r="AO12" s="20">
        <v>2</v>
      </c>
      <c r="AP12" s="20">
        <v>0</v>
      </c>
      <c r="AQ12" s="20">
        <v>2</v>
      </c>
      <c r="AR12" s="129">
        <f t="shared" si="37"/>
        <v>2.63E-2</v>
      </c>
      <c r="AS12" s="193">
        <v>4840</v>
      </c>
    </row>
    <row r="13" spans="1:45" x14ac:dyDescent="0.25">
      <c r="A13" s="15" t="s">
        <v>35</v>
      </c>
      <c r="B13" s="15" t="s">
        <v>194</v>
      </c>
      <c r="C13" s="121">
        <f ca="1">((33*112)-(E13*112)-(F13))/112</f>
        <v>14.919642857142858</v>
      </c>
      <c r="D13" s="226" t="s">
        <v>452</v>
      </c>
      <c r="E13" s="16">
        <v>18</v>
      </c>
      <c r="F13" s="2">
        <f ca="1">-35+D2-D1-67-112-112-112+87-112-112-112-112+6-112</f>
        <v>9</v>
      </c>
      <c r="G13" s="18" t="s">
        <v>45</v>
      </c>
      <c r="H13" s="40">
        <v>6</v>
      </c>
      <c r="I13" s="27">
        <v>1.5</v>
      </c>
      <c r="J13" s="22">
        <f>LOG(I13)*4/3</f>
        <v>0.23478834540757498</v>
      </c>
      <c r="K13" s="6">
        <f t="shared" si="29"/>
        <v>54</v>
      </c>
      <c r="L13" s="6">
        <f t="shared" si="30"/>
        <v>73.5</v>
      </c>
      <c r="M13" s="130">
        <v>43097</v>
      </c>
      <c r="N13" s="131">
        <f ca="1">IF((TODAY()-M13)&gt;335,1,((TODAY()-M13)^0.64)/(336^0.64))</f>
        <v>0.41492631106246303</v>
      </c>
      <c r="O13" s="25">
        <v>3.5</v>
      </c>
      <c r="P13" s="20">
        <f t="shared" si="32"/>
        <v>54</v>
      </c>
      <c r="Q13" s="20">
        <v>6</v>
      </c>
      <c r="R13" s="115">
        <f>(Q13/7)^0.5</f>
        <v>0.92582009977255142</v>
      </c>
      <c r="S13" s="115">
        <f>IF(Q13=7,1,((Q13+0.99)/7)^0.5)</f>
        <v>0.99928545900129484</v>
      </c>
      <c r="T13" s="29">
        <v>1780</v>
      </c>
      <c r="U13" s="29">
        <f>T13-AS13</f>
        <v>80</v>
      </c>
      <c r="V13" s="29">
        <v>410</v>
      </c>
      <c r="W13" s="8">
        <f t="shared" si="36"/>
        <v>4.3414634146341466</v>
      </c>
      <c r="X13" s="21">
        <v>0</v>
      </c>
      <c r="Y13" s="22">
        <v>6</v>
      </c>
      <c r="Z13" s="21">
        <v>3</v>
      </c>
      <c r="AA13" s="22">
        <v>3</v>
      </c>
      <c r="AB13" s="21">
        <f>3+0.33</f>
        <v>3.33</v>
      </c>
      <c r="AC13" s="22">
        <f>5.19+0.25+0.25+1/17+0.25+1/21+1/21+1/21+1/21+1/21+1/21+6/90*0.25</f>
        <v>6.3012044817927162</v>
      </c>
      <c r="AD13" s="21">
        <v>4</v>
      </c>
      <c r="AE13" s="9">
        <v>497</v>
      </c>
      <c r="AF13" s="9">
        <v>2036</v>
      </c>
      <c r="AG13" s="23">
        <f ca="1">(AD13+1+(LOG(I13)*4/3)+N13)*(Q13/7)^0.5</f>
        <v>5.2306193869395363</v>
      </c>
      <c r="AH13" s="23">
        <f ca="1">(AD13+1+N13+(LOG(I13)*4/3))*(IF(Q13=7, (Q13/7)^0.5, ((Q13+1)/7)^0.5))</f>
        <v>5.6497146564700387</v>
      </c>
      <c r="AI13" s="120">
        <f t="shared" ca="1" si="21"/>
        <v>3.3789791873944339</v>
      </c>
      <c r="AJ13" s="120">
        <f t="shared" ca="1" si="22"/>
        <v>3.6497146564700382</v>
      </c>
      <c r="AK13" s="8">
        <f t="shared" ca="1" si="23"/>
        <v>1.6906798909188547</v>
      </c>
      <c r="AL13" s="8">
        <f ca="1">(AD13+LOG(I13)*4/3+N13)*0.7+(AC13+LOG(I13)*4/3+N13)*0.3</f>
        <v>5.3400760010078523</v>
      </c>
      <c r="AM13" s="8">
        <f ca="1">(0.5*(AC13+LOG(I13)*4/3+N13)+ 0.3*(AD13+LOG(I13)*4/3+N13))/10</f>
        <v>0.48703739660723883</v>
      </c>
      <c r="AN13" s="8">
        <f ca="1">(0.4*(Y13+LOG(I13)*4/3+N13)+0.3*(AD13+LOG(I13)*4/3+N13))/10</f>
        <v>0.40548002595290267</v>
      </c>
      <c r="AO13" s="20">
        <v>2</v>
      </c>
      <c r="AP13" s="20">
        <v>3</v>
      </c>
      <c r="AQ13" s="20">
        <v>1</v>
      </c>
      <c r="AR13" s="129">
        <f>IF(AP13=4,IF(AQ13=0,0.137+0.0697,0.137+0.02),IF(AP13=3,IF(AQ13=0,0.0958+0.0697,0.0958+0.02),IF(AP13=2,IF(AQ13=0,0.0415+0.0697,0.0415+0.02),IF(AP13=1,IF(AQ13=0,0.0294+0.0697,0.0294+0.02),IF(AP13=0,IF(AQ13=0,0.0063+0.0697,0.0063+0.02))))))</f>
        <v>0.1158</v>
      </c>
      <c r="AS13">
        <v>1700</v>
      </c>
    </row>
    <row r="14" spans="1:45" x14ac:dyDescent="0.25">
      <c r="A14" s="15" t="s">
        <v>293</v>
      </c>
      <c r="B14" s="15" t="s">
        <v>95</v>
      </c>
      <c r="C14" s="121">
        <f ca="1">((33*112)-(E14*112)-(F14))/112</f>
        <v>14.366071428571429</v>
      </c>
      <c r="D14" s="215" t="s">
        <v>295</v>
      </c>
      <c r="E14" s="16">
        <v>18</v>
      </c>
      <c r="F14" s="17">
        <f ca="1">8-159+16-570-5+D2-D1-2-19-112</f>
        <v>71</v>
      </c>
      <c r="G14" s="18" t="s">
        <v>296</v>
      </c>
      <c r="H14" s="4">
        <v>3</v>
      </c>
      <c r="I14" s="27">
        <v>1.3</v>
      </c>
      <c r="J14" s="22">
        <f>LOG(I14)*4/3</f>
        <v>0.15192446974244905</v>
      </c>
      <c r="K14" s="6">
        <f>(H14)*(H14)*(I14)</f>
        <v>11.700000000000001</v>
      </c>
      <c r="L14" s="6">
        <f>(H14+1)*(H14+1)*I14</f>
        <v>20.8</v>
      </c>
      <c r="M14" s="130">
        <v>43045</v>
      </c>
      <c r="N14" s="131">
        <f ca="1">IF((TODAY()-M14)&gt;335,1,((TODAY()-M14)^0.64)/(336^0.64))</f>
        <v>0.56317585291883743</v>
      </c>
      <c r="O14" s="19">
        <v>5</v>
      </c>
      <c r="P14" s="20">
        <f>O14*10+19</f>
        <v>69</v>
      </c>
      <c r="Q14" s="20">
        <v>7</v>
      </c>
      <c r="R14" s="115">
        <f>(Q14/7)^0.5</f>
        <v>1</v>
      </c>
      <c r="S14" s="115">
        <f>IF(Q14=7,1,((Q14+0.99)/7)^0.5)</f>
        <v>1</v>
      </c>
      <c r="T14" s="29">
        <v>2010</v>
      </c>
      <c r="U14" s="29">
        <f>T14-AS14</f>
        <v>50</v>
      </c>
      <c r="V14" s="29">
        <v>390</v>
      </c>
      <c r="W14" s="8">
        <f>T14/V14</f>
        <v>5.1538461538461542</v>
      </c>
      <c r="X14" s="21">
        <v>0</v>
      </c>
      <c r="Y14" s="22">
        <v>3</v>
      </c>
      <c r="Z14" s="21">
        <v>6</v>
      </c>
      <c r="AA14" s="22">
        <v>3</v>
      </c>
      <c r="AB14" s="21">
        <f>3.25+0.25+0.25+0.25+0.25</f>
        <v>4.25</v>
      </c>
      <c r="AC14" s="22">
        <f>4.22+0.33+0.33+1/17+1/17+1/17*79/90+0.33*11/90+1/17+1/17+1/17+1/17+1/17+1/17+1/17+1/17</f>
        <v>5.560202614379083</v>
      </c>
      <c r="AD14" s="21">
        <v>3</v>
      </c>
      <c r="AE14" s="9">
        <v>461</v>
      </c>
      <c r="AF14" s="9">
        <v>1941</v>
      </c>
      <c r="AG14" s="23">
        <f t="shared" ca="1" si="19"/>
        <v>4.7151003226612858</v>
      </c>
      <c r="AH14" s="23">
        <f t="shared" ca="1" si="20"/>
        <v>4.7151003226612858</v>
      </c>
      <c r="AI14" s="120">
        <f t="shared" ca="1" si="21"/>
        <v>6.7151003226612858</v>
      </c>
      <c r="AJ14" s="120">
        <f t="shared" ca="1" si="22"/>
        <v>6.7151003226612858</v>
      </c>
      <c r="AK14" s="8">
        <f t="shared" ca="1" si="23"/>
        <v>1.7056626209979822</v>
      </c>
      <c r="AL14" s="8">
        <f t="shared" ca="1" si="24"/>
        <v>4.483161106975011</v>
      </c>
      <c r="AM14" s="8">
        <f t="shared" ca="1" si="25"/>
        <v>0.42521815653185707</v>
      </c>
      <c r="AN14" s="8">
        <f t="shared" ca="1" si="26"/>
        <v>0.26005702258629004</v>
      </c>
      <c r="AO14" s="20">
        <v>2</v>
      </c>
      <c r="AP14" s="20">
        <v>3</v>
      </c>
      <c r="AQ14" s="20">
        <v>2</v>
      </c>
      <c r="AR14" s="129">
        <f>IF(AP14=4,IF(AQ14=0,0.137+0.0697,0.137+0.02),IF(AP14=3,IF(AQ14=0,0.0958+0.0697,0.0958+0.02),IF(AP14=2,IF(AQ14=0,0.0415+0.0697,0.0415+0.02),IF(AP14=1,IF(AQ14=0,0.0294+0.0697,0.0294+0.02),IF(AP14=0,IF(AQ14=0,0.0063+0.0697,0.0063+0.02))))))</f>
        <v>0.1158</v>
      </c>
      <c r="AS14">
        <v>1960</v>
      </c>
    </row>
    <row r="15" spans="1:45" x14ac:dyDescent="0.25">
      <c r="A15" s="15" t="s">
        <v>367</v>
      </c>
      <c r="B15" s="24" t="s">
        <v>95</v>
      </c>
      <c r="C15" s="121">
        <f ca="1">((33*112)-(E15*112)-(F15))/112</f>
        <v>14.473214285714286</v>
      </c>
      <c r="D15" s="216" t="s">
        <v>300</v>
      </c>
      <c r="E15" s="1">
        <v>18</v>
      </c>
      <c r="F15" s="2">
        <f ca="1">8-159+16-570-5+D2-D1-2-31-112</f>
        <v>59</v>
      </c>
      <c r="G15" s="3" t="s">
        <v>0</v>
      </c>
      <c r="H15" s="4">
        <v>4</v>
      </c>
      <c r="I15" s="5">
        <v>0.6</v>
      </c>
      <c r="J15" s="22">
        <f>LOG(I15)*4/3</f>
        <v>-0.29579833282180851</v>
      </c>
      <c r="K15" s="6">
        <f>(H15)*(H15)*(I15)</f>
        <v>9.6</v>
      </c>
      <c r="L15" s="6">
        <f>(H15+1)*(H15+1)*I15</f>
        <v>15</v>
      </c>
      <c r="M15" s="130">
        <v>43046</v>
      </c>
      <c r="N15" s="131">
        <f ca="1">IF((TODAY()-M15)&gt;335,1,((TODAY()-M15)^0.64)/(336^0.64))</f>
        <v>0.56054149028618405</v>
      </c>
      <c r="O15" s="25">
        <v>4.8</v>
      </c>
      <c r="P15" s="20">
        <f>O15*10+19</f>
        <v>67</v>
      </c>
      <c r="Q15" s="26">
        <v>7</v>
      </c>
      <c r="R15" s="115">
        <f>(Q15/7)^0.5</f>
        <v>1</v>
      </c>
      <c r="S15" s="115">
        <f>IF(Q15=7,1,((Q15+0.99)/7)^0.5)</f>
        <v>1</v>
      </c>
      <c r="T15" s="29">
        <v>1450</v>
      </c>
      <c r="U15" s="29">
        <f>T15-AS15</f>
        <v>50</v>
      </c>
      <c r="V15" s="7">
        <v>350</v>
      </c>
      <c r="W15" s="8">
        <f>T15/V15</f>
        <v>4.1428571428571432</v>
      </c>
      <c r="X15" s="21">
        <v>0</v>
      </c>
      <c r="Y15" s="22">
        <v>2</v>
      </c>
      <c r="Z15" s="21">
        <v>5</v>
      </c>
      <c r="AA15" s="22">
        <v>3</v>
      </c>
      <c r="AB15" s="21">
        <v>3</v>
      </c>
      <c r="AC15" s="22">
        <f>5+1/20+1/20+1/20+1/20+1/20+1/20+1/20+1/20+1/20+1/20+1/20+1/20+1/20</f>
        <v>5.6499999999999977</v>
      </c>
      <c r="AD15" s="21">
        <v>5</v>
      </c>
      <c r="AE15" s="9">
        <v>387</v>
      </c>
      <c r="AF15" s="9">
        <v>1844</v>
      </c>
      <c r="AG15" s="23">
        <f t="shared" ca="1" si="19"/>
        <v>6.264743157464375</v>
      </c>
      <c r="AH15" s="23">
        <f t="shared" ca="1" si="20"/>
        <v>6.264743157464375</v>
      </c>
      <c r="AI15" s="120">
        <f t="shared" ca="1" si="21"/>
        <v>5.264743157464375</v>
      </c>
      <c r="AJ15" s="120">
        <f t="shared" ca="1" si="22"/>
        <v>5.264743157464375</v>
      </c>
      <c r="AK15" s="8">
        <f t="shared" ca="1" si="23"/>
        <v>1.0992786840491409</v>
      </c>
      <c r="AL15" s="8">
        <f t="shared" ca="1" si="24"/>
        <v>5.4597431574643736</v>
      </c>
      <c r="AM15" s="8">
        <f t="shared" ca="1" si="25"/>
        <v>0.45367945259714987</v>
      </c>
      <c r="AN15" s="8">
        <f t="shared" ca="1" si="26"/>
        <v>0.24853202102250629</v>
      </c>
      <c r="AO15" s="20">
        <v>4</v>
      </c>
      <c r="AP15" s="20">
        <v>2</v>
      </c>
      <c r="AQ15" s="20">
        <v>2</v>
      </c>
      <c r="AR15" s="129">
        <f>IF(AP15=4,IF(AQ15=0,0.137+0.0697,0.137+0.02),IF(AP15=3,IF(AQ15=0,0.0958+0.0697,0.0958+0.02),IF(AP15=2,IF(AQ15=0,0.0415+0.0697,0.0415+0.02),IF(AP15=1,IF(AQ15=0,0.0294+0.0697,0.0294+0.02),IF(AP15=0,IF(AQ15=0,0.0063+0.0697,0.0063+0.02))))))</f>
        <v>6.1499999999999999E-2</v>
      </c>
      <c r="AS15">
        <v>1400</v>
      </c>
    </row>
    <row r="16" spans="1:45" x14ac:dyDescent="0.25">
      <c r="A16" s="15" t="s">
        <v>371</v>
      </c>
      <c r="B16" s="15" t="s">
        <v>95</v>
      </c>
      <c r="C16" s="121">
        <f t="shared" ref="C16:C17" ca="1" si="44">((33*112)-(E16*112)-(F16))/112</f>
        <v>14.741071428571429</v>
      </c>
      <c r="D16" s="215" t="s">
        <v>302</v>
      </c>
      <c r="E16" s="16">
        <v>18</v>
      </c>
      <c r="F16" s="2">
        <f ca="1">8-159+16-570-5+D2-D1-2-12-49-112</f>
        <v>29</v>
      </c>
      <c r="G16" s="18" t="s">
        <v>177</v>
      </c>
      <c r="H16" s="4">
        <v>3</v>
      </c>
      <c r="I16" s="27">
        <v>0.5</v>
      </c>
      <c r="J16" s="22">
        <f t="shared" ref="J16:J17" si="45">LOG(I16)*4/3</f>
        <v>-0.40137332755197491</v>
      </c>
      <c r="K16" s="6">
        <f t="shared" ref="K16:K17" si="46">(H16)*(H16)*(I16)</f>
        <v>4.5</v>
      </c>
      <c r="L16" s="6">
        <f t="shared" ref="L16:L17" si="47">(H16+1)*(H16+1)*I16</f>
        <v>8</v>
      </c>
      <c r="M16" s="130">
        <v>43046</v>
      </c>
      <c r="N16" s="131">
        <f t="shared" ref="N16" ca="1" si="48">IF((TODAY()-M16)&gt;335,1,((TODAY()-M16)^0.64)/(336^0.64))</f>
        <v>0.56054149028618405</v>
      </c>
      <c r="O16" s="19">
        <v>3.8</v>
      </c>
      <c r="P16" s="20">
        <f t="shared" ref="P16:P17" si="49">O16*10+19</f>
        <v>57</v>
      </c>
      <c r="Q16" s="26">
        <v>6</v>
      </c>
      <c r="R16" s="115">
        <f t="shared" ref="R16:R17" si="50">(Q16/7)^0.5</f>
        <v>0.92582009977255142</v>
      </c>
      <c r="S16" s="115">
        <f t="shared" ref="S16:S17" si="51">IF(Q16=7,1,((Q16+0.99)/7)^0.5)</f>
        <v>0.99928545900129484</v>
      </c>
      <c r="T16" s="29">
        <v>760</v>
      </c>
      <c r="U16" s="29">
        <f t="shared" ref="U16:U18" si="52">T16-AS16</f>
        <v>70</v>
      </c>
      <c r="V16" s="29">
        <v>290</v>
      </c>
      <c r="W16" s="8">
        <f t="shared" ref="W16:W17" si="53">T16/V16</f>
        <v>2.6206896551724137</v>
      </c>
      <c r="X16" s="21">
        <v>0</v>
      </c>
      <c r="Y16" s="22">
        <v>3</v>
      </c>
      <c r="Z16" s="21">
        <v>4</v>
      </c>
      <c r="AA16" s="22">
        <v>4</v>
      </c>
      <c r="AB16" s="21">
        <f>3+(0.25*0.16*31/90)+(0.25*0.16*3/90)</f>
        <v>3.0151111111111111</v>
      </c>
      <c r="AC16" s="22">
        <f>4+1/17+1/17+1/17+1/17+1/17+1/17+1/17+1/17+1/17</f>
        <v>4.5294117647058805</v>
      </c>
      <c r="AD16" s="21">
        <v>1.3</v>
      </c>
      <c r="AE16" s="9">
        <v>352</v>
      </c>
      <c r="AF16" s="9">
        <v>1986</v>
      </c>
      <c r="AG16" s="23">
        <f t="shared" ca="1" si="19"/>
        <v>2.2767473137800676</v>
      </c>
      <c r="AH16" s="23">
        <f t="shared" ca="1" si="20"/>
        <v>2.4591681627342088</v>
      </c>
      <c r="AI16" s="120">
        <f t="shared" ca="1" si="21"/>
        <v>3.8506414833934044</v>
      </c>
      <c r="AJ16" s="120">
        <f t="shared" ca="1" si="22"/>
        <v>4.1591681627342085</v>
      </c>
      <c r="AK16" s="8">
        <f t="shared" ca="1" si="23"/>
        <v>1.1003055614569608</v>
      </c>
      <c r="AL16" s="8">
        <f t="shared" ca="1" si="24"/>
        <v>2.427991692145973</v>
      </c>
      <c r="AM16" s="8">
        <f t="shared" ca="1" si="25"/>
        <v>0.2782040412540307</v>
      </c>
      <c r="AN16" s="8">
        <f t="shared" ca="1" si="26"/>
        <v>0.17014177139139466</v>
      </c>
      <c r="AO16" s="20">
        <v>1</v>
      </c>
      <c r="AP16" s="20">
        <v>3</v>
      </c>
      <c r="AQ16" s="20">
        <v>1</v>
      </c>
      <c r="AR16" s="129">
        <f t="shared" ref="AR16:AR17" si="54">IF(AP16=4,IF(AQ16=0,0.137+0.0697,0.137+0.02),IF(AP16=3,IF(AQ16=0,0.0958+0.0697,0.0958+0.02),IF(AP16=2,IF(AQ16=0,0.0415+0.0697,0.0415+0.02),IF(AP16=1,IF(AQ16=0,0.0294+0.0697,0.0294+0.02),IF(AP16=0,IF(AQ16=0,0.0063+0.0697,0.0063+0.02))))))</f>
        <v>0.1158</v>
      </c>
      <c r="AS16">
        <v>690</v>
      </c>
    </row>
    <row r="17" spans="1:45" x14ac:dyDescent="0.25">
      <c r="A17" s="15" t="s">
        <v>564</v>
      </c>
      <c r="B17" s="15" t="s">
        <v>95</v>
      </c>
      <c r="C17" s="121">
        <f t="shared" ca="1" si="44"/>
        <v>13.321428571428571</v>
      </c>
      <c r="D17" s="215" t="s">
        <v>565</v>
      </c>
      <c r="E17" s="16">
        <v>19</v>
      </c>
      <c r="F17" s="2">
        <f ca="1">8-159+16-570-5+D2-D1-2-12-49-65</f>
        <v>76</v>
      </c>
      <c r="G17" s="18"/>
      <c r="H17" s="227">
        <v>5</v>
      </c>
      <c r="I17" s="27">
        <v>1.2</v>
      </c>
      <c r="J17" s="22">
        <f t="shared" si="45"/>
        <v>0.10557499473016642</v>
      </c>
      <c r="K17" s="6">
        <f t="shared" si="46"/>
        <v>30</v>
      </c>
      <c r="L17" s="6">
        <f t="shared" si="47"/>
        <v>43.199999999999996</v>
      </c>
      <c r="M17" s="130">
        <v>43108</v>
      </c>
      <c r="N17" s="131">
        <v>1.5</v>
      </c>
      <c r="O17" s="19">
        <v>3.5</v>
      </c>
      <c r="P17" s="20">
        <f t="shared" si="49"/>
        <v>54</v>
      </c>
      <c r="Q17" s="26">
        <v>5</v>
      </c>
      <c r="R17" s="115">
        <f t="shared" si="50"/>
        <v>0.84515425472851657</v>
      </c>
      <c r="S17" s="115">
        <f t="shared" si="51"/>
        <v>0.92504826128926143</v>
      </c>
      <c r="T17" s="29">
        <v>1120</v>
      </c>
      <c r="U17" s="29">
        <f t="shared" si="52"/>
        <v>-50</v>
      </c>
      <c r="V17" s="29">
        <v>330</v>
      </c>
      <c r="W17" s="8">
        <f t="shared" si="53"/>
        <v>3.393939393939394</v>
      </c>
      <c r="X17" s="21">
        <v>0</v>
      </c>
      <c r="Y17" s="22">
        <v>4</v>
      </c>
      <c r="Z17" s="21">
        <v>5</v>
      </c>
      <c r="AA17" s="22">
        <v>2</v>
      </c>
      <c r="AB17" s="21">
        <f>3+0.25</f>
        <v>3.25</v>
      </c>
      <c r="AC17" s="22">
        <f>5+1/20+1/20+1/20+1/20+1/20+1/20+1/20+1/20+1/20</f>
        <v>5.4499999999999984</v>
      </c>
      <c r="AD17" s="21">
        <v>2</v>
      </c>
      <c r="AE17" s="9">
        <v>414</v>
      </c>
      <c r="AF17" s="9">
        <v>1728</v>
      </c>
      <c r="AG17" s="23">
        <f t="shared" si="19"/>
        <v>3.8924213022674654</v>
      </c>
      <c r="AH17" s="23">
        <f t="shared" si="20"/>
        <v>4.2639339011310504</v>
      </c>
      <c r="AI17" s="120">
        <f t="shared" si="21"/>
        <v>5.5827298117244988</v>
      </c>
      <c r="AJ17" s="120">
        <f t="shared" si="22"/>
        <v>6.1155741006761533</v>
      </c>
      <c r="AK17" s="8">
        <f t="shared" ref="AK17" si="55">(((Y17+LOG(I17)*4/3+N17)+(AB17+LOG(I17)*4/3+N17)*2)/8)*(Q17/7)^0.5</f>
        <v>1.6181244111118964</v>
      </c>
      <c r="AL17" s="8">
        <f t="shared" ref="AL17" si="56">(AD17+LOG(I17)*4/3+N17)*0.7+(AC17+LOG(I17)*4/3+N17)*0.3</f>
        <v>4.6405749947301658</v>
      </c>
      <c r="AM17" s="8">
        <f t="shared" ref="AM17" si="57">(0.5*(AC17+LOG(I17)*4/3+N17)+ 0.3*(AD17+LOG(I17)*4/3+N17))/10</f>
        <v>0.46094599957841326</v>
      </c>
      <c r="AN17" s="8">
        <f t="shared" si="26"/>
        <v>0.33239024963111169</v>
      </c>
      <c r="AO17" s="20">
        <v>2</v>
      </c>
      <c r="AP17" s="20">
        <v>2</v>
      </c>
      <c r="AQ17" s="20">
        <v>2</v>
      </c>
      <c r="AR17" s="129">
        <f t="shared" si="54"/>
        <v>6.1499999999999999E-2</v>
      </c>
      <c r="AS17" s="193">
        <v>1170</v>
      </c>
    </row>
    <row r="18" spans="1:45" x14ac:dyDescent="0.25">
      <c r="A18" s="15" t="s">
        <v>31</v>
      </c>
      <c r="B18" s="15" t="s">
        <v>71</v>
      </c>
      <c r="C18" s="121">
        <f ca="1">((33*112)-(E18*112)-(F18))/112</f>
        <v>14.732142857142858</v>
      </c>
      <c r="D18" s="226" t="s">
        <v>294</v>
      </c>
      <c r="E18" s="16">
        <v>18</v>
      </c>
      <c r="F18" s="17">
        <f ca="1">8-159+16-570-5+D2-D1-62-112</f>
        <v>30</v>
      </c>
      <c r="G18" s="18" t="s">
        <v>45</v>
      </c>
      <c r="H18" s="4">
        <v>1</v>
      </c>
      <c r="I18" s="27">
        <v>1.7</v>
      </c>
      <c r="J18" s="22">
        <f>LOG(I18)*4/3</f>
        <v>0.30726522850436522</v>
      </c>
      <c r="K18" s="6">
        <f>(H18)*(H18)*(I18)</f>
        <v>1.7</v>
      </c>
      <c r="L18" s="6">
        <f>(H18+1)*(H18+1)*I18</f>
        <v>6.8</v>
      </c>
      <c r="M18" s="130">
        <v>43046</v>
      </c>
      <c r="N18" s="131">
        <v>1.5</v>
      </c>
      <c r="O18" s="19">
        <v>4.8</v>
      </c>
      <c r="P18" s="20">
        <f>O18*10+19</f>
        <v>67</v>
      </c>
      <c r="Q18" s="20">
        <v>3</v>
      </c>
      <c r="R18" s="115">
        <f>(Q18/7)^0.5</f>
        <v>0.65465367070797709</v>
      </c>
      <c r="S18" s="115">
        <f>IF(Q18=7,1,((Q18+0.99)/7)^0.5)</f>
        <v>0.75498344352707503</v>
      </c>
      <c r="T18" s="29">
        <v>4150</v>
      </c>
      <c r="U18" s="29">
        <f t="shared" si="52"/>
        <v>-310</v>
      </c>
      <c r="V18" s="29">
        <v>450</v>
      </c>
      <c r="W18" s="8">
        <f>T18/V18</f>
        <v>9.2222222222222214</v>
      </c>
      <c r="X18" s="21">
        <v>0</v>
      </c>
      <c r="Y18" s="22">
        <v>2</v>
      </c>
      <c r="Z18" s="21">
        <v>5.7</v>
      </c>
      <c r="AA18" s="22">
        <v>5.5</v>
      </c>
      <c r="AB18" s="21">
        <v>6</v>
      </c>
      <c r="AC18" s="22">
        <f>4.25+0.34+0.33+0.33+0.25+0.25+0.25+0.25+0.25+0.25+0.25+0.25</f>
        <v>7.25</v>
      </c>
      <c r="AD18" s="21">
        <v>5</v>
      </c>
      <c r="AE18" s="9">
        <v>591</v>
      </c>
      <c r="AF18" s="9">
        <v>2030</v>
      </c>
      <c r="AG18" s="23">
        <f t="shared" si="19"/>
        <v>5.1110548400311364</v>
      </c>
      <c r="AH18" s="23">
        <f t="shared" si="20"/>
        <v>5.9017377754698321</v>
      </c>
      <c r="AI18" s="120">
        <f t="shared" si="21"/>
        <v>4.9146587388187433</v>
      </c>
      <c r="AJ18" s="120">
        <f t="shared" si="22"/>
        <v>5.674959091664296</v>
      </c>
      <c r="AK18" s="8">
        <f t="shared" si="23"/>
        <v>1.5893187296576876</v>
      </c>
      <c r="AL18" s="8">
        <f t="shared" si="24"/>
        <v>7.4822652285043638</v>
      </c>
      <c r="AM18" s="8">
        <f t="shared" si="25"/>
        <v>0.65708121828034916</v>
      </c>
      <c r="AN18" s="8">
        <f t="shared" si="26"/>
        <v>0.35650856599530556</v>
      </c>
      <c r="AO18" s="20">
        <v>4</v>
      </c>
      <c r="AP18" s="20">
        <v>3</v>
      </c>
      <c r="AQ18" s="20">
        <v>2</v>
      </c>
      <c r="AR18" s="129">
        <f>IF(AP18=4,IF(AQ18=0,0.137+0.0697,0.137+0.02),IF(AP18=3,IF(AQ18=0,0.0958+0.0697,0.0958+0.02),IF(AP18=2,IF(AQ18=0,0.0415+0.0697,0.0415+0.02),IF(AP18=1,IF(AQ18=0,0.0294+0.0697,0.0294+0.02),IF(AP18=0,IF(AQ18=0,0.0063+0.0697,0.0063+0.02))))))</f>
        <v>0.1158</v>
      </c>
      <c r="AS18">
        <v>4460</v>
      </c>
    </row>
    <row r="19" spans="1:45" x14ac:dyDescent="0.25">
      <c r="A19" s="15" t="s">
        <v>36</v>
      </c>
      <c r="B19" s="15" t="s">
        <v>71</v>
      </c>
      <c r="C19" s="121">
        <f ca="1">((33*112)-(E19*112)-(F19))/112</f>
        <v>14.732142857142858</v>
      </c>
      <c r="D19" s="226" t="s">
        <v>384</v>
      </c>
      <c r="E19" s="16">
        <v>18</v>
      </c>
      <c r="F19" s="2">
        <f ca="1">8-159+16-570-5+D2-D1-2-31-25-4-112</f>
        <v>30</v>
      </c>
      <c r="G19" s="18" t="s">
        <v>296</v>
      </c>
      <c r="H19" s="40">
        <v>6</v>
      </c>
      <c r="I19" s="27">
        <v>1.6</v>
      </c>
      <c r="J19" s="22">
        <f>LOG(I19)*4/3</f>
        <v>0.27215997687456639</v>
      </c>
      <c r="K19" s="6">
        <f>(H19)*(H19)*(I19)</f>
        <v>57.6</v>
      </c>
      <c r="L19" s="6">
        <f>(H19+1)*(H19+1)*I19</f>
        <v>78.400000000000006</v>
      </c>
      <c r="M19" s="130">
        <v>43054</v>
      </c>
      <c r="N19" s="131">
        <f ca="1">IF((TODAY()-M19)&gt;335,1,((TODAY()-M19)^0.64)/(336^0.64))</f>
        <v>0.53920913731540465</v>
      </c>
      <c r="O19" s="19">
        <v>4.5</v>
      </c>
      <c r="P19" s="20">
        <f>O19*10+19</f>
        <v>64</v>
      </c>
      <c r="Q19" s="26">
        <v>6</v>
      </c>
      <c r="R19" s="115">
        <f>(Q19/7)^0.5</f>
        <v>0.92582009977255142</v>
      </c>
      <c r="S19" s="115">
        <f>IF(Q19=7,1,((Q19+0.99)/7)^0.5)</f>
        <v>0.99928545900129484</v>
      </c>
      <c r="T19" s="29">
        <v>4220</v>
      </c>
      <c r="U19" s="29">
        <f>T19-AS19</f>
        <v>1080</v>
      </c>
      <c r="V19" s="29">
        <v>430</v>
      </c>
      <c r="W19" s="8">
        <f>T19/V19</f>
        <v>9.8139534883720927</v>
      </c>
      <c r="X19" s="21">
        <v>0</v>
      </c>
      <c r="Y19" s="22">
        <v>3</v>
      </c>
      <c r="Z19" s="21">
        <v>5</v>
      </c>
      <c r="AA19" s="22">
        <v>4</v>
      </c>
      <c r="AB19" s="21">
        <f>4.5+0.25+0.25</f>
        <v>5</v>
      </c>
      <c r="AC19" s="22">
        <f>4.28+0.34+0.33+0.33+0.33*85/90+0.33+0.33+0.25+0.25+0.25+0.2+0.2+0.2</f>
        <v>7.6016666666666675</v>
      </c>
      <c r="AD19" s="21">
        <v>3</v>
      </c>
      <c r="AE19" s="9">
        <v>551</v>
      </c>
      <c r="AF19" s="9">
        <v>2015</v>
      </c>
      <c r="AG19" s="23">
        <f t="shared" ca="1" si="19"/>
        <v>4.4544622333419319</v>
      </c>
      <c r="AH19" s="23">
        <f t="shared" ca="1" si="20"/>
        <v>4.8113691141899713</v>
      </c>
      <c r="AI19" s="120">
        <f t="shared" ca="1" si="21"/>
        <v>5.3802823331144829</v>
      </c>
      <c r="AJ19" s="120">
        <f t="shared" ca="1" si="22"/>
        <v>5.8113691141899713</v>
      </c>
      <c r="AK19" s="8">
        <f t="shared" ca="1" si="23"/>
        <v>1.7861508499747931</v>
      </c>
      <c r="AL19" s="8">
        <f t="shared" ca="1" si="24"/>
        <v>5.1918691141899718</v>
      </c>
      <c r="AM19" s="8">
        <f t="shared" ca="1" si="25"/>
        <v>0.53499286246853106</v>
      </c>
      <c r="AN19" s="8">
        <f t="shared" ca="1" si="26"/>
        <v>0.26679583799329798</v>
      </c>
      <c r="AO19" s="20">
        <v>2</v>
      </c>
      <c r="AP19" s="20">
        <v>2</v>
      </c>
      <c r="AQ19" s="20">
        <v>1</v>
      </c>
      <c r="AR19" s="129">
        <f>IF(AP19=4,IF(AQ19=0,0.137+0.0697,0.137+0.02),IF(AP19=3,IF(AQ19=0,0.0958+0.0697,0.0958+0.02),IF(AP19=2,IF(AQ19=0,0.0415+0.0697,0.0415+0.02),IF(AP19=1,IF(AQ19=0,0.0294+0.0697,0.0294+0.02),IF(AP19=0,IF(AQ19=0,0.0063+0.0697,0.0063+0.02))))))</f>
        <v>6.1499999999999999E-2</v>
      </c>
      <c r="AS19" s="193">
        <v>3140</v>
      </c>
    </row>
    <row r="20" spans="1:45" x14ac:dyDescent="0.25">
      <c r="A20" s="15" t="s">
        <v>365</v>
      </c>
      <c r="B20" s="15" t="s">
        <v>71</v>
      </c>
      <c r="C20" s="121">
        <f t="shared" ref="C20:C23" ca="1" si="58">((33*112)-(E20*112)-(F20))/112</f>
        <v>14.660714285714286</v>
      </c>
      <c r="D20" s="215" t="s">
        <v>303</v>
      </c>
      <c r="E20" s="16">
        <v>18</v>
      </c>
      <c r="F20" s="2">
        <f ca="1">8-159+16-570-5+D2-D1-2-12-49+9-112</f>
        <v>38</v>
      </c>
      <c r="G20" s="18" t="s">
        <v>45</v>
      </c>
      <c r="H20" s="4">
        <v>3</v>
      </c>
      <c r="I20" s="27">
        <v>1.2</v>
      </c>
      <c r="J20" s="22">
        <f t="shared" ref="J20:J23" si="59">LOG(I20)*4/3</f>
        <v>0.10557499473016642</v>
      </c>
      <c r="K20" s="6">
        <f t="shared" ref="K20:K23" si="60">(H20)*(H20)*(I20)</f>
        <v>10.799999999999999</v>
      </c>
      <c r="L20" s="6">
        <f t="shared" ref="L20:L23" si="61">(H20+1)*(H20+1)*I20</f>
        <v>19.2</v>
      </c>
      <c r="M20" s="130">
        <v>43046</v>
      </c>
      <c r="N20" s="131">
        <f t="shared" ref="N20" ca="1" si="62">IF((TODAY()-M20)&gt;335,1,((TODAY()-M20)^0.64)/(336^0.64))</f>
        <v>0.56054149028618405</v>
      </c>
      <c r="O20" s="19">
        <v>4.8</v>
      </c>
      <c r="P20" s="20">
        <f t="shared" ref="P20:P23" si="63">O20*10+19</f>
        <v>67</v>
      </c>
      <c r="Q20" s="26">
        <v>7</v>
      </c>
      <c r="R20" s="115">
        <f t="shared" ref="R20:R23" si="64">(Q20/7)^0.5</f>
        <v>1</v>
      </c>
      <c r="S20" s="115">
        <f t="shared" ref="S20:S23" si="65">IF(Q20=7,1,((Q20+0.99)/7)^0.5)</f>
        <v>1</v>
      </c>
      <c r="T20" s="29">
        <v>910</v>
      </c>
      <c r="U20" s="29">
        <f t="shared" ref="U20" si="66">T20-AS20</f>
        <v>50</v>
      </c>
      <c r="V20" s="29">
        <v>290</v>
      </c>
      <c r="W20" s="8">
        <f t="shared" ref="W20:W23" si="67">T20/V20</f>
        <v>3.1379310344827585</v>
      </c>
      <c r="X20" s="21">
        <v>0</v>
      </c>
      <c r="Y20" s="22">
        <v>4</v>
      </c>
      <c r="Z20" s="21">
        <v>2</v>
      </c>
      <c r="AA20" s="22">
        <v>5</v>
      </c>
      <c r="AB20" s="21">
        <f>3.67+(0.25*0.16)+0.25+0.25*0.16+0.25</f>
        <v>4.25</v>
      </c>
      <c r="AC20" s="22">
        <f>4+1/17+1/17+1/17+1/17*12/90+1/17+1/17+1/17+1/17+1/17+1/17+1/17+1/17+1/17</f>
        <v>4.7137254901960759</v>
      </c>
      <c r="AD20" s="21">
        <v>4</v>
      </c>
      <c r="AE20" s="9">
        <v>393</v>
      </c>
      <c r="AF20" s="9">
        <v>1960</v>
      </c>
      <c r="AG20" s="23">
        <f t="shared" ca="1" si="19"/>
        <v>5.6661164850163503</v>
      </c>
      <c r="AH20" s="23">
        <f t="shared" ca="1" si="20"/>
        <v>5.6661164850163503</v>
      </c>
      <c r="AI20" s="120">
        <f t="shared" ca="1" si="21"/>
        <v>2.6661164850163503</v>
      </c>
      <c r="AJ20" s="120">
        <f t="shared" ca="1" si="22"/>
        <v>2.6661164850163503</v>
      </c>
      <c r="AK20" s="8">
        <f t="shared" ca="1" si="23"/>
        <v>1.8122936818811315</v>
      </c>
      <c r="AL20" s="8">
        <f t="shared" ca="1" si="24"/>
        <v>4.8802341320751728</v>
      </c>
      <c r="AM20" s="8">
        <f t="shared" ca="1" si="25"/>
        <v>0.40897559331111183</v>
      </c>
      <c r="AN20" s="8">
        <f t="shared" ca="1" si="26"/>
        <v>0.32662815395114453</v>
      </c>
      <c r="AO20" s="20">
        <v>3</v>
      </c>
      <c r="AP20" s="20">
        <v>4</v>
      </c>
      <c r="AQ20" s="20">
        <v>3</v>
      </c>
      <c r="AR20" s="129">
        <f t="shared" ref="AR20" si="68">IF(AP20=4,IF(AQ20=0,0.137+0.0697,0.137+0.02),IF(AP20=3,IF(AQ20=0,0.0958+0.0697,0.0958+0.02),IF(AP20=2,IF(AQ20=0,0.0415+0.0697,0.0415+0.02),IF(AP20=1,IF(AQ20=0,0.0294+0.0697,0.0294+0.02),IF(AP20=0,IF(AQ20=0,0.0063+0.0697,0.0063+0.02))))))</f>
        <v>0.157</v>
      </c>
      <c r="AS20">
        <v>860</v>
      </c>
    </row>
    <row r="21" spans="1:45" x14ac:dyDescent="0.25">
      <c r="A21" s="15" t="s">
        <v>307</v>
      </c>
      <c r="B21" s="24" t="s">
        <v>44</v>
      </c>
      <c r="C21" s="121">
        <f t="shared" ca="1" si="58"/>
        <v>14.75</v>
      </c>
      <c r="D21" s="216" t="s">
        <v>298</v>
      </c>
      <c r="E21" s="1">
        <v>18</v>
      </c>
      <c r="F21" s="2">
        <f ca="1">8-159+16-570-5+D2-D1-2-62-112</f>
        <v>28</v>
      </c>
      <c r="G21" s="3" t="s">
        <v>0</v>
      </c>
      <c r="H21" s="4">
        <v>4</v>
      </c>
      <c r="I21" s="5">
        <v>1.2</v>
      </c>
      <c r="J21" s="22">
        <f t="shared" si="59"/>
        <v>0.10557499473016642</v>
      </c>
      <c r="K21" s="6">
        <f t="shared" si="60"/>
        <v>19.2</v>
      </c>
      <c r="L21" s="6">
        <f t="shared" si="61"/>
        <v>30</v>
      </c>
      <c r="M21" s="130">
        <v>43045</v>
      </c>
      <c r="N21" s="131">
        <f ca="1">IF((TODAY()-M21)&gt;335,1,((TODAY()-M21)^0.64)/(336^0.64))</f>
        <v>0.56317585291883743</v>
      </c>
      <c r="O21" s="25">
        <v>4.8</v>
      </c>
      <c r="P21" s="20">
        <f t="shared" si="63"/>
        <v>67</v>
      </c>
      <c r="Q21" s="26">
        <v>4</v>
      </c>
      <c r="R21" s="115">
        <f t="shared" si="64"/>
        <v>0.7559289460184544</v>
      </c>
      <c r="S21" s="115">
        <f t="shared" si="65"/>
        <v>0.84430867747355465</v>
      </c>
      <c r="T21" s="29">
        <v>1260</v>
      </c>
      <c r="U21" s="29">
        <f>T21-AS21</f>
        <v>-30</v>
      </c>
      <c r="V21" s="7">
        <v>310</v>
      </c>
      <c r="W21" s="8">
        <f t="shared" si="67"/>
        <v>4.064516129032258</v>
      </c>
      <c r="X21" s="21">
        <v>1</v>
      </c>
      <c r="Y21" s="22">
        <v>4</v>
      </c>
      <c r="Z21" s="21">
        <v>2</v>
      </c>
      <c r="AA21" s="22">
        <v>3</v>
      </c>
      <c r="AB21" s="21">
        <f>3.75+0.25+0.34+0.33+0.33</f>
        <v>5</v>
      </c>
      <c r="AC21" s="22">
        <f>5.55+1/20+1/20+1/20*5/90+1/20+1/20+1/20+1/20+1/20+1/20+1/20+1/20+1/20+1/20</f>
        <v>6.1527777777777759</v>
      </c>
      <c r="AD21" s="21">
        <v>6</v>
      </c>
      <c r="AE21" s="9">
        <v>473</v>
      </c>
      <c r="AF21" s="9">
        <v>1940</v>
      </c>
      <c r="AG21" s="23">
        <f ca="1">(AD21+1+(LOG(I21)*4/3)+N21)*(Q21/7)^0.5</f>
        <v>5.7970307455414396</v>
      </c>
      <c r="AH21" s="23">
        <f ca="1">(AD21+1+N21+(LOG(I21)*4/3))*(IF(Q21=7, (Q21/7)^0.5, ((Q21+1)/7)^0.5))</f>
        <v>6.4812774073434731</v>
      </c>
      <c r="AI21" s="120">
        <f ca="1">(Z21+N21+(LOG(I21)*4/3))*(Q21/7)^0.5</f>
        <v>2.0173860154491683</v>
      </c>
      <c r="AJ21" s="120">
        <f ca="1">(Z21+N21+(LOG(I21)*4/3))*(IF(Q21=7, (Q21/7)^0.5, ((Q21+1)/7)^0.5))</f>
        <v>2.2555061337008908</v>
      </c>
      <c r="AK21" s="8">
        <f ca="1">(((Y21+LOG(I21)*4/3+N21)+(AB21+LOG(I21)*4/3+N21)*2)/8)*(Q21/7)^0.5</f>
        <v>1.5124487018118924</v>
      </c>
      <c r="AL21" s="8">
        <f ca="1">(AD21+LOG(I21)*4/3+N21)*0.7+(AC21+LOG(I21)*4/3+N21)*0.3</f>
        <v>6.7145841809823361</v>
      </c>
      <c r="AM21" s="8">
        <f ca="1">(0.5*(AC21+LOG(I21)*4/3+N21)+ 0.3*(AD21+LOG(I21)*4/3+N21))/10</f>
        <v>0.54113895670080914</v>
      </c>
      <c r="AN21" s="8">
        <f ca="1">(0.4*(Y21+LOG(I21)*4/3+N21)+0.3*(AD21+LOG(I21)*4/3+N21))/10</f>
        <v>0.38681255933543024</v>
      </c>
      <c r="AO21" s="20">
        <v>1</v>
      </c>
      <c r="AP21" s="20">
        <v>1</v>
      </c>
      <c r="AQ21" s="20">
        <v>2</v>
      </c>
      <c r="AR21" s="129">
        <f>IF(AP21=4,IF(AQ21=0,0.137+0.0697,0.137+0.02),IF(AP21=3,IF(AQ21=0,0.0958+0.0697,0.0958+0.02),IF(AP21=2,IF(AQ21=0,0.0415+0.0697,0.0415+0.02),IF(AP21=1,IF(AQ21=0,0.0294+0.0697,0.0294+0.02),IF(AP21=0,IF(AQ21=0,0.0063+0.0697,0.0063+0.02))))))</f>
        <v>4.9399999999999999E-2</v>
      </c>
      <c r="AS21">
        <v>1290</v>
      </c>
    </row>
    <row r="22" spans="1:45" x14ac:dyDescent="0.25">
      <c r="A22" s="15" t="s">
        <v>366</v>
      </c>
      <c r="B22" s="15" t="s">
        <v>44</v>
      </c>
      <c r="C22" s="121">
        <f t="shared" ca="1" si="58"/>
        <v>14.366071428571429</v>
      </c>
      <c r="D22" s="215" t="s">
        <v>305</v>
      </c>
      <c r="E22" s="16">
        <v>18</v>
      </c>
      <c r="F22" s="2">
        <f ca="1">8-159+16-570-5+D2-D1-2-12-49+9-11+44-112</f>
        <v>71</v>
      </c>
      <c r="G22" s="18" t="s">
        <v>70</v>
      </c>
      <c r="H22" s="4">
        <v>3</v>
      </c>
      <c r="I22" s="27">
        <v>1</v>
      </c>
      <c r="J22" s="22">
        <f t="shared" si="59"/>
        <v>0</v>
      </c>
      <c r="K22" s="6">
        <f t="shared" si="60"/>
        <v>9</v>
      </c>
      <c r="L22" s="6">
        <f t="shared" si="61"/>
        <v>16</v>
      </c>
      <c r="M22" s="130">
        <v>43046</v>
      </c>
      <c r="N22" s="131">
        <f t="shared" ref="N22:N23" ca="1" si="69">IF((TODAY()-M22)&gt;335,1,((TODAY()-M22)^0.64)/(336^0.64))</f>
        <v>0.56054149028618405</v>
      </c>
      <c r="O22" s="19">
        <v>4.8</v>
      </c>
      <c r="P22" s="20">
        <f t="shared" si="63"/>
        <v>67</v>
      </c>
      <c r="Q22" s="26">
        <v>7</v>
      </c>
      <c r="R22" s="115">
        <f t="shared" si="64"/>
        <v>1</v>
      </c>
      <c r="S22" s="115">
        <f t="shared" si="65"/>
        <v>1</v>
      </c>
      <c r="T22" s="29">
        <v>2720</v>
      </c>
      <c r="U22" s="29">
        <f t="shared" ref="U22:U23" si="70">T22-AS22</f>
        <v>280</v>
      </c>
      <c r="V22" s="29">
        <v>390</v>
      </c>
      <c r="W22" s="8">
        <f t="shared" si="67"/>
        <v>6.9743589743589745</v>
      </c>
      <c r="X22" s="21">
        <v>0</v>
      </c>
      <c r="Y22" s="22">
        <v>5</v>
      </c>
      <c r="Z22" s="21">
        <v>2</v>
      </c>
      <c r="AA22" s="22">
        <v>3</v>
      </c>
      <c r="AB22" s="21">
        <v>5</v>
      </c>
      <c r="AC22" s="22">
        <f>6+1/23+1/23+1/23+1/23+1/23+1/23+1/23+1/23+1/23+1/23+1/23+1/23+1/23</f>
        <v>6.5652173913043503</v>
      </c>
      <c r="AD22" s="21">
        <v>3</v>
      </c>
      <c r="AE22" s="9">
        <v>480</v>
      </c>
      <c r="AF22" s="9">
        <v>1920</v>
      </c>
      <c r="AG22" s="23">
        <f t="shared" ref="AG22:AG23" ca="1" si="71">(AD22+1+(LOG(I22)*4/3)+N22)*(Q22/7)^0.5</f>
        <v>4.5605414902861838</v>
      </c>
      <c r="AH22" s="23">
        <f t="shared" ref="AH22:AH23" ca="1" si="72">(AD22+1+N22+(LOG(I22)*4/3))*(IF(Q22=7, (Q22/7)^0.5, ((Q22+1)/7)^0.5))</f>
        <v>4.5605414902861838</v>
      </c>
      <c r="AI22" s="120">
        <f t="shared" ref="AI22:AI23" ca="1" si="73">(Z22+N22+(LOG(I22)*4/3))*(Q22/7)^0.5</f>
        <v>2.5605414902861838</v>
      </c>
      <c r="AJ22" s="120">
        <f t="shared" ref="AJ22:AJ23" ca="1" si="74">(Z22+N22+(LOG(I22)*4/3))*(IF(Q22=7, (Q22/7)^0.5, ((Q22+1)/7)^0.5))</f>
        <v>2.5605414902861838</v>
      </c>
      <c r="AK22" s="8">
        <f t="shared" ref="AK22:AK23" ca="1" si="75">(((Y22+LOG(I22)*4/3+N22)+(AB22+LOG(I22)*4/3+N22)*2)/8)*(Q22/7)^0.5</f>
        <v>2.0852030588573189</v>
      </c>
      <c r="AL22" s="8">
        <f t="shared" ref="AL22:AL23" ca="1" si="76">(AD22+LOG(I22)*4/3+N22)*0.7+(AC22+LOG(I22)*4/3+N22)*0.3</f>
        <v>4.6301067076774887</v>
      </c>
      <c r="AM22" s="8">
        <f t="shared" ref="AM22:AM23" ca="1" si="77">(0.5*(AC22+LOG(I22)*4/3+N22)+ 0.3*(AD22+LOG(I22)*4/3+N22))/10</f>
        <v>0.46310418878811221</v>
      </c>
      <c r="AN22" s="8">
        <f t="shared" ref="AN22:AN23" ca="1" si="78">(0.4*(Y22+LOG(I22)*4/3+N22)+0.3*(AD22+LOG(I22)*4/3+N22))/10</f>
        <v>0.32923790432003286</v>
      </c>
      <c r="AO22" s="20">
        <v>2</v>
      </c>
      <c r="AP22" s="20">
        <v>3</v>
      </c>
      <c r="AQ22" s="20">
        <v>1</v>
      </c>
      <c r="AR22" s="129">
        <f t="shared" ref="AR22:AR23" si="79">IF(AP22=4,IF(AQ22=0,0.137+0.0697,0.137+0.02),IF(AP22=3,IF(AQ22=0,0.0958+0.0697,0.0958+0.02),IF(AP22=2,IF(AQ22=0,0.0415+0.0697,0.0415+0.02),IF(AP22=1,IF(AQ22=0,0.0294+0.0697,0.0294+0.02),IF(AP22=0,IF(AQ22=0,0.0063+0.0697,0.0063+0.02))))))</f>
        <v>0.1158</v>
      </c>
      <c r="AS22">
        <v>2440</v>
      </c>
    </row>
    <row r="23" spans="1:45" x14ac:dyDescent="0.25">
      <c r="A23" s="15" t="s">
        <v>368</v>
      </c>
      <c r="B23" s="15" t="s">
        <v>44</v>
      </c>
      <c r="C23" s="121">
        <f t="shared" ca="1" si="58"/>
        <v>14.758928571428571</v>
      </c>
      <c r="D23" s="215" t="s">
        <v>304</v>
      </c>
      <c r="E23" s="16">
        <v>18</v>
      </c>
      <c r="F23" s="2">
        <f ca="1">8-159+16-570-5+D2-D1-2-12-49+9-11-112</f>
        <v>27</v>
      </c>
      <c r="G23" s="18" t="s">
        <v>296</v>
      </c>
      <c r="H23" s="4">
        <v>4</v>
      </c>
      <c r="I23" s="27">
        <v>0.5</v>
      </c>
      <c r="J23" s="22">
        <f t="shared" si="59"/>
        <v>-0.40137332755197491</v>
      </c>
      <c r="K23" s="6">
        <f t="shared" si="60"/>
        <v>8</v>
      </c>
      <c r="L23" s="6">
        <f t="shared" si="61"/>
        <v>12.5</v>
      </c>
      <c r="M23" s="130">
        <v>43046</v>
      </c>
      <c r="N23" s="131">
        <f t="shared" ca="1" si="69"/>
        <v>0.56054149028618405</v>
      </c>
      <c r="O23" s="19">
        <v>4.5</v>
      </c>
      <c r="P23" s="20">
        <f t="shared" si="63"/>
        <v>64</v>
      </c>
      <c r="Q23" s="26">
        <v>7</v>
      </c>
      <c r="R23" s="115">
        <f t="shared" si="64"/>
        <v>1</v>
      </c>
      <c r="S23" s="115">
        <f t="shared" si="65"/>
        <v>1</v>
      </c>
      <c r="T23" s="29">
        <v>820</v>
      </c>
      <c r="U23" s="29">
        <f t="shared" si="70"/>
        <v>50</v>
      </c>
      <c r="V23" s="29">
        <v>310</v>
      </c>
      <c r="W23" s="8">
        <f t="shared" si="67"/>
        <v>2.6451612903225805</v>
      </c>
      <c r="X23" s="21">
        <v>0</v>
      </c>
      <c r="Y23" s="22">
        <v>4</v>
      </c>
      <c r="Z23" s="21">
        <v>2</v>
      </c>
      <c r="AA23" s="22">
        <v>2</v>
      </c>
      <c r="AB23" s="21">
        <f>3+(0.25*0.16)+(0.25*0.16*3/90)+0.25*3/90+0.25*0.16</f>
        <v>3.0896666666666666</v>
      </c>
      <c r="AC23" s="22">
        <f>5+1/20+1/20*5/90+1/20+1/20+1/20+1/20+1/20+1/20+1/20+1/20+1/20+1/20</f>
        <v>5.5527777777777763</v>
      </c>
      <c r="AD23" s="21">
        <v>2.5</v>
      </c>
      <c r="AE23" s="9">
        <v>334</v>
      </c>
      <c r="AF23" s="9">
        <v>1923</v>
      </c>
      <c r="AG23" s="23">
        <f t="shared" ca="1" si="71"/>
        <v>3.6591681627342094</v>
      </c>
      <c r="AH23" s="23">
        <f t="shared" ca="1" si="72"/>
        <v>3.659168162734209</v>
      </c>
      <c r="AI23" s="120">
        <f t="shared" ca="1" si="73"/>
        <v>2.159168162734209</v>
      </c>
      <c r="AJ23" s="120">
        <f t="shared" ca="1" si="74"/>
        <v>2.159168162734209</v>
      </c>
      <c r="AK23" s="8">
        <f t="shared" ca="1" si="75"/>
        <v>1.3321047276919951</v>
      </c>
      <c r="AL23" s="8">
        <f t="shared" ca="1" si="76"/>
        <v>3.575001496067542</v>
      </c>
      <c r="AM23" s="8">
        <f t="shared" ca="1" si="77"/>
        <v>0.36537234190762552</v>
      </c>
      <c r="AN23" s="8">
        <f t="shared" ca="1" si="78"/>
        <v>0.24614177139139465</v>
      </c>
      <c r="AO23" s="20">
        <v>1</v>
      </c>
      <c r="AP23" s="20">
        <v>2</v>
      </c>
      <c r="AQ23" s="20">
        <v>1</v>
      </c>
      <c r="AR23" s="129">
        <f t="shared" si="79"/>
        <v>6.1499999999999999E-2</v>
      </c>
      <c r="AS23">
        <v>770</v>
      </c>
    </row>
    <row r="24" spans="1:45" x14ac:dyDescent="0.25">
      <c r="A24" s="15"/>
      <c r="B24" s="15"/>
      <c r="C24" s="121"/>
      <c r="D24" s="28" t="s">
        <v>183</v>
      </c>
      <c r="E24" s="16"/>
      <c r="F24" s="17"/>
      <c r="G24" s="18"/>
      <c r="H24" s="4"/>
      <c r="I24" s="27"/>
      <c r="J24" s="22"/>
      <c r="K24" s="6"/>
      <c r="L24" s="6"/>
      <c r="M24" s="130"/>
      <c r="N24" s="131"/>
      <c r="O24" s="19"/>
      <c r="P24" s="20"/>
      <c r="Q24" s="20"/>
      <c r="R24" s="115"/>
      <c r="S24" s="115"/>
      <c r="T24" s="29"/>
      <c r="U24" s="29"/>
      <c r="V24" s="29"/>
      <c r="W24" s="8"/>
      <c r="X24" s="21"/>
      <c r="Y24" s="22"/>
      <c r="Z24" s="21"/>
      <c r="AA24" s="22"/>
      <c r="AB24" s="21"/>
      <c r="AC24" s="22"/>
      <c r="AD24" s="21"/>
      <c r="AE24" s="9"/>
      <c r="AF24" s="9"/>
      <c r="AG24" s="23"/>
      <c r="AH24" s="23"/>
      <c r="AI24" s="120"/>
      <c r="AJ24" s="120"/>
      <c r="AK24" s="8"/>
      <c r="AL24" s="8"/>
      <c r="AM24" s="8"/>
      <c r="AN24" s="8"/>
      <c r="AO24" s="20">
        <v>0</v>
      </c>
      <c r="AP24" s="20">
        <v>4</v>
      </c>
      <c r="AQ24" s="20">
        <v>0</v>
      </c>
      <c r="AR24" s="129">
        <f t="shared" ref="AR24" si="80">IF(AP24=4,IF(AQ24=0,0.137+0.0697,0.137+0.02),IF(AP24=3,IF(AQ24=0,0.0958+0.0697,0.0958+0.02),IF(AP24=2,IF(AQ24=0,0.0415+0.0697,0.0415+0.02),IF(AP24=1,IF(AQ24=0,0.0294+0.0697,0.0294+0.02),IF(AP24=0,IF(AQ24=0,0.0063+0.0697,0.0063+0.02))))))</f>
        <v>0.20669999999999999</v>
      </c>
    </row>
    <row r="25" spans="1:45" x14ac:dyDescent="0.25">
      <c r="V25" s="69"/>
    </row>
    <row r="27" spans="1:45" x14ac:dyDescent="0.25">
      <c r="V27"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11 I18:I24">
    <cfRule type="cellIs" dxfId="24" priority="99" operator="lessThan">
      <formula>6</formula>
    </cfRule>
  </conditionalFormatting>
  <conditionalFormatting sqref="N18:N24">
    <cfRule type="cellIs" dxfId="23" priority="98" operator="lessThan">
      <formula>0.75</formula>
    </cfRule>
  </conditionalFormatting>
  <conditionalFormatting sqref="P11 P18:P24">
    <cfRule type="cellIs" dxfId="22" priority="96" operator="greaterThan">
      <formula>90</formula>
    </cfRule>
    <cfRule type="cellIs" dxfId="21" priority="97" operator="lessThan">
      <formula>85</formula>
    </cfRule>
  </conditionalFormatting>
  <conditionalFormatting sqref="I4:I10 I12:I16">
    <cfRule type="cellIs" dxfId="20" priority="40" operator="lessThan">
      <formula>6</formula>
    </cfRule>
  </conditionalFormatting>
  <conditionalFormatting sqref="N4:N16">
    <cfRule type="cellIs" dxfId="19" priority="39" operator="lessThan">
      <formula>0.75</formula>
    </cfRule>
  </conditionalFormatting>
  <conditionalFormatting sqref="P4:P10 P12:P16">
    <cfRule type="cellIs" dxfId="18" priority="37" operator="greaterThan">
      <formula>90</formula>
    </cfRule>
    <cfRule type="cellIs" dxfId="17" priority="38" operator="lessThan">
      <formula>85</formula>
    </cfRule>
  </conditionalFormatting>
  <conditionalFormatting sqref="C24">
    <cfRule type="colorScale" priority="5007">
      <colorScale>
        <cfvo type="min"/>
        <cfvo type="max"/>
        <color rgb="FFFFEF9C"/>
        <color rgb="FF63BE7B"/>
      </colorScale>
    </cfRule>
  </conditionalFormatting>
  <conditionalFormatting sqref="I17">
    <cfRule type="cellIs" dxfId="16" priority="20" operator="lessThan">
      <formula>6</formula>
    </cfRule>
  </conditionalFormatting>
  <conditionalFormatting sqref="N17">
    <cfRule type="cellIs" dxfId="15" priority="19" operator="lessThan">
      <formula>0.75</formula>
    </cfRule>
  </conditionalFormatting>
  <conditionalFormatting sqref="P17">
    <cfRule type="cellIs" dxfId="14" priority="17" operator="greaterThan">
      <formula>90</formula>
    </cfRule>
    <cfRule type="cellIs" dxfId="13" priority="18" operator="lessThan">
      <formula>85</formula>
    </cfRule>
  </conditionalFormatting>
  <conditionalFormatting sqref="C4:C23">
    <cfRule type="colorScale" priority="5016">
      <colorScale>
        <cfvo type="min"/>
        <cfvo type="max"/>
        <color rgb="FFFFEF9C"/>
        <color rgb="FF63BE7B"/>
      </colorScale>
    </cfRule>
  </conditionalFormatting>
  <conditionalFormatting sqref="R4:S23">
    <cfRule type="colorScale" priority="5017">
      <colorScale>
        <cfvo type="min"/>
        <cfvo type="percentile" val="50"/>
        <cfvo type="max"/>
        <color rgb="FFF8696B"/>
        <color rgb="FFFFEB84"/>
        <color rgb="FF63BE7B"/>
      </colorScale>
    </cfRule>
  </conditionalFormatting>
  <conditionalFormatting sqref="T4:T23">
    <cfRule type="dataBar" priority="5018">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3">
    <cfRule type="dataBar" priority="5019">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3">
    <cfRule type="dataBar" priority="5020">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3">
    <cfRule type="dataBar" priority="5021">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3">
    <cfRule type="colorScale" priority="5022">
      <colorScale>
        <cfvo type="min"/>
        <cfvo type="max"/>
        <color rgb="FFFCFCFF"/>
        <color rgb="FFF8696B"/>
      </colorScale>
    </cfRule>
  </conditionalFormatting>
  <conditionalFormatting sqref="AE4:AE23">
    <cfRule type="dataBar" priority="5023">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3">
    <cfRule type="dataBar" priority="5024">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3">
    <cfRule type="colorScale" priority="5025">
      <colorScale>
        <cfvo type="min"/>
        <cfvo type="percentile" val="50"/>
        <cfvo type="max"/>
        <color rgb="FFF8696B"/>
        <color rgb="FFFCFCFF"/>
        <color rgb="FF63BE7B"/>
      </colorScale>
    </cfRule>
  </conditionalFormatting>
  <conditionalFormatting sqref="AI4:AJ23">
    <cfRule type="colorScale" priority="5026">
      <colorScale>
        <cfvo type="min"/>
        <cfvo type="percentile" val="50"/>
        <cfvo type="max"/>
        <color rgb="FFF8696B"/>
        <color rgb="FFFFEB84"/>
        <color rgb="FF63BE7B"/>
      </colorScale>
    </cfRule>
  </conditionalFormatting>
  <conditionalFormatting sqref="AK4:AK23">
    <cfRule type="colorScale" priority="5027">
      <colorScale>
        <cfvo type="min"/>
        <cfvo type="percentile" val="50"/>
        <cfvo type="max"/>
        <color rgb="FFF8696B"/>
        <color rgb="FFFCFCFF"/>
        <color rgb="FF63BE7B"/>
      </colorScale>
    </cfRule>
  </conditionalFormatting>
  <conditionalFormatting sqref="AL4:AL23">
    <cfRule type="colorScale" priority="5028">
      <colorScale>
        <cfvo type="min"/>
        <cfvo type="percentile" val="50"/>
        <cfvo type="max"/>
        <color rgb="FFF8696B"/>
        <color rgb="FFFFEB84"/>
        <color rgb="FF63BE7B"/>
      </colorScale>
    </cfRule>
  </conditionalFormatting>
  <conditionalFormatting sqref="AM4:AN23">
    <cfRule type="colorScale" priority="5029">
      <colorScale>
        <cfvo type="min"/>
        <cfvo type="percentile" val="50"/>
        <cfvo type="max"/>
        <color rgb="FFF8696B"/>
        <color rgb="FFFCFCFF"/>
        <color rgb="FF63BE7B"/>
      </colorScale>
    </cfRule>
  </conditionalFormatting>
  <conditionalFormatting sqref="AR4:AR23">
    <cfRule type="colorScale" priority="5030">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AE4:AE23</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2.7</v>
      </c>
      <c r="E3" s="209">
        <f>D3</f>
        <v>2.7</v>
      </c>
      <c r="F3" s="209">
        <f>E3+0.1</f>
        <v>2.8000000000000003</v>
      </c>
      <c r="G3" s="209">
        <f>C3</f>
        <v>4</v>
      </c>
      <c r="H3" s="209">
        <f>G3+0.99</f>
        <v>4.99</v>
      </c>
      <c r="I3" s="210">
        <f>G3*G3*E3</f>
        <v>43.2</v>
      </c>
      <c r="J3" s="210">
        <f>H3*H3*F3</f>
        <v>69.720280000000017</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18</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1.5</v>
      </c>
      <c r="Q4" s="212">
        <f>F5</f>
        <v>1.6</v>
      </c>
      <c r="R4" s="212">
        <f>G5</f>
        <v>1</v>
      </c>
      <c r="S4" s="212">
        <f>H5</f>
        <v>1.99</v>
      </c>
    </row>
    <row r="5" spans="1:19" x14ac:dyDescent="0.25">
      <c r="A5" s="206" t="str">
        <f>PLANTILLA!D6</f>
        <v>Manuel Parejo</v>
      </c>
      <c r="B5" s="207">
        <f>PLANTILLA!E6</f>
        <v>17</v>
      </c>
      <c r="C5" s="207">
        <f>PLANTILLA!H6</f>
        <v>1</v>
      </c>
      <c r="D5" s="208">
        <f>PLANTILLA!I6</f>
        <v>1.5</v>
      </c>
      <c r="E5" s="209">
        <f t="shared" si="1"/>
        <v>1.5</v>
      </c>
      <c r="F5" s="209">
        <f t="shared" si="2"/>
        <v>1.6</v>
      </c>
      <c r="G5" s="209">
        <f t="shared" si="3"/>
        <v>1</v>
      </c>
      <c r="H5" s="209">
        <f t="shared" si="4"/>
        <v>1.99</v>
      </c>
      <c r="I5" s="210">
        <f t="shared" si="5"/>
        <v>1.5</v>
      </c>
      <c r="J5" s="210">
        <f t="shared" si="6"/>
        <v>6.3361600000000005</v>
      </c>
      <c r="K5" s="211"/>
      <c r="L5" s="139"/>
      <c r="O5" t="str">
        <f>A8</f>
        <v>Roberto Montero</v>
      </c>
      <c r="P5" s="212">
        <f>E8</f>
        <v>0.5</v>
      </c>
      <c r="Q5" s="212">
        <f>F8</f>
        <v>0.6</v>
      </c>
      <c r="R5" s="212">
        <f>G8</f>
        <v>2</v>
      </c>
      <c r="S5" s="212">
        <f>H8</f>
        <v>2.99</v>
      </c>
    </row>
    <row r="6" spans="1:19" x14ac:dyDescent="0.25">
      <c r="A6" s="206" t="str">
        <f>PLANTILLA!D7</f>
        <v>Valeri Gomis</v>
      </c>
      <c r="B6" s="207">
        <f>PLANTILLA!E7</f>
        <v>18</v>
      </c>
      <c r="C6" s="207">
        <f>PLANTILLA!H7</f>
        <v>6</v>
      </c>
      <c r="D6" s="208">
        <f>PLANTILLA!I7</f>
        <v>1.8</v>
      </c>
      <c r="E6" s="209">
        <f t="shared" si="1"/>
        <v>1.8</v>
      </c>
      <c r="F6" s="209">
        <f t="shared" si="2"/>
        <v>1.9000000000000001</v>
      </c>
      <c r="G6" s="209">
        <f t="shared" si="3"/>
        <v>6</v>
      </c>
      <c r="H6" s="209">
        <f t="shared" si="4"/>
        <v>6.99</v>
      </c>
      <c r="I6" s="210">
        <f t="shared" si="5"/>
        <v>64.8</v>
      </c>
      <c r="J6" s="210">
        <f t="shared" si="6"/>
        <v>92.834190000000007</v>
      </c>
      <c r="K6" s="211"/>
      <c r="O6" t="str">
        <f>A11</f>
        <v>Fernando Gazón</v>
      </c>
      <c r="P6" s="212">
        <f>E11</f>
        <v>1.3</v>
      </c>
      <c r="Q6" s="212">
        <f t="shared" ref="Q6:S6" si="7">F11</f>
        <v>1.4000000000000001</v>
      </c>
      <c r="R6" s="212">
        <f t="shared" si="7"/>
        <v>3</v>
      </c>
      <c r="S6" s="212">
        <f t="shared" si="7"/>
        <v>3.99</v>
      </c>
    </row>
    <row r="7" spans="1:19" x14ac:dyDescent="0.25">
      <c r="A7" s="206" t="str">
        <f>PLANTILLA!D8</f>
        <v>J. G. de Minaya</v>
      </c>
      <c r="B7" s="207">
        <f>PLANTILLA!E8</f>
        <v>18</v>
      </c>
      <c r="C7" s="207">
        <f>PLANTILLA!H8</f>
        <v>0</v>
      </c>
      <c r="D7" s="208">
        <f>PLANTILLA!I8</f>
        <v>1.9</v>
      </c>
      <c r="E7" s="209">
        <f t="shared" si="1"/>
        <v>1.9</v>
      </c>
      <c r="F7" s="209">
        <f t="shared" si="2"/>
        <v>2</v>
      </c>
      <c r="G7" s="209">
        <f t="shared" si="3"/>
        <v>0</v>
      </c>
      <c r="H7" s="209">
        <f t="shared" si="4"/>
        <v>0.99</v>
      </c>
      <c r="I7" s="210">
        <f t="shared" si="5"/>
        <v>0</v>
      </c>
      <c r="J7" s="210">
        <f t="shared" si="6"/>
        <v>1.9601999999999999</v>
      </c>
      <c r="K7" s="211"/>
      <c r="O7" t="str">
        <f>A3</f>
        <v>Alberto Ercilla</v>
      </c>
      <c r="P7" s="212">
        <f>E3</f>
        <v>2.7</v>
      </c>
      <c r="Q7" s="212">
        <f>F3</f>
        <v>2.8000000000000003</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18</v>
      </c>
      <c r="C9" s="207">
        <f>PLANTILLA!H10</f>
        <v>3</v>
      </c>
      <c r="D9" s="208">
        <f>PLANTILLA!I10</f>
        <v>1.4</v>
      </c>
      <c r="E9" s="209">
        <f t="shared" si="1"/>
        <v>1.4</v>
      </c>
      <c r="F9" s="209">
        <f t="shared" si="2"/>
        <v>1.5</v>
      </c>
      <c r="G9" s="209">
        <f t="shared" si="3"/>
        <v>3</v>
      </c>
      <c r="H9" s="209">
        <f t="shared" si="4"/>
        <v>3.99</v>
      </c>
      <c r="I9" s="210">
        <f t="shared" si="5"/>
        <v>12.6</v>
      </c>
      <c r="J9" s="210">
        <f t="shared" si="6"/>
        <v>23.88015</v>
      </c>
      <c r="K9" s="211"/>
      <c r="O9" t="str">
        <f>A16</f>
        <v>Paulo Beltrán</v>
      </c>
      <c r="P9" s="212">
        <f>E16</f>
        <v>1.2</v>
      </c>
      <c r="Q9" s="212">
        <f>F16</f>
        <v>1.3</v>
      </c>
      <c r="R9" s="212">
        <f>G16</f>
        <v>3</v>
      </c>
      <c r="S9" s="212">
        <f>H16</f>
        <v>3.99</v>
      </c>
    </row>
    <row r="10" spans="1:19" x14ac:dyDescent="0.25">
      <c r="A10" s="206" t="str">
        <f>PLANTILLA!D13</f>
        <v>Raul Riquelme</v>
      </c>
      <c r="B10" s="207">
        <f>PLANTILLA!E13</f>
        <v>18</v>
      </c>
      <c r="C10" s="207">
        <f>PLANTILLA!H13</f>
        <v>6</v>
      </c>
      <c r="D10" s="208">
        <f>PLANTILLA!I13</f>
        <v>1.5</v>
      </c>
      <c r="E10" s="209">
        <f t="shared" si="1"/>
        <v>1.5</v>
      </c>
      <c r="F10" s="209">
        <f t="shared" si="2"/>
        <v>1.6</v>
      </c>
      <c r="G10" s="209">
        <f t="shared" si="3"/>
        <v>6</v>
      </c>
      <c r="H10" s="209">
        <f t="shared" si="4"/>
        <v>6.99</v>
      </c>
      <c r="I10" s="210">
        <f t="shared" si="5"/>
        <v>54</v>
      </c>
      <c r="J10" s="210">
        <f t="shared" si="6"/>
        <v>78.17616000000001</v>
      </c>
      <c r="K10" s="211"/>
      <c r="O10" t="str">
        <f>A14</f>
        <v>Enrique Cubas</v>
      </c>
      <c r="P10" s="212">
        <f>E14</f>
        <v>1.7</v>
      </c>
      <c r="Q10" s="212">
        <f>F14</f>
        <v>1.8</v>
      </c>
      <c r="R10" s="212">
        <f>G14</f>
        <v>1</v>
      </c>
      <c r="S10" s="212">
        <f>H14</f>
        <v>1.99</v>
      </c>
    </row>
    <row r="11" spans="1:19" x14ac:dyDescent="0.25">
      <c r="A11" s="206" t="str">
        <f>PLANTILLA!D14</f>
        <v>Fernando Gazón</v>
      </c>
      <c r="B11" s="207">
        <f>PLANTILLA!E14</f>
        <v>18</v>
      </c>
      <c r="C11" s="207">
        <f>PLANTILLA!H14</f>
        <v>3</v>
      </c>
      <c r="D11" s="208">
        <f>PLANTILLA!I14</f>
        <v>1.3</v>
      </c>
      <c r="E11" s="209">
        <f t="shared" si="1"/>
        <v>1.3</v>
      </c>
      <c r="F11" s="209">
        <f t="shared" si="2"/>
        <v>1.4000000000000001</v>
      </c>
      <c r="G11" s="209">
        <f t="shared" si="3"/>
        <v>3</v>
      </c>
      <c r="H11" s="209">
        <f t="shared" si="4"/>
        <v>3.99</v>
      </c>
      <c r="I11" s="210">
        <f t="shared" si="5"/>
        <v>11.700000000000001</v>
      </c>
      <c r="J11" s="210">
        <f t="shared" si="6"/>
        <v>22.288140000000006</v>
      </c>
      <c r="K11" s="211"/>
      <c r="O11" t="str">
        <f>A10</f>
        <v>Raul Riquelme</v>
      </c>
      <c r="P11" s="212">
        <f>E10</f>
        <v>1.5</v>
      </c>
      <c r="Q11" s="212">
        <f>F10</f>
        <v>1.6</v>
      </c>
      <c r="R11" s="212">
        <f>G10</f>
        <v>6</v>
      </c>
      <c r="S11" s="212">
        <f>H10</f>
        <v>6.99</v>
      </c>
    </row>
    <row r="12" spans="1:19" x14ac:dyDescent="0.25">
      <c r="A12" s="206" t="str">
        <f>PLANTILLA!D15</f>
        <v>Roberto Abenoza</v>
      </c>
      <c r="B12" s="207">
        <f>PLANTILLA!E15</f>
        <v>18</v>
      </c>
      <c r="C12" s="207">
        <f>PLANTILLA!H15</f>
        <v>4</v>
      </c>
      <c r="D12" s="208">
        <f>PLANTILLA!I15</f>
        <v>0.6</v>
      </c>
      <c r="E12" s="209">
        <f t="shared" si="1"/>
        <v>0.6</v>
      </c>
      <c r="F12" s="209">
        <f t="shared" si="2"/>
        <v>0.7</v>
      </c>
      <c r="G12" s="209">
        <f t="shared" si="3"/>
        <v>4</v>
      </c>
      <c r="H12" s="209">
        <f t="shared" si="4"/>
        <v>4.99</v>
      </c>
      <c r="I12" s="210">
        <f t="shared" si="5"/>
        <v>9.6</v>
      </c>
      <c r="J12" s="210">
        <f t="shared" si="6"/>
        <v>17.430070000000001</v>
      </c>
      <c r="K12" s="211"/>
      <c r="O12" t="str">
        <f>A7</f>
        <v>J. G. de Minaya</v>
      </c>
      <c r="P12" s="212">
        <f>E7</f>
        <v>1.9</v>
      </c>
      <c r="Q12" s="212">
        <f t="shared" ref="Q12:S12" si="8">F7</f>
        <v>2</v>
      </c>
      <c r="R12" s="212">
        <f t="shared" si="8"/>
        <v>0</v>
      </c>
      <c r="S12" s="212">
        <f t="shared" si="8"/>
        <v>0.99</v>
      </c>
    </row>
    <row r="13" spans="1:19" x14ac:dyDescent="0.25">
      <c r="A13" s="206" t="str">
        <f>PLANTILLA!D16</f>
        <v>Julio Calle</v>
      </c>
      <c r="B13" s="207">
        <f>PLANTILLA!E16</f>
        <v>18</v>
      </c>
      <c r="C13" s="207">
        <f>PLANTILLA!H16</f>
        <v>3</v>
      </c>
      <c r="D13" s="208">
        <f>PLANTILLA!I16</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0.6</v>
      </c>
      <c r="Q13" s="212">
        <f>F12</f>
        <v>0.7</v>
      </c>
      <c r="R13" s="212">
        <f>G12</f>
        <v>4</v>
      </c>
      <c r="S13" s="212">
        <f>H12</f>
        <v>4.99</v>
      </c>
    </row>
    <row r="14" spans="1:19" x14ac:dyDescent="0.25">
      <c r="A14" s="206" t="str">
        <f>PLANTILLA!D18</f>
        <v>Enrique Cubas</v>
      </c>
      <c r="B14" s="207">
        <f>PLANTILLA!E18</f>
        <v>18</v>
      </c>
      <c r="C14" s="207">
        <f>PLANTILLA!H18</f>
        <v>1</v>
      </c>
      <c r="D14" s="208">
        <f>PLANTILLA!I18</f>
        <v>1.7</v>
      </c>
      <c r="E14" s="209">
        <f t="shared" si="1"/>
        <v>1.7</v>
      </c>
      <c r="F14" s="209">
        <f t="shared" si="2"/>
        <v>1.8</v>
      </c>
      <c r="G14" s="209">
        <f t="shared" si="3"/>
        <v>1</v>
      </c>
      <c r="H14" s="209">
        <f t="shared" si="4"/>
        <v>1.99</v>
      </c>
      <c r="I14" s="210">
        <f t="shared" si="5"/>
        <v>1.7</v>
      </c>
      <c r="J14" s="210">
        <f t="shared" si="6"/>
        <v>7.1281800000000004</v>
      </c>
      <c r="K14" s="211"/>
      <c r="P14" s="37">
        <f>SUM(P4:P13)/10</f>
        <v>1.34</v>
      </c>
      <c r="Q14" s="37">
        <f>SUM(Q4:Q13)/10</f>
        <v>1.44</v>
      </c>
      <c r="R14" s="37"/>
      <c r="S14" s="37"/>
    </row>
    <row r="15" spans="1:19" x14ac:dyDescent="0.25">
      <c r="A15" s="206" t="str">
        <f>PLANTILLA!D19</f>
        <v>J. G. Peñuela</v>
      </c>
      <c r="B15" s="207">
        <f>PLANTILLA!E19</f>
        <v>18</v>
      </c>
      <c r="C15" s="207">
        <f>PLANTILLA!H19</f>
        <v>6</v>
      </c>
      <c r="D15" s="208">
        <f>PLANTILLA!I19</f>
        <v>1.6</v>
      </c>
      <c r="E15" s="209">
        <f t="shared" si="1"/>
        <v>1.6</v>
      </c>
      <c r="F15" s="209">
        <f t="shared" si="2"/>
        <v>1.7000000000000002</v>
      </c>
      <c r="G15" s="209">
        <f t="shared" si="3"/>
        <v>6</v>
      </c>
      <c r="H15" s="209">
        <f t="shared" si="4"/>
        <v>6.99</v>
      </c>
      <c r="I15" s="210">
        <f t="shared" si="5"/>
        <v>57.6</v>
      </c>
      <c r="J15" s="210">
        <f t="shared" si="6"/>
        <v>83.062170000000009</v>
      </c>
      <c r="K15" s="211"/>
    </row>
    <row r="16" spans="1:19" x14ac:dyDescent="0.25">
      <c r="A16" s="206" t="str">
        <f>PLANTILLA!D20</f>
        <v>Paulo Beltrán</v>
      </c>
      <c r="B16" s="207">
        <f>PLANTILLA!E20</f>
        <v>18</v>
      </c>
      <c r="C16" s="207">
        <f>PLANTILLA!H20</f>
        <v>3</v>
      </c>
      <c r="D16" s="208">
        <f>PLANTILLA!I20</f>
        <v>1.2</v>
      </c>
      <c r="E16" s="209">
        <f t="shared" si="1"/>
        <v>1.2</v>
      </c>
      <c r="F16" s="209">
        <f t="shared" si="2"/>
        <v>1.3</v>
      </c>
      <c r="G16" s="209">
        <f t="shared" si="3"/>
        <v>3</v>
      </c>
      <c r="H16" s="209">
        <f t="shared" si="4"/>
        <v>3.99</v>
      </c>
      <c r="I16" s="210">
        <f t="shared" si="5"/>
        <v>10.799999999999999</v>
      </c>
      <c r="J16" s="210">
        <f t="shared" si="6"/>
        <v>20.696130000000004</v>
      </c>
      <c r="K16" s="211"/>
      <c r="L16" s="71" t="s">
        <v>343</v>
      </c>
      <c r="O16" t="s">
        <v>344</v>
      </c>
      <c r="P16" s="32">
        <f>SUM(P3:P13)</f>
        <v>14.399999999999999</v>
      </c>
      <c r="Q16" s="32">
        <f>SUM(Q3:Q13)</f>
        <v>15.5</v>
      </c>
      <c r="R16" s="32"/>
    </row>
    <row r="17" spans="1:18" x14ac:dyDescent="0.25">
      <c r="A17" s="206" t="str">
        <f>PLANTILLA!D22</f>
        <v>Nicolás Eans</v>
      </c>
      <c r="B17" s="207">
        <f>PLANTILLA!E22</f>
        <v>18</v>
      </c>
      <c r="C17" s="207">
        <f>PLANTILLA!H22</f>
        <v>3</v>
      </c>
      <c r="D17" s="208">
        <f>PLANTILLA!I22</f>
        <v>1</v>
      </c>
      <c r="E17" s="209">
        <f t="shared" si="1"/>
        <v>1</v>
      </c>
      <c r="F17" s="209">
        <f t="shared" si="2"/>
        <v>1.1000000000000001</v>
      </c>
      <c r="G17" s="209">
        <f t="shared" si="3"/>
        <v>3</v>
      </c>
      <c r="H17" s="209">
        <f t="shared" si="4"/>
        <v>3.99</v>
      </c>
      <c r="I17" s="210">
        <f t="shared" si="5"/>
        <v>9</v>
      </c>
      <c r="J17" s="210">
        <f t="shared" si="6"/>
        <v>17.512110000000003</v>
      </c>
      <c r="K17" s="211"/>
      <c r="O17" t="s">
        <v>345</v>
      </c>
      <c r="P17" s="37">
        <f>P16/17</f>
        <v>0.84705882352941164</v>
      </c>
      <c r="Q17" s="37">
        <f>Q16/17</f>
        <v>0.91176470588235292</v>
      </c>
      <c r="R17" s="37"/>
    </row>
    <row r="18" spans="1:18" x14ac:dyDescent="0.25">
      <c r="A18" s="206" t="str">
        <f>PLANTILLA!D23</f>
        <v>Noel Fuster</v>
      </c>
      <c r="B18" s="207">
        <f>PLANTILLA!E23</f>
        <v>18</v>
      </c>
      <c r="C18" s="207">
        <f>PLANTILLA!H23</f>
        <v>4</v>
      </c>
      <c r="D18" s="208">
        <f>PLANTILLA!I23</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e">
        <f>PLANTILLA!#REF!</f>
        <v>#REF!</v>
      </c>
      <c r="B19" s="207" t="e">
        <f>PLANTILLA!#REF!</f>
        <v>#REF!</v>
      </c>
      <c r="C19" s="207" t="e">
        <f>PLANTILLA!#REF!</f>
        <v>#REF!</v>
      </c>
      <c r="D19" s="208" t="e">
        <f>PLANTILLA!#REF!</f>
        <v>#REF!</v>
      </c>
      <c r="E19" s="209" t="e">
        <f t="shared" si="1"/>
        <v>#REF!</v>
      </c>
      <c r="F19" s="209" t="e">
        <f t="shared" si="2"/>
        <v>#REF!</v>
      </c>
      <c r="G19" s="209" t="e">
        <f t="shared" si="3"/>
        <v>#REF!</v>
      </c>
      <c r="H19" s="209" t="e">
        <f t="shared" si="4"/>
        <v>#REF!</v>
      </c>
      <c r="I19" s="210" t="e">
        <f t="shared" si="5"/>
        <v>#REF!</v>
      </c>
      <c r="J19" s="210" t="e">
        <f t="shared" si="6"/>
        <v>#REF!</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PLANTILLA!D24</f>
        <v>A. Ilisie</v>
      </c>
      <c r="B21" s="207">
        <f>PLANTILLA!E24</f>
        <v>0</v>
      </c>
      <c r="C21" s="207">
        <f>PLANTILLA!H24</f>
        <v>0</v>
      </c>
      <c r="D21" s="208">
        <f>PLANTILLA!I24</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0.99128378056015243</v>
      </c>
      <c r="Q21" s="157">
        <f>Q17+Q20</f>
        <v>1.136551639471147</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89</v>
      </c>
      <c r="D3" s="65" t="str">
        <f>PLANTILLA!G4</f>
        <v>IMP</v>
      </c>
      <c r="E3" s="30">
        <f>PLANTILLA!M4</f>
        <v>43097</v>
      </c>
      <c r="F3" s="47">
        <f>PLANTILLA!Q4</f>
        <v>7</v>
      </c>
      <c r="G3" s="48">
        <f>(F3/7)^0.5</f>
        <v>1</v>
      </c>
      <c r="H3" s="48">
        <f>IF(F3=7,1,((F3+0.99)/7)^0.5)</f>
        <v>1</v>
      </c>
      <c r="I3" s="51">
        <f t="shared" ref="I3" ca="1" si="0">IF(TODAY()-E3&gt;335,1,((TODAY()-E3)^0.5)/336^0.5)</f>
        <v>0.5029673851018478</v>
      </c>
      <c r="J3" s="39">
        <f>PLANTILLA!I4</f>
        <v>2.7</v>
      </c>
      <c r="K3" s="46">
        <f>PLANTILLA!X4</f>
        <v>0</v>
      </c>
      <c r="L3" s="46">
        <f>PLANTILLA!Y4</f>
        <v>7</v>
      </c>
      <c r="M3" s="46">
        <f>PLANTILLA!Z4</f>
        <v>2</v>
      </c>
      <c r="N3" s="46">
        <f>PLANTILLA!AA4</f>
        <v>5</v>
      </c>
      <c r="O3" s="46">
        <f>PLANTILLA!AB4</f>
        <v>7.0305555555555559</v>
      </c>
      <c r="P3" s="46">
        <f>PLANTILLA!AC4</f>
        <v>5.5238095238095219</v>
      </c>
      <c r="Q3" s="46">
        <f>PLANTILLA!AD4</f>
        <v>4</v>
      </c>
      <c r="R3" s="46">
        <f>((2*(O3+1))+(L3+1))/8</f>
        <v>3.0076388888888888</v>
      </c>
      <c r="S3" s="46">
        <f>(0.5*P3+ 0.3*Q3)/10</f>
        <v>0.39619047619047609</v>
      </c>
      <c r="T3" s="46">
        <f>(0.4*L3+0.3*Q3)/10</f>
        <v>0.4</v>
      </c>
      <c r="U3" s="46">
        <f ca="1">IF(TODAY()-E3&gt;335,(Q3+1+(LOG(J3)*4/3))*(F3/7)^0.5,(Q3+((TODAY()-E3)^0.5)/(336^0.5)+(LOG(J3)*4/3))*(F3/7)^0.5)</f>
        <v>5.0781190706471646</v>
      </c>
      <c r="V3" s="46">
        <f ca="1">IF(F3=7,U3,IF(TODAY()-E3&gt;335,(Q3+1+(LOG(J3)*4/3))*((F3+0.99)/7)^0.5,(Q3+((TODAY()-E3)^0.5)/(336^0.5)+(LOG(J3)*4/3))*((F3+0.99)/7)^0.5))</f>
        <v>5.0781190706471646</v>
      </c>
      <c r="W3" s="37">
        <f ca="1">IF(TODAY()-E3&gt;335,((K3+1+(LOG(J3)*4/3))*0.597)+((L3+1+(LOG(J3)*4/3))*0.276),((K3+(((TODAY()-E3)^0.5)/(336^0.5))+(LOG(J3)*4/3))*0.597)+((L3+(((TODAY()-E3)^0.5)/(336^0.5))+(LOG(J3)*4/3))*0.276))</f>
        <v>2.8731979486749748</v>
      </c>
      <c r="X3" s="37">
        <f ca="1">IF(TODAY()-E3&gt;335,((K3+1+(LOG(J3)*4/3))*0.866)+((L3+1+(LOG(J3)*4/3))*0.425),((K3+(((TODAY()-E3)^0.5)/(336^0.5))+(LOG(J3)*4/3))*0.866)+((L3+(((TODAY()-E3)^0.5)/(336^0.5))+(LOG(J3)*4/3))*0.425))</f>
        <v>4.3668517202054895</v>
      </c>
      <c r="Y3" s="37">
        <f ca="1">W3</f>
        <v>2.8731979486749748</v>
      </c>
      <c r="Z3" s="37">
        <f ca="1">IF(TODAY()-E3&gt;335,((L3+1+(LOG(J3)*4/3))*0.516),((L3+(((TODAY()-E3)^0.5)/(336^0.516))+(LOG(J3)*4/3))*0.516))</f>
        <v>4.1452439388789006</v>
      </c>
      <c r="AA3" s="37">
        <f ca="1">IF(TODAY()-E3&gt;335,((L3+1+(LOG(J3)*4/3))*1),((L3+(((TODAY()-E3)^0.5)/(336^0.5))+(LOG(J3)*4/3))*1))</f>
        <v>8.0781190706471655</v>
      </c>
      <c r="AB3" s="37">
        <f ca="1">Z3/2</f>
        <v>2.0726219694394503</v>
      </c>
      <c r="AC3" s="37">
        <f ca="1">IF(TODAY()-E3&gt;335,((M3+1+(LOG(J3)*4/3))*0.238),((M3+(((TODAY()-E3)^0.5)/(336^0.238))+(LOG(J3)*4/3))*0.238))</f>
        <v>1.1624493368629869</v>
      </c>
      <c r="AD3" s="37">
        <f ca="1">IF(TODAY()-E3&gt;335,((L3+1+(LOG(J3)*4/3))*0.378),((L3+(((TODAY()-E3)^0.5)/(336^0.516))+(LOG(J3)*4/3))*0.378))</f>
        <v>3.0366321877833804</v>
      </c>
      <c r="AE3" s="37">
        <f ca="1">IF(TODAY()-E3&gt;335,((L3+1+(LOG(J3)*4/3))*0.723),((L3+(((TODAY()-E3)^0.5)/(336^0.5))+(LOG(J3)*4/3))*0.723))</f>
        <v>5.8404800880779009</v>
      </c>
      <c r="AF3" s="37">
        <f ca="1">AD3/2</f>
        <v>1.5183160938916902</v>
      </c>
      <c r="AG3" s="37">
        <f ca="1">IF(TODAY()-E3&gt;335,((M3+1+(LOG(J3)*4/3))*0.385),((M3+(((TODAY()-E3)^0.5)/(336^0.238))+(LOG(J3)*4/3))*0.385))</f>
        <v>1.8804327508077732</v>
      </c>
      <c r="AH3" s="37">
        <f ca="1">IF(TODAY()-E3&gt;335,((L3+1+(LOG(J3)*4/3))*0.92),((L3+(((TODAY()-E3)^0.5)/(336^0.5))+(LOG(J3)*4/3))*0.92))</f>
        <v>7.4318695449953927</v>
      </c>
      <c r="AI3" s="37">
        <f ca="1">IF(TODAY()-E3&gt;335,((L3+1+(LOG(J3)*4/3))*0.414),((L3+(((TODAY()-E3)^0.5)/(336^0.414))+(LOG(J3)*4/3))*0.414))</f>
        <v>3.479516792742491</v>
      </c>
      <c r="AJ3" s="37">
        <f ca="1">IF(TODAY()-E3&gt;335,((M3+1+(LOG(J3)*4/3))*0.167),((M3+(((TODAY()-E3)^0.5)/(336^0.5))+(LOG(J3)*4/3))*0.167))</f>
        <v>0.51404588479807645</v>
      </c>
      <c r="AK3" s="37">
        <f ca="1">IF(TODAY()-E3&gt;335,((N3+1+(LOG(J3)*4/3))*0.588),((N3+(((TODAY()-E3)^0.5)/(336^0.5))+(LOG(J3)*4/3))*0.588))</f>
        <v>3.5739340135405326</v>
      </c>
      <c r="AL3" s="37">
        <f ca="1">IF(TODAY()-E3&gt;335,((L3+1+(LOG(J3)*4/3))*0.754),((L3+(((TODAY()-E3)^0.5)/(336^0.5))+(LOG(J3)*4/3))*0.754))</f>
        <v>6.0909017792679627</v>
      </c>
      <c r="AM3" s="37">
        <f ca="1">IF(TODAY()-E3&gt;335,((L3+1+(LOG(J3)*4/3))*0.708),((L3+(((TODAY()-E3)^0.5)/(336^0.414))+(LOG(J3)*4/3))*0.708))</f>
        <v>5.950477993385709</v>
      </c>
      <c r="AN3" s="37">
        <f ca="1">IF(TODAY()-E3&gt;335,((Q3+1+(LOG(J3)*4/3))*0.167),((Q3+(((TODAY()-E3)^0.5)/(336^0.5))+(LOG(J3)*4/3))*0.167))</f>
        <v>0.84804588479807652</v>
      </c>
      <c r="AO3" s="37">
        <f ca="1">IF(TODAY()-E3&gt;335,((R3+1+(LOG(J3)*4/3))*0.288),((R3+(((TODAY()-E3)^0.5)/(336^0.5))+(LOG(J3)*4/3))*0.288))</f>
        <v>1.1766982923463833</v>
      </c>
      <c r="AP3" s="37">
        <f ca="1">IF(TODAY()-E3&gt;335,((L3+1+(LOG(J3)*4/3))*0.27),((L3+(((TODAY()-E3)^0.5)/(336^0.5))+(LOG(J3)*4/3))*0.27))</f>
        <v>2.1810921490747348</v>
      </c>
      <c r="AQ3" s="37">
        <f ca="1">IF(TODAY()-E3&gt;335,((L3+1+(LOG(J3)*4/3))*0.594),((L3+(((TODAY()-E3)^0.5)/(336^0.5))+(LOG(J3)*4/3))*0.594))</f>
        <v>4.7984027279644161</v>
      </c>
      <c r="AR3" s="37">
        <f ca="1">AP3/2</f>
        <v>1.0905460745373674</v>
      </c>
      <c r="AS3" s="37">
        <f ca="1">IF(TODAY()-E3&gt;335,((M3+1+(LOG(J3)*4/3))*0.944),((M3+(((TODAY()-E3)^0.5)/(336^0.5))+(LOG(J3)*4/3))*0.944))</f>
        <v>2.9057444026909227</v>
      </c>
      <c r="AT3" s="37">
        <f ca="1">IF(TODAY()-E3&gt;335,((O3+1+(LOG(J3)*4/3))*0.13),((O3+(((TODAY()-E3)^0.5)/(336^0.5))+(LOG(J3)*4/3))*0.13))</f>
        <v>1.0541277014063537</v>
      </c>
      <c r="AU3" s="37">
        <f ca="1">IF(TODAY()-E3&gt;335,((P3+1+(LOG(J3)*4/3))*0.173)+((O3+1+(LOG(J3)*4/3))*0.12),((P3+(((TODAY()-E3)^0.5)/(336^0.5))+(LOG(J3)*4/3))*0.173)+((O3+(((TODAY()-E3)^0.5)/(336^0.5))+(LOG(J3)*4/3))*0.12))</f>
        <v>2.1151746019853332</v>
      </c>
      <c r="AV3" s="37">
        <f ca="1">AT3/2</f>
        <v>0.52706385070317685</v>
      </c>
      <c r="AW3" s="37">
        <f ca="1">IF(TODAY()-E3&gt;335,((L3+1+(LOG(J3)*4/3))*0.189),((L3+(((TODAY()-E3)^0.5)/(336^0.5))+(LOG(J3)*4/3))*0.189))</f>
        <v>1.5267645043523144</v>
      </c>
      <c r="AX3" s="37">
        <f ca="1">IF(TODAY()-E3&gt;335,((L3+1+(LOG(J3)*4/3))*0.4),((L3+(((TODAY()-E3)^0.5)/(336^0.5))+(LOG(J3)*4/3))*0.4))</f>
        <v>3.2312476282588665</v>
      </c>
      <c r="AY3" s="37">
        <f ca="1">AW3/2</f>
        <v>0.76338225217615718</v>
      </c>
      <c r="AZ3" s="37">
        <f ca="1">IF(TODAY()-E3&gt;335,((M3+1+(LOG(J3)*4/3))*1),((M3+(((TODAY()-E3)^0.5)/(336^0.5))+(LOG(J3)*4/3))*1))</f>
        <v>3.0781190706471642</v>
      </c>
      <c r="BA3" s="37">
        <f ca="1">IF(TODAY()-E3&gt;335,((O3+1+(LOG(J3)*4/3))*0.253),((O3+(((TODAY()-E3)^0.5)/(336^0.5))+(LOG(J3)*4/3))*0.253))</f>
        <v>2.0514946804292884</v>
      </c>
      <c r="BB3" s="37">
        <f ca="1">IF(TODAY()-E3&gt;335,((P3+1+(LOG(J3)*4/3))*0.21)+((O3+1+(LOG(J3)*4/3))*0.341),((P3+(((TODAY()-E3)^0.5)/(336^0.5))+(LOG(J3)*4/3))*0.21)+((O3+(((TODAY()-E3)^0.5)/(336^0.5))+(LOG(J3)*4/3))*0.341))</f>
        <v>4.1514630523710325</v>
      </c>
      <c r="BC3" s="37">
        <f ca="1">BA3/2</f>
        <v>1.0257473402146442</v>
      </c>
      <c r="BD3" s="37">
        <f ca="1">IF(TODAY()-E3&gt;335,((L3+1+(LOG(J3)*4/3))*0.291),((L3+(((TODAY()-E3)^0.5)/(336^0.5))+(LOG(J3)*4/3))*0.291))</f>
        <v>2.3507326495583252</v>
      </c>
      <c r="BE3" s="37">
        <f ca="1">IF(TODAY()-E3&gt;335,((L3+1+(LOG(J3)*4/3))*0.348),((L3+(((TODAY()-E3)^0.5)/(336^0.5))+(LOG(J3)*4/3))*0.348))</f>
        <v>2.8111854365852134</v>
      </c>
      <c r="BF3" s="37">
        <f ca="1">IF(TODAY()-E3&gt;335,((M3+1+(LOG(J3)*4/3))*0.881),((M3+(((TODAY()-E3)^0.5)/(336^0.5))+(LOG(J3)*4/3))*0.881))</f>
        <v>2.7118229012401516</v>
      </c>
      <c r="BG3" s="37">
        <f ca="1">IF(TODAY()-E3&gt;335,((N3+1+(LOG(J3)*4/3))*0.574)+((O3+1+(LOG(J3)*4/3))*0.315),((N3+(((TODAY()-E3)^0.5)/(336^0.5))+(LOG(J3)*4/3))*0.574)+((O3+(((TODAY()-E3)^0.5)/(336^0.5))+(LOG(J3)*4/3))*0.315))</f>
        <v>6.0430728538053291</v>
      </c>
      <c r="BH3" s="37">
        <f ca="1">IF(TODAY()-E3&gt;335,((O3+1+(LOG(J3)*4/3))*0.241),((O3+(((TODAY()-E3)^0.5)/(336^0.5))+(LOG(J3)*4/3))*0.241))</f>
        <v>1.9541905849148555</v>
      </c>
      <c r="BI3" s="37">
        <f ca="1">IF(TODAY()-E3&gt;335,((L3+1+(LOG(J3)*4/3))*0.485),((L3+(((TODAY()-E3)^0.5)/(336^0.5))+(LOG(J3)*4/3))*0.485))</f>
        <v>3.9178877492638753</v>
      </c>
      <c r="BJ3" s="37">
        <f ca="1">IF(TODAY()-E3&gt;335,((L3+1+(LOG(J3)*4/3))*0.264),((L3+(((TODAY()-E3)^0.5)/(336^0.5))+(LOG(J3)*4/3))*0.264))</f>
        <v>2.1326234346508519</v>
      </c>
      <c r="BK3" s="37">
        <f ca="1">IF(TODAY()-E3&gt;335,((M3+1+(LOG(J3)*4/3))*0.381),((M3+(((TODAY()-E3)^0.5)/(336^0.5))+(LOG(J3)*4/3))*0.381))</f>
        <v>1.1727633659165695</v>
      </c>
      <c r="BL3" s="37">
        <f ca="1">IF(TODAY()-E3&gt;335,((N3+1+(LOG(J3)*4/3))*0.673)+((O3+1+(LOG(J3)*4/3))*0.201),((N3+(((TODAY()-E3)^0.5)/(336^0.5))+(LOG(J3)*4/3))*0.673)+((O3+(((TODAY()-E3)^0.5)/(336^0.5))+(LOG(J3)*4/3))*0.201))</f>
        <v>5.7204177344122886</v>
      </c>
      <c r="BM3" s="37">
        <f ca="1">IF(TODAY()-E3&gt;335,((O3+1+(LOG(J3)*4/3))*0.052),((O3+(((TODAY()-E3)^0.5)/(336^0.5))+(LOG(J3)*4/3))*0.052))</f>
        <v>0.42165108056254147</v>
      </c>
      <c r="BN3" s="37">
        <f ca="1">IF(TODAY()-E3&gt;335,((L3+1+(LOG(J3)*4/3))*0.18),((L3+(((TODAY()-E3)^0.5)/(336^0.5))+(LOG(J3)*4/3))*0.18))</f>
        <v>1.4540614327164898</v>
      </c>
      <c r="BO3" s="37">
        <f ca="1">IF(TODAY()-E3&gt;335,((L3+1+(LOG(J3)*4/3))*0.068),((L3+(((TODAY()-E3)^0.5)/(336^0.5))+(LOG(J3)*4/3))*0.068))</f>
        <v>0.54931209680400728</v>
      </c>
      <c r="BP3" s="37">
        <f ca="1">IF(TODAY()-E3&gt;335,((M3+1+(LOG(J3)*4/3))*0.305),((M3+(((TODAY()-E3)^0.5)/(336^0.5))+(LOG(J3)*4/3))*0.305))</f>
        <v>0.93882631654738502</v>
      </c>
      <c r="BQ3" s="37">
        <f ca="1">IF(TODAY()-E3&gt;335,((N3+1+(LOG(J3)*4/3))*1)+((O3+1+(LOG(J3)*4/3))*0.286),((N3+(((TODAY()-E3)^0.5)/(336^0.5))+(LOG(J3)*4/3))*1)+((O3+(((TODAY()-E3)^0.5)/(336^0.5))+(LOG(J3)*4/3))*0.286))</f>
        <v>8.3972000137411431</v>
      </c>
      <c r="BR3" s="37">
        <f ca="1">IF(TODAY()-E3&gt;335,((O3+1+(LOG(J3)*4/3))*0.135),((O3+(((TODAY()-E3)^0.5)/(336^0.5))+(LOG(J3)*4/3))*0.135))</f>
        <v>1.0946710745373673</v>
      </c>
      <c r="BS3" s="37">
        <f ca="1">IF(TODAY()-E3&gt;335,((L3+1+(LOG(J3)*4/3))*0.284),((L3+(((TODAY()-E3)^0.5)/(336^0.5))+(LOG(J3)*4/3))*0.284))</f>
        <v>2.2941858160637949</v>
      </c>
      <c r="BT3" s="37">
        <f ca="1">IF(TODAY()-E3&gt;335,((L3+1+(LOG(J3)*4/3))*0.244),((L3+(((TODAY()-E3)^0.5)/(336^0.5))+(LOG(J3)*4/3))*0.244))</f>
        <v>1.9710610532379083</v>
      </c>
      <c r="BU3" s="37">
        <f ca="1">IF(TODAY()-E3&gt;335,((M3+1+(LOG(J3)*4/3))*0.631),((M3+(((TODAY()-E3)^0.5)/(336^0.5))+(LOG(J3)*4/3))*0.631))</f>
        <v>1.9422931335783606</v>
      </c>
      <c r="BV3" s="37">
        <f ca="1">IF(TODAY()-E3&gt;335,((N3+1+(LOG(J3)*4/3))*0.702)+((O3+1+(LOG(J3)*4/3))*0.193),((N3+(((TODAY()-E3)^0.5)/(336^0.5))+(LOG(J3)*4/3))*0.702)+((O3+(((TODAY()-E3)^0.5)/(336^0.5))+(LOG(J3)*4/3))*0.193))</f>
        <v>5.8318137904514344</v>
      </c>
      <c r="BW3" s="37">
        <f ca="1">IF(TODAY()-E3&gt;335,((O3+1+(LOG(J3)*4/3))*0.148),((O3+(((TODAY()-E3)^0.5)/(336^0.5))+(LOG(J3)*4/3))*0.148))</f>
        <v>1.2000838446780027</v>
      </c>
      <c r="BX3" s="37">
        <f ca="1">IF(TODAY()-E3&gt;335,((M3+1+(LOG(J3)*4/3))*0.406),((M3+(((TODAY()-E3)^0.5)/(336^0.5))+(LOG(J3)*4/3))*0.406))</f>
        <v>1.2497163426827487</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3.7408627342198706</v>
      </c>
      <c r="BZ3" s="37">
        <f ca="1">IF(D3="TEC",IF(TODAY()-E3&gt;335,((O3+1+(LOG(J3)*4/3))*0.543)+((P3+1+(LOG(J3)*4/3))*0.583),((O3+(((TODAY()-E3)^0.5)/(336^0.5))+(LOG(J3)*4/3))*0.543)+((P3+(((TODAY()-E3)^0.5)/(336^0.5))+(LOG(J3)*4/3))*0.583)),IF(TODAY()-E3&gt;335,((O3+1+(LOG(J3)*4/3))*0.543)+((P3+1+(LOG(J3)*4/3))*0.583),((O3+(((TODAY()-E3)^0.5)/(336^0.5))+(LOG(J3)*4/3))*0.543)+((P3+(((TODAY()-E3)^0.5)/(336^0.5))+(LOG(J3)*4/3))*0.583)))</f>
        <v>8.2519346925963255</v>
      </c>
      <c r="CA3" s="37">
        <f ca="1">BY3</f>
        <v>3.7408627342198706</v>
      </c>
      <c r="CB3" s="37">
        <f ca="1">IF(TODAY()-E3&gt;335,((P3+1+(LOG(J3)*4/3))*0.26)+((N3+1+(LOG(J3)*4/3))*0.221)+((O3+1+(LOG(J3)*4/3))*0.142),((P3+(((TODAY()-E3)^0.5)/(336^0.5))+(LOG(J3)*4/3))*0.26)+((N3+(((TODAY()-E3)^0.5)/(336^0.5))+(LOG(J3)*4/3))*0.221)+((P3+(((TODAY()-E3)^0.5)/(336^0.5))+(LOG(J3)*4/3))*0.142))</f>
        <v>3.9972396095846117</v>
      </c>
      <c r="CC3" s="37">
        <f ca="1">IF(TODAY()-E3&gt;335,((P3+1+(LOG(J3)*4/3))*1)+((O3+1+(LOG(J3)*4/3))*0.369),((P3+(((TODAY()-E3)^0.5)/(336^0.5))+(LOG(J3)*4/3))*1)+((O3+(((TODAY()-E3)^0.5)/(336^0.5))+(LOG(J3)*4/3))*0.369))</f>
        <v>9.5940295315254893</v>
      </c>
      <c r="CD3" s="37">
        <f ca="1">CB3</f>
        <v>3.9972396095846117</v>
      </c>
      <c r="CE3" s="37">
        <f ca="1">IF(TODAY()-E3&gt;335,((M3+1+(LOG(J3)*4/3))*0.25),((M3+(((TODAY()-E3)^0.5)/(336^0.5))+(LOG(J3)*4/3))*0.25))</f>
        <v>0.76952976766179104</v>
      </c>
    </row>
    <row r="4" spans="1:83" x14ac:dyDescent="0.25">
      <c r="A4" t="str">
        <f>PLANTILLA!D5</f>
        <v>Marc Dolz</v>
      </c>
      <c r="B4">
        <f>PLANTILLA!E5</f>
        <v>18</v>
      </c>
      <c r="C4" s="33">
        <f ca="1">PLANTILLA!F5</f>
        <v>31</v>
      </c>
      <c r="D4" s="220" t="str">
        <f>PLANTILLA!G5</f>
        <v>POT</v>
      </c>
      <c r="E4" s="30">
        <f>PLANTILLA!M5</f>
        <v>43046</v>
      </c>
      <c r="F4" s="47">
        <f>PLANTILLA!Q5</f>
        <v>4</v>
      </c>
      <c r="G4" s="48">
        <f t="shared" ref="G4:G19" si="1">(F4/7)^0.5</f>
        <v>0.7559289460184544</v>
      </c>
      <c r="H4" s="48">
        <f t="shared" ref="H4:H19" si="2">IF(F4=7,1,((F4+0.99)/7)^0.5)</f>
        <v>0.84430867747355465</v>
      </c>
      <c r="I4" s="51">
        <f t="shared" ref="I4:I19" ca="1" si="3">IF(TODAY()-E4&gt;335,1,((TODAY()-E4)^0.5)/336^0.5)</f>
        <v>0.63620901028035182</v>
      </c>
      <c r="J4" s="39">
        <f>PLANTILLA!I5</f>
        <v>1</v>
      </c>
      <c r="K4" s="46">
        <f>PLANTILLA!X5</f>
        <v>0</v>
      </c>
      <c r="L4" s="46">
        <f>PLANTILLA!Y5</f>
        <v>4</v>
      </c>
      <c r="M4" s="46">
        <f>PLANTILLA!Z5</f>
        <v>4</v>
      </c>
      <c r="N4" s="46">
        <f>PLANTILLA!AA5</f>
        <v>3</v>
      </c>
      <c r="O4" s="46">
        <f>PLANTILLA!AB5</f>
        <v>4.2926666666666664</v>
      </c>
      <c r="P4" s="46">
        <f>PLANTILLA!AC5</f>
        <v>3.6000000000000019</v>
      </c>
      <c r="Q4" s="46">
        <f>PLANTILLA!AD5</f>
        <v>0.4</v>
      </c>
      <c r="R4" s="46">
        <f t="shared" ref="R4:R5" si="4">((2*(O4+1))+(L4+1))/8</f>
        <v>1.9481666666666666</v>
      </c>
      <c r="S4" s="46">
        <f t="shared" ref="S4:S5" si="5">(0.5*P4+ 0.3*Q4)/10</f>
        <v>0.19200000000000009</v>
      </c>
      <c r="T4" s="46">
        <f t="shared" ref="T4:T5" si="6">(0.4*L4+0.3*Q4)/10</f>
        <v>0.17200000000000001</v>
      </c>
      <c r="U4" s="46">
        <f t="shared" ref="U4:U5" ca="1" si="7">IF(TODAY()-E4&gt;335,(Q4+1+(LOG(J4)*4/3))*(F4/7)^0.5,(Q4+((TODAY()-E4)^0.5)/(336^0.5)+(LOG(J4)*4/3))*(F4/7)^0.5)</f>
        <v>0.78330038499605215</v>
      </c>
      <c r="V4" s="46">
        <f t="shared" ref="V4:V5" ca="1" si="8">IF(F4=7,U4,IF(TODAY()-E4&gt;335,(Q4+1+(LOG(J4)*4/3))*((F4+0.99)/7)^0.5,(Q4+((TODAY()-E4)^0.5)/(336^0.5)+(LOG(J4)*4/3))*((F4+0.99)/7)^0.5))</f>
        <v>0.87488025905598488</v>
      </c>
      <c r="W4" s="37">
        <f t="shared" ref="W4:W5" ca="1" si="9">IF(TODAY()-E4&gt;335,((K4+1+(LOG(J4)*4/3))*0.597)+((L4+1+(LOG(J4)*4/3))*0.276),((K4+(((TODAY()-E4)^0.5)/(336^0.5))+(LOG(J4)*4/3))*0.597)+((L4+(((TODAY()-E4)^0.5)/(336^0.5))+(LOG(J4)*4/3))*0.276))</f>
        <v>1.6594104659747471</v>
      </c>
      <c r="X4" s="37">
        <f t="shared" ref="X4:X5" ca="1" si="10">IF(TODAY()-E4&gt;335,((K4+1+(LOG(J4)*4/3))*0.866)+((L4+1+(LOG(J4)*4/3))*0.425),((K4+(((TODAY()-E4)^0.5)/(336^0.5))+(LOG(J4)*4/3))*0.866)+((L4+(((TODAY()-E4)^0.5)/(336^0.5))+(LOG(J4)*4/3))*0.425))</f>
        <v>2.5213458322719342</v>
      </c>
      <c r="Y4" s="37">
        <f t="shared" ref="Y4:Y5" ca="1" si="11">W4</f>
        <v>1.6594104659747471</v>
      </c>
      <c r="Z4" s="37">
        <f t="shared" ref="Z4:Z5" ca="1" si="12">IF(TODAY()-E4&gt;335,((L4+1+(LOG(J4)*4/3))*0.516),((L4+(((TODAY()-E4)^0.5)/(336^0.516))+(LOG(J4)*4/3))*0.516))</f>
        <v>2.3631080411641361</v>
      </c>
      <c r="AA4" s="37">
        <f t="shared" ref="AA4:AA5" ca="1" si="13">IF(TODAY()-E4&gt;335,((L4+1+(LOG(J4)*4/3))*1),((L4+(((TODAY()-E4)^0.5)/(336^0.5))+(LOG(J4)*4/3))*1))</f>
        <v>4.6362090102803517</v>
      </c>
      <c r="AB4" s="37">
        <f t="shared" ref="AB4:AB5" ca="1" si="14">Z4/2</f>
        <v>1.181554020582068</v>
      </c>
      <c r="AC4" s="37">
        <f t="shared" ref="AC4:AC5" ca="1" si="15">IF(TODAY()-E4&gt;335,((M4+1+(LOG(J4)*4/3))*0.238),((M4+(((TODAY()-E4)^0.5)/(336^0.238))+(LOG(J4)*4/3))*0.238))</f>
        <v>1.6471486172456338</v>
      </c>
      <c r="AD4" s="37">
        <f t="shared" ref="AD4:AD5" ca="1" si="16">IF(TODAY()-E4&gt;335,((L4+1+(LOG(J4)*4/3))*0.378),((L4+(((TODAY()-E4)^0.5)/(336^0.516))+(LOG(J4)*4/3))*0.378))</f>
        <v>1.7311140301551227</v>
      </c>
      <c r="AE4" s="37">
        <f t="shared" ref="AE4:AE5" ca="1" si="17">IF(TODAY()-E4&gt;335,((L4+1+(LOG(J4)*4/3))*0.723),((L4+(((TODAY()-E4)^0.5)/(336^0.5))+(LOG(J4)*4/3))*0.723))</f>
        <v>3.351979114432694</v>
      </c>
      <c r="AF4" s="37">
        <f t="shared" ref="AF4:AF5" ca="1" si="18">AD4/2</f>
        <v>0.86555701507756133</v>
      </c>
      <c r="AG4" s="37">
        <f t="shared" ref="AG4:AG5" ca="1" si="19">IF(TODAY()-E4&gt;335,((M4+1+(LOG(J4)*4/3))*0.385),((M4+(((TODAY()-E4)^0.5)/(336^0.238))+(LOG(J4)*4/3))*0.385))</f>
        <v>2.6645051161326432</v>
      </c>
      <c r="AH4" s="37">
        <f t="shared" ref="AH4:AH5" ca="1" si="20">IF(TODAY()-E4&gt;335,((L4+1+(LOG(J4)*4/3))*0.92),((L4+(((TODAY()-E4)^0.5)/(336^0.5))+(LOG(J4)*4/3))*0.92))</f>
        <v>4.2653122894579241</v>
      </c>
      <c r="AI4" s="37">
        <f t="shared" ref="AI4:AI5" ca="1" si="21">IF(TODAY()-E4&gt;335,((L4+1+(LOG(J4)*4/3))*0.414),((L4+(((TODAY()-E4)^0.5)/(336^0.414))+(LOG(J4)*4/3))*0.414))</f>
        <v>2.090375512627749</v>
      </c>
      <c r="AJ4" s="37">
        <f t="shared" ref="AJ4:AJ5" ca="1" si="22">IF(TODAY()-E4&gt;335,((M4+1+(LOG(J4)*4/3))*0.167),((M4+(((TODAY()-E4)^0.5)/(336^0.5))+(LOG(J4)*4/3))*0.167))</f>
        <v>0.77424690471681878</v>
      </c>
      <c r="AK4" s="37">
        <f t="shared" ref="AK4:AK5" ca="1" si="23">IF(TODAY()-E4&gt;335,((N4+1+(LOG(J4)*4/3))*0.588),((N4+(((TODAY()-E4)^0.5)/(336^0.5))+(LOG(J4)*4/3))*0.588))</f>
        <v>2.1380908980448465</v>
      </c>
      <c r="AL4" s="37">
        <f t="shared" ref="AL4:AL5" ca="1" si="24">IF(TODAY()-E4&gt;335,((L4+1+(LOG(J4)*4/3))*0.754),((L4+(((TODAY()-E4)^0.5)/(336^0.5))+(LOG(J4)*4/3))*0.754))</f>
        <v>3.4957015937513853</v>
      </c>
      <c r="AM4" s="37">
        <f t="shared" ref="AM4:AM5" ca="1" si="25">IF(TODAY()-E4&gt;335,((L4+1+(LOG(J4)*4/3))*0.708),((L4+(((TODAY()-E4)^0.5)/(336^0.414))+(LOG(J4)*4/3))*0.708))</f>
        <v>3.5748450795662952</v>
      </c>
      <c r="AN4" s="37">
        <f t="shared" ref="AN4:AN5" ca="1" si="26">IF(TODAY()-E4&gt;335,((Q4+1+(LOG(J4)*4/3))*0.167),((Q4+(((TODAY()-E4)^0.5)/(336^0.5))+(LOG(J4)*4/3))*0.167))</f>
        <v>0.17304690471681877</v>
      </c>
      <c r="AO4" s="37">
        <f t="shared" ref="AO4:AO5" ca="1" si="27">IF(TODAY()-E4&gt;335,((R4+1+(LOG(J4)*4/3))*0.288),((R4+(((TODAY()-E4)^0.5)/(336^0.5))+(LOG(J4)*4/3))*0.288))</f>
        <v>0.74430019496074129</v>
      </c>
      <c r="AP4" s="37">
        <f t="shared" ref="AP4:AP5" ca="1" si="28">IF(TODAY()-E4&gt;335,((L4+1+(LOG(J4)*4/3))*0.27),((L4+(((TODAY()-E4)^0.5)/(336^0.5))+(LOG(J4)*4/3))*0.27))</f>
        <v>1.2517764327756951</v>
      </c>
      <c r="AQ4" s="37">
        <f t="shared" ref="AQ4:AQ5" ca="1" si="29">IF(TODAY()-E4&gt;335,((L4+1+(LOG(J4)*4/3))*0.594),((L4+(((TODAY()-E4)^0.5)/(336^0.5))+(LOG(J4)*4/3))*0.594))</f>
        <v>2.7539081521065287</v>
      </c>
      <c r="AR4" s="37">
        <f t="shared" ref="AR4:AR5" ca="1" si="30">AP4/2</f>
        <v>0.62588821638784753</v>
      </c>
      <c r="AS4" s="37">
        <f t="shared" ref="AS4:AS5" ca="1" si="31">IF(TODAY()-E4&gt;335,((M4+1+(LOG(J4)*4/3))*0.944),((M4+(((TODAY()-E4)^0.5)/(336^0.5))+(LOG(J4)*4/3))*0.944))</f>
        <v>4.3765813057046516</v>
      </c>
      <c r="AT4" s="37">
        <f t="shared" ref="AT4:AT5" ca="1" si="32">IF(TODAY()-E4&gt;335,((O4+1+(LOG(J4)*4/3))*0.13),((O4+(((TODAY()-E4)^0.5)/(336^0.5))+(LOG(J4)*4/3))*0.13))</f>
        <v>0.64075383800311236</v>
      </c>
      <c r="AU4" s="37">
        <f t="shared" ref="AU4:AU5" ca="1" si="33">IF(TODAY()-E4&gt;335,((P4+1+(LOG(J4)*4/3))*0.173)+((O4+1+(LOG(J4)*4/3))*0.12),((P4+(((TODAY()-E4)^0.5)/(336^0.5))+(LOG(J4)*4/3))*0.173)+((O4+(((TODAY()-E4)^0.5)/(336^0.5))+(LOG(J4)*4/3))*0.12))</f>
        <v>1.3243292400121434</v>
      </c>
      <c r="AV4" s="37">
        <f t="shared" ref="AV4:AV5" ca="1" si="34">AT4/2</f>
        <v>0.32037691900155618</v>
      </c>
      <c r="AW4" s="37">
        <f t="shared" ref="AW4:AW5" ca="1" si="35">IF(TODAY()-E4&gt;335,((L4+1+(LOG(J4)*4/3))*0.189),((L4+(((TODAY()-E4)^0.5)/(336^0.5))+(LOG(J4)*4/3))*0.189))</f>
        <v>0.87624350294298647</v>
      </c>
      <c r="AX4" s="37">
        <f t="shared" ref="AX4:AX5" ca="1" si="36">IF(TODAY()-E4&gt;335,((L4+1+(LOG(J4)*4/3))*0.4),((L4+(((TODAY()-E4)^0.5)/(336^0.5))+(LOG(J4)*4/3))*0.4))</f>
        <v>1.8544836041121409</v>
      </c>
      <c r="AY4" s="37">
        <f t="shared" ref="AY4:AY5" ca="1" si="37">AW4/2</f>
        <v>0.43812175147149324</v>
      </c>
      <c r="AZ4" s="37">
        <f t="shared" ref="AZ4:AZ5" ca="1" si="38">IF(TODAY()-E4&gt;335,((M4+1+(LOG(J4)*4/3))*1),((M4+(((TODAY()-E4)^0.5)/(336^0.5))+(LOG(J4)*4/3))*1))</f>
        <v>4.6362090102803517</v>
      </c>
      <c r="BA4" s="37">
        <f t="shared" ref="BA4:BA5" ca="1" si="39">IF(TODAY()-E4&gt;335,((O4+1+(LOG(J4)*4/3))*0.253),((O4+(((TODAY()-E4)^0.5)/(336^0.5))+(LOG(J4)*4/3))*0.253))</f>
        <v>1.2470055462675955</v>
      </c>
      <c r="BB4" s="37">
        <f t="shared" ref="BB4:BB5" ca="1" si="40">IF(TODAY()-E4&gt;335,((P4+1+(LOG(J4)*4/3))*0.21)+((O4+1+(LOG(J4)*4/3))*0.341),((P4+(((TODAY()-E4)^0.5)/(336^0.5))+(LOG(J4)*4/3))*0.21)+((O4+(((TODAY()-E4)^0.5)/(336^0.5))+(LOG(J4)*4/3))*0.341))</f>
        <v>2.5703504979978078</v>
      </c>
      <c r="BC4" s="37">
        <f t="shared" ref="BC4:BC5" ca="1" si="41">BA4/2</f>
        <v>0.62350277313379776</v>
      </c>
      <c r="BD4" s="37">
        <f t="shared" ref="BD4:BD5" ca="1" si="42">IF(TODAY()-E4&gt;335,((L4+1+(LOG(J4)*4/3))*0.291),((L4+(((TODAY()-E4)^0.5)/(336^0.5))+(LOG(J4)*4/3))*0.291))</f>
        <v>1.3491368219915822</v>
      </c>
      <c r="BE4" s="37">
        <f t="shared" ref="BE4:BE5" ca="1" si="43">IF(TODAY()-E4&gt;335,((L4+1+(LOG(J4)*4/3))*0.348),((L4+(((TODAY()-E4)^0.5)/(336^0.5))+(LOG(J4)*4/3))*0.348))</f>
        <v>1.6134007355775624</v>
      </c>
      <c r="BF4" s="37">
        <f t="shared" ref="BF4:BF5" ca="1" si="44">IF(TODAY()-E4&gt;335,((M4+1+(LOG(J4)*4/3))*0.881),((M4+(((TODAY()-E4)^0.5)/(336^0.5))+(LOG(J4)*4/3))*0.881))</f>
        <v>4.0845001380569901</v>
      </c>
      <c r="BG4" s="37">
        <f t="shared" ref="BG4:BG5" ca="1" si="45">IF(TODAY()-E4&gt;335,((N4+1+(LOG(J4)*4/3))*0.574)+((O4+1+(LOG(J4)*4/3))*0.315),((N4+(((TODAY()-E4)^0.5)/(336^0.5))+(LOG(J4)*4/3))*0.574)+((O4+(((TODAY()-E4)^0.5)/(336^0.5))+(LOG(J4)*4/3))*0.315))</f>
        <v>3.639779810139232</v>
      </c>
      <c r="BH4" s="37">
        <f t="shared" ref="BH4:BH5" ca="1" si="46">IF(TODAY()-E4&gt;335,((O4+1+(LOG(J4)*4/3))*0.241),((O4+(((TODAY()-E4)^0.5)/(336^0.5))+(LOG(J4)*4/3))*0.241))</f>
        <v>1.1878590381442313</v>
      </c>
      <c r="BI4" s="37">
        <f t="shared" ref="BI4:BI5" ca="1" si="47">IF(TODAY()-E4&gt;335,((L4+1+(LOG(J4)*4/3))*0.485),((L4+(((TODAY()-E4)^0.5)/(336^0.5))+(LOG(J4)*4/3))*0.485))</f>
        <v>2.2485613699859703</v>
      </c>
      <c r="BJ4" s="37">
        <f t="shared" ref="BJ4:BJ5" ca="1" si="48">IF(TODAY()-E4&gt;335,((L4+1+(LOG(J4)*4/3))*0.264),((L4+(((TODAY()-E4)^0.5)/(336^0.5))+(LOG(J4)*4/3))*0.264))</f>
        <v>1.2239591787140129</v>
      </c>
      <c r="BK4" s="37">
        <f t="shared" ref="BK4:BK5" ca="1" si="49">IF(TODAY()-E4&gt;335,((M4+1+(LOG(J4)*4/3))*0.381),((M4+(((TODAY()-E4)^0.5)/(336^0.5))+(LOG(J4)*4/3))*0.381))</f>
        <v>1.766395632916814</v>
      </c>
      <c r="BL4" s="37">
        <f t="shared" ref="BL4:BL5" ca="1" si="50">IF(TODAY()-E4&gt;335,((N4+1+(LOG(J4)*4/3))*0.673)+((O4+1+(LOG(J4)*4/3))*0.201),((N4+(((TODAY()-E4)^0.5)/(336^0.5))+(LOG(J4)*4/3))*0.673)+((O4+(((TODAY()-E4)^0.5)/(336^0.5))+(LOG(J4)*4/3))*0.201))</f>
        <v>3.4378726749850275</v>
      </c>
      <c r="BM4" s="37">
        <f t="shared" ref="BM4:BM5" ca="1" si="51">IF(TODAY()-E4&gt;335,((O4+1+(LOG(J4)*4/3))*0.052),((O4+(((TODAY()-E4)^0.5)/(336^0.5))+(LOG(J4)*4/3))*0.052))</f>
        <v>0.25630153520124493</v>
      </c>
      <c r="BN4" s="37">
        <f t="shared" ref="BN4:BN5" ca="1" si="52">IF(TODAY()-E4&gt;335,((L4+1+(LOG(J4)*4/3))*0.18),((L4+(((TODAY()-E4)^0.5)/(336^0.5))+(LOG(J4)*4/3))*0.18))</f>
        <v>0.8345176218504633</v>
      </c>
      <c r="BO4" s="37">
        <f t="shared" ref="BO4:BO5" ca="1" si="53">IF(TODAY()-E4&gt;335,((L4+1+(LOG(J4)*4/3))*0.068),((L4+(((TODAY()-E4)^0.5)/(336^0.5))+(LOG(J4)*4/3))*0.068))</f>
        <v>0.31526221269906396</v>
      </c>
      <c r="BP4" s="37">
        <f t="shared" ref="BP4:BP5" ca="1" si="54">IF(TODAY()-E4&gt;335,((M4+1+(LOG(J4)*4/3))*0.305),((M4+(((TODAY()-E4)^0.5)/(336^0.5))+(LOG(J4)*4/3))*0.305))</f>
        <v>1.4140437481355073</v>
      </c>
      <c r="BQ4" s="37">
        <f t="shared" ref="BQ4:BQ5" ca="1" si="55">IF(TODAY()-E4&gt;335,((N4+1+(LOG(J4)*4/3))*1)+((O4+1+(LOG(J4)*4/3))*0.286),((N4+(((TODAY()-E4)^0.5)/(336^0.5))+(LOG(J4)*4/3))*1)+((O4+(((TODAY()-E4)^0.5)/(336^0.5))+(LOG(J4)*4/3))*0.286))</f>
        <v>5.0458674538871993</v>
      </c>
      <c r="BR4" s="37">
        <f t="shared" ref="BR4:BR5" ca="1" si="56">IF(TODAY()-E4&gt;335,((O4+1+(LOG(J4)*4/3))*0.135),((O4+(((TODAY()-E4)^0.5)/(336^0.5))+(LOG(J4)*4/3))*0.135))</f>
        <v>0.66539821638784746</v>
      </c>
      <c r="BS4" s="37">
        <f t="shared" ref="BS4:BS5" ca="1" si="57">IF(TODAY()-E4&gt;335,((L4+1+(LOG(J4)*4/3))*0.284),((L4+(((TODAY()-E4)^0.5)/(336^0.5))+(LOG(J4)*4/3))*0.284))</f>
        <v>1.3166833589196199</v>
      </c>
      <c r="BT4" s="37">
        <f t="shared" ref="BT4:BT5" ca="1" si="58">IF(TODAY()-E4&gt;335,((L4+1+(LOG(J4)*4/3))*0.244),((L4+(((TODAY()-E4)^0.5)/(336^0.5))+(LOG(J4)*4/3))*0.244))</f>
        <v>1.1312349985084058</v>
      </c>
      <c r="BU4" s="37">
        <f t="shared" ref="BU4:BU5" ca="1" si="59">IF(TODAY()-E4&gt;335,((M4+1+(LOG(J4)*4/3))*0.631),((M4+(((TODAY()-E4)^0.5)/(336^0.5))+(LOG(J4)*4/3))*0.631))</f>
        <v>2.9254478854869022</v>
      </c>
      <c r="BV4" s="37">
        <f t="shared" ref="BV4:BV5" ca="1" si="60">IF(TODAY()-E4&gt;335,((N4+1+(LOG(J4)*4/3))*0.702)+((O4+1+(LOG(J4)*4/3))*0.193),((N4+(((TODAY()-E4)^0.5)/(336^0.5))+(LOG(J4)*4/3))*0.702)+((O4+(((TODAY()-E4)^0.5)/(336^0.5))+(LOG(J4)*4/3))*0.193))</f>
        <v>3.5038917308675814</v>
      </c>
      <c r="BW4" s="37">
        <f t="shared" ref="BW4:BW5" ca="1" si="61">IF(TODAY()-E4&gt;335,((O4+1+(LOG(J4)*4/3))*0.148),((O4+(((TODAY()-E4)^0.5)/(336^0.5))+(LOG(J4)*4/3))*0.148))</f>
        <v>0.72947360018815866</v>
      </c>
      <c r="BX4" s="37">
        <f t="shared" ref="BX4:BX5" ca="1" si="62">IF(TODAY()-E4&gt;335,((M4+1+(LOG(J4)*4/3))*0.406),((M4+(((TODAY()-E4)^0.5)/(336^0.5))+(LOG(J4)*4/3))*0.406))</f>
        <v>1.882300858173823</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2.29383156102273</v>
      </c>
      <c r="BZ4" s="37">
        <f t="shared" ref="BZ4:BZ5" ca="1" si="64">IF(D4="TEC",IF(TODAY()-E4&gt;335,((O4+1+(LOG(J4)*4/3))*0.543)+((P4+1+(LOG(J4)*4/3))*0.583),((O4+(((TODAY()-E4)^0.5)/(336^0.5))+(LOG(J4)*4/3))*0.543)+((P4+(((TODAY()-E4)^0.5)/(336^0.5))+(LOG(J4)*4/3))*0.583)),IF(TODAY()-E4&gt;335,((O4+1+(LOG(J4)*4/3))*0.543)+((P4+1+(LOG(J4)*4/3))*0.583),((O4+(((TODAY()-E4)^0.5)/(336^0.5))+(LOG(J4)*4/3))*0.543)+((P4+(((TODAY()-E4)^0.5)/(336^0.5))+(LOG(J4)*4/3))*0.583)))</f>
        <v>5.1460893455756764</v>
      </c>
      <c r="CA4" s="37">
        <f t="shared" ref="CA4:CA5" ca="1" si="65">BY4</f>
        <v>2.29383156102273</v>
      </c>
      <c r="CB4" s="37">
        <f t="shared" ref="CB4:CB5" ca="1" si="66">IF(TODAY()-E4&gt;335,((P4+1+(LOG(J4)*4/3))*0.26)+((N4+1+(LOG(J4)*4/3))*0.221)+((O4+1+(LOG(J4)*4/3))*0.142),((P4+(((TODAY()-E4)^0.5)/(336^0.5))+(LOG(J4)*4/3))*0.26)+((N4+(((TODAY()-E4)^0.5)/(336^0.5))+(LOG(J4)*4/3))*0.221)+((P4+(((TODAY()-E4)^0.5)/(336^0.5))+(LOG(J4)*4/3))*0.142))</f>
        <v>2.5065582134046602</v>
      </c>
      <c r="CC4" s="37">
        <f t="shared" ref="CC4:CC5" ca="1" si="67">IF(TODAY()-E4&gt;335,((P4+1+(LOG(J4)*4/3))*1)+((O4+1+(LOG(J4)*4/3))*0.369),((P4+(((TODAY()-E4)^0.5)/(336^0.5))+(LOG(J4)*4/3))*1)+((O4+(((TODAY()-E4)^0.5)/(336^0.5))+(LOG(J4)*4/3))*0.369))</f>
        <v>6.0549641350738037</v>
      </c>
      <c r="CD4" s="37">
        <f t="shared" ref="CD4:CD5" ca="1" si="68">CB4</f>
        <v>2.5065582134046602</v>
      </c>
      <c r="CE4" s="37">
        <f t="shared" ref="CE4:CE5" ca="1" si="69">IF(TODAY()-E4&gt;335,((M4+1+(LOG(J4)*4/3))*0.25),((M4+(((TODAY()-E4)^0.5)/(336^0.5))+(LOG(J4)*4/3))*0.25))</f>
        <v>1.1590522525700879</v>
      </c>
    </row>
    <row r="5" spans="1:83" x14ac:dyDescent="0.25">
      <c r="A5" t="str">
        <f>PLANTILLA!D6</f>
        <v>Manuel Parejo</v>
      </c>
      <c r="B5">
        <f>PLANTILLA!E6</f>
        <v>17</v>
      </c>
      <c r="C5" s="33">
        <f ca="1">PLANTILLA!F6</f>
        <v>90</v>
      </c>
      <c r="D5" s="220">
        <f>PLANTILLA!G6</f>
        <v>0</v>
      </c>
      <c r="E5" s="30">
        <f>PLANTILLA!M6</f>
        <v>43097</v>
      </c>
      <c r="F5" s="47">
        <f>PLANTILLA!Q6</f>
        <v>5</v>
      </c>
      <c r="G5" s="48">
        <f t="shared" si="1"/>
        <v>0.84515425472851657</v>
      </c>
      <c r="H5" s="48">
        <f t="shared" si="2"/>
        <v>0.92504826128926143</v>
      </c>
      <c r="I5" s="51">
        <f t="shared" ca="1" si="3"/>
        <v>0.5029673851018478</v>
      </c>
      <c r="J5" s="39">
        <f>PLANTILLA!I6</f>
        <v>1.5</v>
      </c>
      <c r="K5" s="46">
        <f>PLANTILLA!X6</f>
        <v>0</v>
      </c>
      <c r="L5" s="46">
        <f>PLANTILLA!Y6</f>
        <v>5</v>
      </c>
      <c r="M5" s="46">
        <f>PLANTILLA!Z6</f>
        <v>6.7</v>
      </c>
      <c r="N5" s="46">
        <f>PLANTILLA!AA6</f>
        <v>3</v>
      </c>
      <c r="O5" s="46">
        <f>PLANTILLA!AB6</f>
        <v>3</v>
      </c>
      <c r="P5" s="46">
        <f>PLANTILLA!AC6</f>
        <v>3.7259259259259281</v>
      </c>
      <c r="Q5" s="46">
        <f>PLANTILLA!AD6</f>
        <v>2</v>
      </c>
      <c r="R5" s="46">
        <f t="shared" si="4"/>
        <v>1.75</v>
      </c>
      <c r="S5" s="46">
        <f t="shared" si="5"/>
        <v>0.2462962962962964</v>
      </c>
      <c r="T5" s="46">
        <f t="shared" si="6"/>
        <v>0.26</v>
      </c>
      <c r="U5" s="46">
        <f t="shared" ca="1" si="7"/>
        <v>2.3138259040474165</v>
      </c>
      <c r="V5" s="46">
        <f t="shared" ca="1" si="8"/>
        <v>2.5325561783424533</v>
      </c>
      <c r="W5" s="37">
        <f t="shared" ca="1" si="9"/>
        <v>2.0240607527347265</v>
      </c>
      <c r="X5" s="37">
        <f t="shared" ca="1" si="10"/>
        <v>3.0774426480876649</v>
      </c>
      <c r="Y5" s="37">
        <f t="shared" ca="1" si="11"/>
        <v>2.0240607527347265</v>
      </c>
      <c r="Z5" s="37">
        <f t="shared" ca="1" si="12"/>
        <v>2.9376164553678268</v>
      </c>
      <c r="AA5" s="37">
        <f t="shared" ca="1" si="13"/>
        <v>5.7377557305094236</v>
      </c>
      <c r="AB5" s="37">
        <f t="shared" ca="1" si="14"/>
        <v>1.4688082276839134</v>
      </c>
      <c r="AC5" s="37">
        <f t="shared" ca="1" si="15"/>
        <v>2.2000428619102048</v>
      </c>
      <c r="AD5" s="37">
        <f t="shared" ca="1" si="16"/>
        <v>2.1519748452113148</v>
      </c>
      <c r="AE5" s="37">
        <f t="shared" ca="1" si="17"/>
        <v>4.1483973931583131</v>
      </c>
      <c r="AF5" s="37">
        <f t="shared" ca="1" si="18"/>
        <v>1.0759874226056574</v>
      </c>
      <c r="AG5" s="37">
        <f t="shared" ca="1" si="19"/>
        <v>3.5588928648547431</v>
      </c>
      <c r="AH5" s="37">
        <f t="shared" ca="1" si="20"/>
        <v>5.27873527206867</v>
      </c>
      <c r="AI5" s="37">
        <f t="shared" ca="1" si="21"/>
        <v>2.5106063699254659</v>
      </c>
      <c r="AJ5" s="37">
        <f t="shared" ca="1" si="22"/>
        <v>1.2421052069950738</v>
      </c>
      <c r="AK5" s="37">
        <f t="shared" ca="1" si="23"/>
        <v>2.1978003695395403</v>
      </c>
      <c r="AL5" s="37">
        <f t="shared" ca="1" si="24"/>
        <v>4.3262678208041052</v>
      </c>
      <c r="AM5" s="37">
        <f t="shared" ca="1" si="25"/>
        <v>4.2935007485681878</v>
      </c>
      <c r="AN5" s="37">
        <f t="shared" ca="1" si="26"/>
        <v>0.45720520699507361</v>
      </c>
      <c r="AO5" s="37">
        <f t="shared" ca="1" si="27"/>
        <v>0.71647365038671362</v>
      </c>
      <c r="AP5" s="37">
        <f t="shared" ca="1" si="28"/>
        <v>1.5491940472375445</v>
      </c>
      <c r="AQ5" s="37">
        <f t="shared" ca="1" si="29"/>
        <v>3.4082269039225976</v>
      </c>
      <c r="AR5" s="37">
        <f t="shared" ca="1" si="30"/>
        <v>0.77459702361877225</v>
      </c>
      <c r="AS5" s="37">
        <f t="shared" ca="1" si="31"/>
        <v>7.0212414096008944</v>
      </c>
      <c r="AT5" s="37">
        <f t="shared" ca="1" si="32"/>
        <v>0.48590824496622498</v>
      </c>
      <c r="AU5" s="37">
        <f t="shared" ca="1" si="33"/>
        <v>1.2207476142244464</v>
      </c>
      <c r="AV5" s="37">
        <f t="shared" ca="1" si="34"/>
        <v>0.24295412248311249</v>
      </c>
      <c r="AW5" s="37">
        <f t="shared" ca="1" si="35"/>
        <v>1.0844358330662811</v>
      </c>
      <c r="AX5" s="37">
        <f t="shared" ca="1" si="36"/>
        <v>2.2951022922037696</v>
      </c>
      <c r="AY5" s="37">
        <f t="shared" ca="1" si="37"/>
        <v>0.54221791653314055</v>
      </c>
      <c r="AZ5" s="37">
        <f t="shared" ca="1" si="38"/>
        <v>7.4377557305094228</v>
      </c>
      <c r="BA5" s="37">
        <f t="shared" ca="1" si="39"/>
        <v>0.94565219981888393</v>
      </c>
      <c r="BB5" s="37">
        <f t="shared" ca="1" si="40"/>
        <v>2.211947851955137</v>
      </c>
      <c r="BC5" s="37">
        <f t="shared" ca="1" si="41"/>
        <v>0.47282609990944197</v>
      </c>
      <c r="BD5" s="37">
        <f t="shared" ca="1" si="42"/>
        <v>1.6696869175782421</v>
      </c>
      <c r="BE5" s="37">
        <f t="shared" ca="1" si="43"/>
        <v>1.9967389942172793</v>
      </c>
      <c r="BF5" s="37">
        <f t="shared" ca="1" si="44"/>
        <v>6.552662798578802</v>
      </c>
      <c r="BG5" s="37">
        <f t="shared" ca="1" si="45"/>
        <v>3.3228648444228766</v>
      </c>
      <c r="BH5" s="37">
        <f t="shared" ca="1" si="46"/>
        <v>0.90079913105277087</v>
      </c>
      <c r="BI5" s="37">
        <f t="shared" ca="1" si="47"/>
        <v>2.7828115292970703</v>
      </c>
      <c r="BJ5" s="37">
        <f t="shared" ca="1" si="48"/>
        <v>1.514767512854488</v>
      </c>
      <c r="BK5" s="37">
        <f t="shared" ca="1" si="49"/>
        <v>2.8337849333240901</v>
      </c>
      <c r="BL5" s="37">
        <f t="shared" ca="1" si="50"/>
        <v>3.2667985084652358</v>
      </c>
      <c r="BM5" s="37">
        <f t="shared" ca="1" si="51"/>
        <v>0.19436329798648996</v>
      </c>
      <c r="BN5" s="37">
        <f t="shared" ca="1" si="52"/>
        <v>1.0327960314916962</v>
      </c>
      <c r="BO5" s="37">
        <f t="shared" ca="1" si="53"/>
        <v>0.39016738967464082</v>
      </c>
      <c r="BP5" s="37">
        <f t="shared" ca="1" si="54"/>
        <v>2.2685154978053741</v>
      </c>
      <c r="BQ5" s="37">
        <f t="shared" ca="1" si="55"/>
        <v>4.8067538694351173</v>
      </c>
      <c r="BR5" s="37">
        <f t="shared" ca="1" si="56"/>
        <v>0.50459702361877212</v>
      </c>
      <c r="BS5" s="37">
        <f t="shared" ca="1" si="57"/>
        <v>1.6295226274646761</v>
      </c>
      <c r="BT5" s="37">
        <f t="shared" ca="1" si="58"/>
        <v>1.4000123982442993</v>
      </c>
      <c r="BU5" s="37">
        <f t="shared" ca="1" si="59"/>
        <v>4.6932238659514462</v>
      </c>
      <c r="BV5" s="37">
        <f t="shared" ca="1" si="60"/>
        <v>3.3452913788059333</v>
      </c>
      <c r="BW5" s="37">
        <f t="shared" ca="1" si="61"/>
        <v>0.55318784811539456</v>
      </c>
      <c r="BX5" s="37">
        <f t="shared" ca="1" si="62"/>
        <v>3.0197288265868258</v>
      </c>
      <c r="BY5" s="37">
        <f t="shared" ca="1" si="63"/>
        <v>2.0395633281880023</v>
      </c>
      <c r="BZ5" s="37">
        <f t="shared" ca="1" si="64"/>
        <v>4.6319277673684258</v>
      </c>
      <c r="CA5" s="37">
        <f t="shared" ca="1" si="65"/>
        <v>2.0395633281880023</v>
      </c>
      <c r="CB5" s="37">
        <f t="shared" ca="1" si="66"/>
        <v>2.620444042329594</v>
      </c>
      <c r="CC5" s="37">
        <f t="shared" ca="1" si="67"/>
        <v>5.8429135209933287</v>
      </c>
      <c r="CD5" s="37">
        <f t="shared" ca="1" si="68"/>
        <v>2.620444042329594</v>
      </c>
      <c r="CE5" s="37">
        <f t="shared" ca="1" si="69"/>
        <v>1.8594389326273557</v>
      </c>
    </row>
    <row r="6" spans="1:83" x14ac:dyDescent="0.25">
      <c r="A6" t="str">
        <f>PLANTILLA!D7</f>
        <v>Valeri Gomis</v>
      </c>
      <c r="B6">
        <f>PLANTILLA!E7</f>
        <v>18</v>
      </c>
      <c r="C6" s="33">
        <f ca="1">PLANTILLA!F7</f>
        <v>34</v>
      </c>
      <c r="D6" s="220" t="str">
        <f>PLANTILLA!G7</f>
        <v>IMP</v>
      </c>
      <c r="E6" s="30">
        <f>PLANTILLA!M7</f>
        <v>43051</v>
      </c>
      <c r="F6" s="47">
        <f>PLANTILLA!Q7</f>
        <v>4</v>
      </c>
      <c r="G6" s="48">
        <f t="shared" si="1"/>
        <v>0.7559289460184544</v>
      </c>
      <c r="H6" s="48">
        <f t="shared" si="2"/>
        <v>0.84430867747355465</v>
      </c>
      <c r="I6" s="51">
        <f t="shared" ca="1" si="3"/>
        <v>0.62440447818777889</v>
      </c>
      <c r="J6" s="39">
        <f>PLANTILLA!I7</f>
        <v>1.8</v>
      </c>
      <c r="K6" s="46">
        <f>PLANTILLA!X7</f>
        <v>0</v>
      </c>
      <c r="L6" s="46">
        <f>PLANTILLA!Y7</f>
        <v>6</v>
      </c>
      <c r="M6" s="46">
        <f>PLANTILLA!Z7</f>
        <v>3</v>
      </c>
      <c r="N6" s="46">
        <f>PLANTILLA!AA7</f>
        <v>3</v>
      </c>
      <c r="O6" s="46">
        <f>PLANTILLA!AB7</f>
        <v>6.0000000000000009</v>
      </c>
      <c r="P6" s="46">
        <f>PLANTILLA!AC7</f>
        <v>7</v>
      </c>
      <c r="Q6" s="46">
        <f>PLANTILLA!AD7</f>
        <v>3</v>
      </c>
      <c r="R6" s="46">
        <f t="shared" ref="R6:R17" si="70">((2*(O6+1))+(L6+1))/8</f>
        <v>2.625</v>
      </c>
      <c r="S6" s="46">
        <f t="shared" ref="S6:S17" si="71">(0.5*P6+ 0.3*Q6)/10</f>
        <v>0.44000000000000006</v>
      </c>
      <c r="T6" s="46">
        <f t="shared" ref="T6:T17" si="72">(0.4*L6+0.3*Q6)/10</f>
        <v>0.33</v>
      </c>
      <c r="U6" s="46">
        <f t="shared" ref="U6:U17" ca="1" si="73">IF(TODAY()-E6&gt;335,(Q6+1+(LOG(J6)*4/3))*(F6/7)^0.5,(Q6+((TODAY()-E6)^0.5)/(336^0.5)+(LOG(J6)*4/3))*(F6/7)^0.5)</f>
        <v>2.9970827581146975</v>
      </c>
      <c r="V6" s="46">
        <f t="shared" ref="V6:V17" ca="1" si="74">IF(F6=7,U6,IF(TODAY()-E6&gt;335,(Q6+1+(LOG(J6)*4/3))*((F6+0.99)/7)^0.5,(Q6+((TODAY()-E6)^0.5)/(336^0.5)+(LOG(J6)*4/3))*((F6+0.99)/7)^0.5))</f>
        <v>3.3474878731801305</v>
      </c>
      <c r="W6" s="37">
        <f t="shared" ref="W6:W17" ca="1" si="75">IF(TODAY()-E6&gt;335,((K6+1+(LOG(J6)*4/3))*0.597)+((L6+1+(LOG(J6)*4/3))*0.276),((K6+(((TODAY()-E6)^0.5)/(336^0.5))+(LOG(J6)*4/3))*0.597)+((L6+(((TODAY()-E6)^0.5)/(336^0.5))+(LOG(J6)*4/3))*0.276))</f>
        <v>2.4982423053981795</v>
      </c>
      <c r="X6" s="37">
        <f t="shared" ref="X6:X17" ca="1" si="76">IF(TODAY()-E6&gt;335,((K6+1+(LOG(J6)*4/3))*0.866)+((L6+1+(LOG(J6)*4/3))*0.425),((K6+(((TODAY()-E6)^0.5)/(336^0.5))+(LOG(J6)*4/3))*0.866)+((L6+(((TODAY()-E6)^0.5)/(336^0.5))+(LOG(J6)*4/3))*0.425))</f>
        <v>3.7955152534582464</v>
      </c>
      <c r="Y6" s="37">
        <f t="shared" ref="Y6:Y17" ca="1" si="77">W6</f>
        <v>2.4982423053981795</v>
      </c>
      <c r="Z6" s="37">
        <f t="shared" ref="Z6:Z17" ca="1" si="78">IF(TODAY()-E6&gt;335,((L6+1+(LOG(J6)*4/3))*0.516),((L6+(((TODAY()-E6)^0.5)/(336^0.516))+(LOG(J6)*4/3))*0.516))</f>
        <v>3.5651857282812349</v>
      </c>
      <c r="AA6" s="37">
        <f t="shared" ref="AA6:AA17" ca="1" si="79">IF(TODAY()-E6&gt;335,((L6+1+(LOG(J6)*4/3))*1),((L6+(((TODAY()-E6)^0.5)/(336^0.5))+(LOG(J6)*4/3))*1))</f>
        <v>6.9647678183255204</v>
      </c>
      <c r="AB6" s="37">
        <f t="shared" ref="AB6:AB17" ca="1" si="80">Z6/2</f>
        <v>1.7825928641406175</v>
      </c>
      <c r="AC6" s="37">
        <f t="shared" ref="AC6:AC17" ca="1" si="81">IF(TODAY()-E6&gt;335,((M6+1+(LOG(J6)*4/3))*0.238),((M6+(((TODAY()-E6)^0.5)/(336^0.238))+(LOG(J6)*4/3))*0.238))</f>
        <v>1.4772569659084918</v>
      </c>
      <c r="AD6" s="37">
        <f t="shared" ref="AD6:AD17" ca="1" si="82">IF(TODAY()-E6&gt;335,((L6+1+(LOG(J6)*4/3))*0.378),((L6+(((TODAY()-E6)^0.5)/(336^0.516))+(LOG(J6)*4/3))*0.378))</f>
        <v>2.6117058242060209</v>
      </c>
      <c r="AE6" s="37">
        <f t="shared" ref="AE6:AE17" ca="1" si="83">IF(TODAY()-E6&gt;335,((L6+1+(LOG(J6)*4/3))*0.723),((L6+(((TODAY()-E6)^0.5)/(336^0.5))+(LOG(J6)*4/3))*0.723))</f>
        <v>5.0355271326493511</v>
      </c>
      <c r="AF6" s="37">
        <f t="shared" ref="AF6:AF17" ca="1" si="84">AD6/2</f>
        <v>1.3058529121030105</v>
      </c>
      <c r="AG6" s="37">
        <f t="shared" ref="AG6:AG17" ca="1" si="85">IF(TODAY()-E6&gt;335,((M6+1+(LOG(J6)*4/3))*0.385),((M6+(((TODAY()-E6)^0.5)/(336^0.238))+(LOG(J6)*4/3))*0.385))</f>
        <v>2.3896803860284428</v>
      </c>
      <c r="AH6" s="37">
        <f t="shared" ref="AH6:AH17" ca="1" si="86">IF(TODAY()-E6&gt;335,((L6+1+(LOG(J6)*4/3))*0.92),((L6+(((TODAY()-E6)^0.5)/(336^0.5))+(LOG(J6)*4/3))*0.92))</f>
        <v>6.4075863928594794</v>
      </c>
      <c r="AI6" s="37">
        <f t="shared" ref="AI6:AI17" ca="1" si="87">IF(TODAY()-E6&gt;335,((L6+1+(LOG(J6)*4/3))*0.414),((L6+(((TODAY()-E6)^0.5)/(336^0.414))+(LOG(J6)*4/3))*0.414))</f>
        <v>3.0512263204500369</v>
      </c>
      <c r="AJ6" s="37">
        <f t="shared" ref="AJ6:AJ17" ca="1" si="88">IF(TODAY()-E6&gt;335,((M6+1+(LOG(J6)*4/3))*0.167),((M6+(((TODAY()-E6)^0.5)/(336^0.5))+(LOG(J6)*4/3))*0.167))</f>
        <v>0.66211622566036199</v>
      </c>
      <c r="AK6" s="37">
        <f t="shared" ref="AK6:AK17" ca="1" si="89">IF(TODAY()-E6&gt;335,((N6+1+(LOG(J6)*4/3))*0.588),((N6+(((TODAY()-E6)^0.5)/(336^0.5))+(LOG(J6)*4/3))*0.588))</f>
        <v>2.3312834771754058</v>
      </c>
      <c r="AL6" s="37">
        <f t="shared" ref="AL6:AL17" ca="1" si="90">IF(TODAY()-E6&gt;335,((L6+1+(LOG(J6)*4/3))*0.754),((L6+(((TODAY()-E6)^0.5)/(336^0.5))+(LOG(J6)*4/3))*0.754))</f>
        <v>5.2514349350174427</v>
      </c>
      <c r="AM6" s="37">
        <f t="shared" ref="AM6:AM17" ca="1" si="91">IF(TODAY()-E6&gt;335,((L6+1+(LOG(J6)*4/3))*0.708),((L6+(((TODAY()-E6)^0.5)/(336^0.414))+(LOG(J6)*4/3))*0.708))</f>
        <v>5.2180392146826717</v>
      </c>
      <c r="AN6" s="37">
        <f t="shared" ref="AN6:AN17" ca="1" si="92">IF(TODAY()-E6&gt;335,((Q6+1+(LOG(J6)*4/3))*0.167),((Q6+(((TODAY()-E6)^0.5)/(336^0.5))+(LOG(J6)*4/3))*0.167))</f>
        <v>0.66211622566036199</v>
      </c>
      <c r="AO6" s="37">
        <f t="shared" ref="AO6:AO17" ca="1" si="93">IF(TODAY()-E6&gt;335,((R6+1+(LOG(J6)*4/3))*0.288),((R6+(((TODAY()-E6)^0.5)/(336^0.5))+(LOG(J6)*4/3))*0.288))</f>
        <v>1.0338531316777497</v>
      </c>
      <c r="AP6" s="37">
        <f t="shared" ref="AP6:AP17" ca="1" si="94">IF(TODAY()-E6&gt;335,((L6+1+(LOG(J6)*4/3))*0.27),((L6+(((TODAY()-E6)^0.5)/(336^0.5))+(LOG(J6)*4/3))*0.27))</f>
        <v>1.8804873109478906</v>
      </c>
      <c r="AQ6" s="37">
        <f t="shared" ref="AQ6:AQ17" ca="1" si="95">IF(TODAY()-E6&gt;335,((L6+1+(LOG(J6)*4/3))*0.594),((L6+(((TODAY()-E6)^0.5)/(336^0.5))+(LOG(J6)*4/3))*0.594))</f>
        <v>4.137072084085359</v>
      </c>
      <c r="AR6" s="37">
        <f t="shared" ref="AR6:AR17" ca="1" si="96">AP6/2</f>
        <v>0.94024365547394528</v>
      </c>
      <c r="AS6" s="37">
        <f t="shared" ref="AS6:AS17" ca="1" si="97">IF(TODAY()-E6&gt;335,((M6+1+(LOG(J6)*4/3))*0.944),((M6+(((TODAY()-E6)^0.5)/(336^0.5))+(LOG(J6)*4/3))*0.944))</f>
        <v>3.7427408204992911</v>
      </c>
      <c r="AT6" s="37">
        <f t="shared" ref="AT6:AT17" ca="1" si="98">IF(TODAY()-E6&gt;335,((O6+1+(LOG(J6)*4/3))*0.13),((O6+(((TODAY()-E6)^0.5)/(336^0.5))+(LOG(J6)*4/3))*0.13))</f>
        <v>0.90541981638231772</v>
      </c>
      <c r="AU6" s="37">
        <f t="shared" ref="AU6:AU17" ca="1" si="99">IF(TODAY()-E6&gt;335,((P6+1+(LOG(J6)*4/3))*0.173)+((O6+1+(LOG(J6)*4/3))*0.12),((P6+(((TODAY()-E6)^0.5)/(336^0.5))+(LOG(J6)*4/3))*0.173)+((O6+(((TODAY()-E6)^0.5)/(336^0.5))+(LOG(J6)*4/3))*0.12))</f>
        <v>2.2136769707693773</v>
      </c>
      <c r="AV6" s="37">
        <f t="shared" ref="AV6:AV17" ca="1" si="100">AT6/2</f>
        <v>0.45270990819115886</v>
      </c>
      <c r="AW6" s="37">
        <f t="shared" ref="AW6:AW17" ca="1" si="101">IF(TODAY()-E6&gt;335,((L6+1+(LOG(J6)*4/3))*0.189),((L6+(((TODAY()-E6)^0.5)/(336^0.5))+(LOG(J6)*4/3))*0.189))</f>
        <v>1.3163411176635234</v>
      </c>
      <c r="AX6" s="37">
        <f t="shared" ref="AX6:AX17" ca="1" si="102">IF(TODAY()-E6&gt;335,((L6+1+(LOG(J6)*4/3))*0.4),((L6+(((TODAY()-E6)^0.5)/(336^0.5))+(LOG(J6)*4/3))*0.4))</f>
        <v>2.7859071273302085</v>
      </c>
      <c r="AY6" s="37">
        <f t="shared" ref="AY6:AY17" ca="1" si="103">AW6/2</f>
        <v>0.65817055883176168</v>
      </c>
      <c r="AZ6" s="37">
        <f t="shared" ref="AZ6:AZ17" ca="1" si="104">IF(TODAY()-E6&gt;335,((M6+1+(LOG(J6)*4/3))*1),((M6+(((TODAY()-E6)^0.5)/(336^0.5))+(LOG(J6)*4/3))*1))</f>
        <v>3.9647678183255204</v>
      </c>
      <c r="BA6" s="37">
        <f t="shared" ref="BA6:BA17" ca="1" si="105">IF(TODAY()-E6&gt;335,((O6+1+(LOG(J6)*4/3))*0.253),((O6+(((TODAY()-E6)^0.5)/(336^0.5))+(LOG(J6)*4/3))*0.253))</f>
        <v>1.7620862580363568</v>
      </c>
      <c r="BB6" s="37">
        <f t="shared" ref="BB6:BB17" ca="1" si="106">IF(TODAY()-E6&gt;335,((P6+1+(LOG(J6)*4/3))*0.21)+((O6+1+(LOG(J6)*4/3))*0.341),((P6+(((TODAY()-E6)^0.5)/(336^0.5))+(LOG(J6)*4/3))*0.21)+((O6+(((TODAY()-E6)^0.5)/(336^0.5))+(LOG(J6)*4/3))*0.341))</f>
        <v>4.0475870678973616</v>
      </c>
      <c r="BC6" s="37">
        <f t="shared" ref="BC6:BC17" ca="1" si="107">BA6/2</f>
        <v>0.88104312901817838</v>
      </c>
      <c r="BD6" s="37">
        <f t="shared" ref="BD6:BD17" ca="1" si="108">IF(TODAY()-E6&gt;335,((L6+1+(LOG(J6)*4/3))*0.291),((L6+(((TODAY()-E6)^0.5)/(336^0.5))+(LOG(J6)*4/3))*0.291))</f>
        <v>2.0267474351327261</v>
      </c>
      <c r="BE6" s="37">
        <f t="shared" ref="BE6:BE17" ca="1" si="109">IF(TODAY()-E6&gt;335,((L6+1+(LOG(J6)*4/3))*0.348),((L6+(((TODAY()-E6)^0.5)/(336^0.5))+(LOG(J6)*4/3))*0.348))</f>
        <v>2.4237392007772809</v>
      </c>
      <c r="BF6" s="37">
        <f t="shared" ref="BF6:BF17" ca="1" si="110">IF(TODAY()-E6&gt;335,((M6+1+(LOG(J6)*4/3))*0.881),((M6+(((TODAY()-E6)^0.5)/(336^0.5))+(LOG(J6)*4/3))*0.881))</f>
        <v>3.4929604479447836</v>
      </c>
      <c r="BG6" s="37">
        <f t="shared" ref="BG6:BG17" ca="1" si="111">IF(TODAY()-E6&gt;335,((N6+1+(LOG(J6)*4/3))*0.574)+((O6+1+(LOG(J6)*4/3))*0.315),((N6+(((TODAY()-E6)^0.5)/(336^0.5))+(LOG(J6)*4/3))*0.574)+((O6+(((TODAY()-E6)^0.5)/(336^0.5))+(LOG(J6)*4/3))*0.315))</f>
        <v>4.4696785904913874</v>
      </c>
      <c r="BH6" s="37">
        <f t="shared" ref="BH6:BH17" ca="1" si="112">IF(TODAY()-E6&gt;335,((O6+1+(LOG(J6)*4/3))*0.241),((O6+(((TODAY()-E6)^0.5)/(336^0.5))+(LOG(J6)*4/3))*0.241))</f>
        <v>1.6785090442164503</v>
      </c>
      <c r="BI6" s="37">
        <f t="shared" ref="BI6:BI17" ca="1" si="113">IF(TODAY()-E6&gt;335,((L6+1+(LOG(J6)*4/3))*0.485),((L6+(((TODAY()-E6)^0.5)/(336^0.5))+(LOG(J6)*4/3))*0.485))</f>
        <v>3.3779123918878775</v>
      </c>
      <c r="BJ6" s="37">
        <f t="shared" ref="BJ6:BJ17" ca="1" si="114">IF(TODAY()-E6&gt;335,((L6+1+(LOG(J6)*4/3))*0.264),((L6+(((TODAY()-E6)^0.5)/(336^0.5))+(LOG(J6)*4/3))*0.264))</f>
        <v>1.8386987040379374</v>
      </c>
      <c r="BK6" s="37">
        <f t="shared" ref="BK6:BK17" ca="1" si="115">IF(TODAY()-E6&gt;335,((M6+1+(LOG(J6)*4/3))*0.381),((M6+(((TODAY()-E6)^0.5)/(336^0.5))+(LOG(J6)*4/3))*0.381))</f>
        <v>1.5105765387820234</v>
      </c>
      <c r="BL6" s="37">
        <f t="shared" ref="BL6:BL17" ca="1" si="116">IF(TODAY()-E6&gt;335,((N6+1+(LOG(J6)*4/3))*0.673)+((O6+1+(LOG(J6)*4/3))*0.201),((N6+(((TODAY()-E6)^0.5)/(336^0.5))+(LOG(J6)*4/3))*0.673)+((O6+(((TODAY()-E6)^0.5)/(336^0.5))+(LOG(J6)*4/3))*0.201))</f>
        <v>4.068207073216505</v>
      </c>
      <c r="BM6" s="37">
        <f t="shared" ref="BM6:BM17" ca="1" si="117">IF(TODAY()-E6&gt;335,((O6+1+(LOG(J6)*4/3))*0.052),((O6+(((TODAY()-E6)^0.5)/(336^0.5))+(LOG(J6)*4/3))*0.052))</f>
        <v>0.36216792655292707</v>
      </c>
      <c r="BN6" s="37">
        <f t="shared" ref="BN6:BN17" ca="1" si="118">IF(TODAY()-E6&gt;335,((L6+1+(LOG(J6)*4/3))*0.18),((L6+(((TODAY()-E6)^0.5)/(336^0.5))+(LOG(J6)*4/3))*0.18))</f>
        <v>1.2536582072985936</v>
      </c>
      <c r="BO6" s="37">
        <f t="shared" ref="BO6:BO17" ca="1" si="119">IF(TODAY()-E6&gt;335,((L6+1+(LOG(J6)*4/3))*0.068),((L6+(((TODAY()-E6)^0.5)/(336^0.5))+(LOG(J6)*4/3))*0.068))</f>
        <v>0.47360421164613542</v>
      </c>
      <c r="BP6" s="37">
        <f t="shared" ref="BP6:BP17" ca="1" si="120">IF(TODAY()-E6&gt;335,((M6+1+(LOG(J6)*4/3))*0.305),((M6+(((TODAY()-E6)^0.5)/(336^0.5))+(LOG(J6)*4/3))*0.305))</f>
        <v>1.2092541845892837</v>
      </c>
      <c r="BQ6" s="37">
        <f t="shared" ref="BQ6:BQ17" ca="1" si="121">IF(TODAY()-E6&gt;335,((N6+1+(LOG(J6)*4/3))*1)+((O6+1+(LOG(J6)*4/3))*0.286),((N6+(((TODAY()-E6)^0.5)/(336^0.5))+(LOG(J6)*4/3))*1)+((O6+(((TODAY()-E6)^0.5)/(336^0.5))+(LOG(J6)*4/3))*0.286))</f>
        <v>5.9566914143666185</v>
      </c>
      <c r="BR6" s="37">
        <f t="shared" ref="BR6:BR17" ca="1" si="122">IF(TODAY()-E6&gt;335,((O6+1+(LOG(J6)*4/3))*0.135),((O6+(((TODAY()-E6)^0.5)/(336^0.5))+(LOG(J6)*4/3))*0.135))</f>
        <v>0.94024365547394528</v>
      </c>
      <c r="BS6" s="37">
        <f t="shared" ref="BS6:BS17" ca="1" si="123">IF(TODAY()-E6&gt;335,((L6+1+(LOG(J6)*4/3))*0.284),((L6+(((TODAY()-E6)^0.5)/(336^0.5))+(LOG(J6)*4/3))*0.284))</f>
        <v>1.9779940604044477</v>
      </c>
      <c r="BT6" s="37">
        <f t="shared" ref="BT6:BT17" ca="1" si="124">IF(TODAY()-E6&gt;335,((L6+1+(LOG(J6)*4/3))*0.244),((L6+(((TODAY()-E6)^0.5)/(336^0.5))+(LOG(J6)*4/3))*0.244))</f>
        <v>1.699403347671427</v>
      </c>
      <c r="BU6" s="37">
        <f t="shared" ref="BU6:BU17" ca="1" si="125">IF(TODAY()-E6&gt;335,((M6+1+(LOG(J6)*4/3))*0.631),((M6+(((TODAY()-E6)^0.5)/(336^0.5))+(LOG(J6)*4/3))*0.631))</f>
        <v>2.5017684933634032</v>
      </c>
      <c r="BV6" s="37">
        <f t="shared" ref="BV6:BV17" ca="1" si="126">IF(TODAY()-E6&gt;335,((N6+1+(LOG(J6)*4/3))*0.702)+((O6+1+(LOG(J6)*4/3))*0.193),((N6+(((TODAY()-E6)^0.5)/(336^0.5))+(LOG(J6)*4/3))*0.702)+((O6+(((TODAY()-E6)^0.5)/(336^0.5))+(LOG(J6)*4/3))*0.193))</f>
        <v>4.1274671974013408</v>
      </c>
      <c r="BW6" s="37">
        <f t="shared" ref="BW6:BW17" ca="1" si="127">IF(TODAY()-E6&gt;335,((O6+1+(LOG(J6)*4/3))*0.148),((O6+(((TODAY()-E6)^0.5)/(336^0.5))+(LOG(J6)*4/3))*0.148))</f>
        <v>1.0307856371121769</v>
      </c>
      <c r="BX6" s="37">
        <f t="shared" ref="BX6:BX17" ca="1" si="128">IF(TODAY()-E6&gt;335,((M6+1+(LOG(J6)*4/3))*0.406),((M6+(((TODAY()-E6)^0.5)/(336^0.5))+(LOG(J6)*4/3))*0.406))</f>
        <v>1.6096957342401614</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3.3236440333475965</v>
      </c>
      <c r="BZ6" s="37">
        <f t="shared" ref="BZ6:BZ17" ca="1" si="130">IF(D6="TEC",IF(TODAY()-E6&gt;335,((O6+1+(LOG(J6)*4/3))*0.543)+((P6+1+(LOG(J6)*4/3))*0.583),((O6+(((TODAY()-E6)^0.5)/(336^0.5))+(LOG(J6)*4/3))*0.543)+((P6+(((TODAY()-E6)^0.5)/(336^0.5))+(LOG(J6)*4/3))*0.583)),IF(TODAY()-E6&gt;335,((O6+1+(LOG(J6)*4/3))*0.543)+((P6+1+(LOG(J6)*4/3))*0.583),((O6+(((TODAY()-E6)^0.5)/(336^0.5))+(LOG(J6)*4/3))*0.543)+((P6+(((TODAY()-E6)^0.5)/(336^0.5))+(LOG(J6)*4/3))*0.583)))</f>
        <v>8.4253285634345367</v>
      </c>
      <c r="CA6" s="37">
        <f t="shared" ref="CA6:CA17" ca="1" si="131">BY6</f>
        <v>3.3236440333475965</v>
      </c>
      <c r="CB6" s="37">
        <f t="shared" ref="CB6:CB17" ca="1" si="132">IF(TODAY()-E6&gt;335,((P6+1+(LOG(J6)*4/3))*0.26)+((N6+1+(LOG(J6)*4/3))*0.221)+((O6+1+(LOG(J6)*4/3))*0.142),((P6+(((TODAY()-E6)^0.5)/(336^0.5))+(LOG(J6)*4/3))*0.26)+((N6+(((TODAY()-E6)^0.5)/(336^0.5))+(LOG(J6)*4/3))*0.221)+((P6+(((TODAY()-E6)^0.5)/(336^0.5))+(LOG(J6)*4/3))*0.142))</f>
        <v>4.0780503508167989</v>
      </c>
      <c r="CC6" s="37">
        <f t="shared" ref="CC6:CC17" ca="1" si="133">IF(TODAY()-E6&gt;335,((P6+1+(LOG(J6)*4/3))*1)+((O6+1+(LOG(J6)*4/3))*0.369),((P6+(((TODAY()-E6)^0.5)/(336^0.5))+(LOG(J6)*4/3))*1)+((O6+(((TODAY()-E6)^0.5)/(336^0.5))+(LOG(J6)*4/3))*0.369))</f>
        <v>10.534767143287638</v>
      </c>
      <c r="CD6" s="37">
        <f t="shared" ref="CD6:CD17" ca="1" si="134">CB6</f>
        <v>4.0780503508167989</v>
      </c>
      <c r="CE6" s="37">
        <f t="shared" ref="CE6:CE17" ca="1" si="135">IF(TODAY()-E6&gt;335,((M6+1+(LOG(J6)*4/3))*0.25),((M6+(((TODAY()-E6)^0.5)/(336^0.5))+(LOG(J6)*4/3))*0.25))</f>
        <v>0.9911919545813801</v>
      </c>
    </row>
    <row r="7" spans="1:83" x14ac:dyDescent="0.25">
      <c r="A7" t="str">
        <f>PLANTILLA!D8</f>
        <v>J. G. de Minaya</v>
      </c>
      <c r="B7">
        <f>PLANTILLA!E8</f>
        <v>18</v>
      </c>
      <c r="C7" s="33">
        <f ca="1">PLANTILLA!F8</f>
        <v>44</v>
      </c>
      <c r="D7" s="220" t="str">
        <f>PLANTILLA!G8</f>
        <v>TEC</v>
      </c>
      <c r="E7" s="30">
        <f>PLANTILLA!M8</f>
        <v>43081</v>
      </c>
      <c r="F7" s="47">
        <f>PLANTILLA!Q8</f>
        <v>6</v>
      </c>
      <c r="G7" s="48">
        <f t="shared" si="1"/>
        <v>0.92582009977255142</v>
      </c>
      <c r="H7" s="48">
        <f t="shared" si="2"/>
        <v>0.99928545900129484</v>
      </c>
      <c r="I7" s="51">
        <f t="shared" ca="1" si="3"/>
        <v>0.5482656637937835</v>
      </c>
      <c r="J7" s="39">
        <f>PLANTILLA!I8</f>
        <v>1.9</v>
      </c>
      <c r="K7" s="46">
        <f>PLANTILLA!X8</f>
        <v>0</v>
      </c>
      <c r="L7" s="46">
        <f>PLANTILLA!Y8</f>
        <v>6</v>
      </c>
      <c r="M7" s="46">
        <f>PLANTILLA!Z8</f>
        <v>5</v>
      </c>
      <c r="N7" s="46">
        <f>PLANTILLA!AA8</f>
        <v>6</v>
      </c>
      <c r="O7" s="46">
        <f>PLANTILLA!AB8</f>
        <v>6.2</v>
      </c>
      <c r="P7" s="46">
        <f>PLANTILLA!AC8</f>
        <v>8</v>
      </c>
      <c r="Q7" s="46">
        <f>PLANTILLA!AD8</f>
        <v>0</v>
      </c>
      <c r="R7" s="46">
        <f t="shared" si="70"/>
        <v>2.6749999999999998</v>
      </c>
      <c r="S7" s="46">
        <f t="shared" si="71"/>
        <v>0.4</v>
      </c>
      <c r="T7" s="46">
        <f t="shared" si="72"/>
        <v>0.24000000000000005</v>
      </c>
      <c r="U7" s="46">
        <f t="shared" ca="1" si="73"/>
        <v>0.85169628708356615</v>
      </c>
      <c r="V7" s="46">
        <f t="shared" ca="1" si="74"/>
        <v>0.91927979893403566</v>
      </c>
      <c r="W7" s="37">
        <f t="shared" ca="1" si="75"/>
        <v>2.4591051160010657</v>
      </c>
      <c r="X7" s="37">
        <f t="shared" ca="1" si="76"/>
        <v>3.7376388370645772</v>
      </c>
      <c r="Y7" s="37">
        <f t="shared" ca="1" si="77"/>
        <v>2.4591051160010657</v>
      </c>
      <c r="Z7" s="37">
        <f t="shared" ca="1" si="78"/>
        <v>3.5455447318169697</v>
      </c>
      <c r="AA7" s="37">
        <f t="shared" ca="1" si="79"/>
        <v>6.9199371317308884</v>
      </c>
      <c r="AB7" s="37">
        <f t="shared" ca="1" si="80"/>
        <v>1.7727723659084849</v>
      </c>
      <c r="AC7" s="37">
        <f t="shared" ca="1" si="81"/>
        <v>1.8775158420453699</v>
      </c>
      <c r="AD7" s="37">
        <f t="shared" ca="1" si="82"/>
        <v>2.5973176523775474</v>
      </c>
      <c r="AE7" s="37">
        <f t="shared" ca="1" si="83"/>
        <v>5.0031145462414326</v>
      </c>
      <c r="AF7" s="37">
        <f t="shared" ca="1" si="84"/>
        <v>1.2986588261887737</v>
      </c>
      <c r="AG7" s="37">
        <f t="shared" ca="1" si="85"/>
        <v>3.0371579797792752</v>
      </c>
      <c r="AH7" s="37">
        <f t="shared" ca="1" si="86"/>
        <v>6.366342161192418</v>
      </c>
      <c r="AI7" s="37">
        <f t="shared" ca="1" si="87"/>
        <v>3.0122036537639407</v>
      </c>
      <c r="AJ7" s="37">
        <f t="shared" ca="1" si="88"/>
        <v>0.98862950099905844</v>
      </c>
      <c r="AK7" s="37">
        <f t="shared" ca="1" si="89"/>
        <v>4.0689230334577617</v>
      </c>
      <c r="AL7" s="37">
        <f t="shared" ca="1" si="90"/>
        <v>5.2176325973250899</v>
      </c>
      <c r="AM7" s="37">
        <f t="shared" ca="1" si="91"/>
        <v>5.1513047991905072</v>
      </c>
      <c r="AN7" s="37">
        <f t="shared" ca="1" si="92"/>
        <v>0.15362950099905842</v>
      </c>
      <c r="AO7" s="37">
        <f t="shared" ca="1" si="93"/>
        <v>1.0353418939384957</v>
      </c>
      <c r="AP7" s="37">
        <f t="shared" ca="1" si="94"/>
        <v>1.8683830255673399</v>
      </c>
      <c r="AQ7" s="37">
        <f t="shared" ca="1" si="95"/>
        <v>4.1104426562481473</v>
      </c>
      <c r="AR7" s="37">
        <f t="shared" ca="1" si="96"/>
        <v>0.93419151278366996</v>
      </c>
      <c r="AS7" s="37">
        <f t="shared" ca="1" si="97"/>
        <v>5.5884206523539586</v>
      </c>
      <c r="AT7" s="37">
        <f t="shared" ca="1" si="98"/>
        <v>0.92559182712501553</v>
      </c>
      <c r="AU7" s="37">
        <f t="shared" ca="1" si="99"/>
        <v>2.3975415795971502</v>
      </c>
      <c r="AV7" s="37">
        <f t="shared" ca="1" si="100"/>
        <v>0.46279591356250777</v>
      </c>
      <c r="AW7" s="37">
        <f t="shared" ca="1" si="101"/>
        <v>1.3078681178971379</v>
      </c>
      <c r="AX7" s="37">
        <f t="shared" ca="1" si="102"/>
        <v>2.7679748526923555</v>
      </c>
      <c r="AY7" s="37">
        <f t="shared" ca="1" si="103"/>
        <v>0.65393405894856893</v>
      </c>
      <c r="AZ7" s="37">
        <f t="shared" ca="1" si="104"/>
        <v>5.9199371317308884</v>
      </c>
      <c r="BA7" s="37">
        <f t="shared" ca="1" si="105"/>
        <v>1.8013440943279149</v>
      </c>
      <c r="BB7" s="37">
        <f t="shared" ca="1" si="106"/>
        <v>4.3010853595837197</v>
      </c>
      <c r="BC7" s="37">
        <f t="shared" ca="1" si="107"/>
        <v>0.90067204716395743</v>
      </c>
      <c r="BD7" s="37">
        <f t="shared" ca="1" si="108"/>
        <v>2.0137017053336885</v>
      </c>
      <c r="BE7" s="37">
        <f t="shared" ca="1" si="109"/>
        <v>2.4081381218423492</v>
      </c>
      <c r="BF7" s="37">
        <f t="shared" ca="1" si="110"/>
        <v>5.2154646130549125</v>
      </c>
      <c r="BG7" s="37">
        <f t="shared" ca="1" si="111"/>
        <v>6.2148241101087596</v>
      </c>
      <c r="BH7" s="37">
        <f t="shared" ca="1" si="112"/>
        <v>1.715904848747144</v>
      </c>
      <c r="BI7" s="37">
        <f t="shared" ca="1" si="113"/>
        <v>3.3561695088894807</v>
      </c>
      <c r="BJ7" s="37">
        <f t="shared" ca="1" si="114"/>
        <v>1.8268634027769546</v>
      </c>
      <c r="BK7" s="37">
        <f t="shared" ca="1" si="115"/>
        <v>2.2554960471894687</v>
      </c>
      <c r="BL7" s="37">
        <f t="shared" ca="1" si="116"/>
        <v>6.0882250531327973</v>
      </c>
      <c r="BM7" s="37">
        <f t="shared" ca="1" si="117"/>
        <v>0.37023673085000619</v>
      </c>
      <c r="BN7" s="37">
        <f t="shared" ca="1" si="118"/>
        <v>1.24558868371156</v>
      </c>
      <c r="BO7" s="37">
        <f t="shared" ca="1" si="119"/>
        <v>0.47055572495770043</v>
      </c>
      <c r="BP7" s="37">
        <f t="shared" ca="1" si="120"/>
        <v>1.8055808251779208</v>
      </c>
      <c r="BQ7" s="37">
        <f t="shared" ca="1" si="121"/>
        <v>8.9562391514059225</v>
      </c>
      <c r="BR7" s="37">
        <f t="shared" ca="1" si="122"/>
        <v>0.96119151278366999</v>
      </c>
      <c r="BS7" s="37">
        <f t="shared" ca="1" si="123"/>
        <v>1.9652621454115722</v>
      </c>
      <c r="BT7" s="37">
        <f t="shared" ca="1" si="124"/>
        <v>1.6884646601423368</v>
      </c>
      <c r="BU7" s="37">
        <f t="shared" ca="1" si="125"/>
        <v>3.7354803301221908</v>
      </c>
      <c r="BV7" s="37">
        <f t="shared" ca="1" si="126"/>
        <v>6.2319437328991452</v>
      </c>
      <c r="BW7" s="37">
        <f t="shared" ca="1" si="127"/>
        <v>1.0537506954961715</v>
      </c>
      <c r="BX7" s="37">
        <f t="shared" ca="1" si="128"/>
        <v>2.403494475482741</v>
      </c>
      <c r="BY7" s="37">
        <f t="shared" ca="1" si="129"/>
        <v>4.4776822161702636</v>
      </c>
      <c r="BZ7" s="37">
        <f t="shared" ca="1" si="130"/>
        <v>9.0664492103289795</v>
      </c>
      <c r="CA7" s="37">
        <f t="shared" ca="1" si="131"/>
        <v>4.4776822161702636</v>
      </c>
      <c r="CB7" s="37">
        <f t="shared" ca="1" si="132"/>
        <v>5.1151208330683442</v>
      </c>
      <c r="CC7" s="37">
        <f t="shared" ca="1" si="133"/>
        <v>11.547193933339585</v>
      </c>
      <c r="CD7" s="37">
        <f t="shared" ca="1" si="134"/>
        <v>5.1151208330683442</v>
      </c>
      <c r="CE7" s="37">
        <f t="shared" ca="1" si="135"/>
        <v>1.4799842829327221</v>
      </c>
    </row>
    <row r="8" spans="1:83" x14ac:dyDescent="0.25">
      <c r="A8" t="str">
        <f>PLANTILLA!D9</f>
        <v>Roberto Montero</v>
      </c>
      <c r="B8">
        <f>PLANTILLA!E9</f>
        <v>18</v>
      </c>
      <c r="C8" s="33">
        <f ca="1">PLANTILLA!F9</f>
        <v>78</v>
      </c>
      <c r="D8" s="220" t="str">
        <f>PLANTILLA!G9</f>
        <v>TEC</v>
      </c>
      <c r="E8" s="30">
        <f>PLANTILLA!M9</f>
        <v>43046</v>
      </c>
      <c r="F8" s="47">
        <f>PLANTILLA!Q9</f>
        <v>7</v>
      </c>
      <c r="G8" s="48">
        <f t="shared" si="1"/>
        <v>1</v>
      </c>
      <c r="H8" s="48">
        <f t="shared" si="2"/>
        <v>1</v>
      </c>
      <c r="I8" s="51">
        <f t="shared" ca="1" si="3"/>
        <v>0.63620901028035182</v>
      </c>
      <c r="J8" s="39">
        <f>PLANTILLA!I9</f>
        <v>0.5</v>
      </c>
      <c r="K8" s="46">
        <f>PLANTILLA!X9</f>
        <v>0</v>
      </c>
      <c r="L8" s="46">
        <f>PLANTILLA!Y9</f>
        <v>6</v>
      </c>
      <c r="M8" s="46">
        <f>PLANTILLA!Z9</f>
        <v>4</v>
      </c>
      <c r="N8" s="46">
        <f>PLANTILLA!AA9</f>
        <v>4</v>
      </c>
      <c r="O8" s="46">
        <f>PLANTILLA!AB9</f>
        <v>3.5528</v>
      </c>
      <c r="P8" s="46">
        <f>PLANTILLA!AC9</f>
        <v>4.3999999999999995</v>
      </c>
      <c r="Q8" s="46">
        <f>PLANTILLA!AD9</f>
        <v>6</v>
      </c>
      <c r="R8" s="46">
        <f t="shared" si="70"/>
        <v>2.0131999999999999</v>
      </c>
      <c r="S8" s="46">
        <f t="shared" si="71"/>
        <v>0.39999999999999997</v>
      </c>
      <c r="T8" s="46">
        <f t="shared" si="72"/>
        <v>0.42000000000000004</v>
      </c>
      <c r="U8" s="46">
        <f t="shared" ca="1" si="73"/>
        <v>6.2348356827283764</v>
      </c>
      <c r="V8" s="46">
        <f t="shared" ca="1" si="74"/>
        <v>6.2348356827283764</v>
      </c>
      <c r="W8" s="37">
        <f t="shared" ca="1" si="75"/>
        <v>1.861011551021873</v>
      </c>
      <c r="X8" s="37">
        <f t="shared" ca="1" si="76"/>
        <v>2.8531728664023346</v>
      </c>
      <c r="Y8" s="37">
        <f t="shared" ca="1" si="77"/>
        <v>1.861011551021873</v>
      </c>
      <c r="Z8" s="37">
        <f t="shared" ca="1" si="78"/>
        <v>3.1879994041473165</v>
      </c>
      <c r="AA8" s="37">
        <f t="shared" ca="1" si="79"/>
        <v>6.2348356827283764</v>
      </c>
      <c r="AB8" s="37">
        <f t="shared" ca="1" si="80"/>
        <v>1.5939997020736583</v>
      </c>
      <c r="AC8" s="37">
        <f t="shared" ca="1" si="81"/>
        <v>1.5516217652882638</v>
      </c>
      <c r="AD8" s="37">
        <f t="shared" ca="1" si="82"/>
        <v>2.335394912340476</v>
      </c>
      <c r="AE8" s="37">
        <f t="shared" ca="1" si="83"/>
        <v>4.5077861986126164</v>
      </c>
      <c r="AF8" s="37">
        <f t="shared" ca="1" si="84"/>
        <v>1.167697456170238</v>
      </c>
      <c r="AG8" s="37">
        <f t="shared" ca="1" si="85"/>
        <v>2.5099763850251327</v>
      </c>
      <c r="AH8" s="37">
        <f t="shared" ca="1" si="86"/>
        <v>5.736048828110107</v>
      </c>
      <c r="AI8" s="37">
        <f t="shared" ca="1" si="87"/>
        <v>2.7522069550212311</v>
      </c>
      <c r="AJ8" s="37">
        <f t="shared" ca="1" si="88"/>
        <v>0.70721755901563887</v>
      </c>
      <c r="AK8" s="37">
        <f t="shared" ca="1" si="89"/>
        <v>2.4900833814442853</v>
      </c>
      <c r="AL8" s="37">
        <f t="shared" ca="1" si="90"/>
        <v>4.7010661047771958</v>
      </c>
      <c r="AM8" s="37">
        <f t="shared" ca="1" si="91"/>
        <v>4.7066727636594967</v>
      </c>
      <c r="AN8" s="37">
        <f t="shared" ca="1" si="92"/>
        <v>1.0412175590156389</v>
      </c>
      <c r="AO8" s="37">
        <f t="shared" ca="1" si="93"/>
        <v>0.64743427662577246</v>
      </c>
      <c r="AP8" s="37">
        <f t="shared" ca="1" si="94"/>
        <v>1.6834056343366617</v>
      </c>
      <c r="AQ8" s="37">
        <f t="shared" ca="1" si="95"/>
        <v>3.7034923955406556</v>
      </c>
      <c r="AR8" s="37">
        <f t="shared" ca="1" si="96"/>
        <v>0.84170281716833084</v>
      </c>
      <c r="AS8" s="37">
        <f t="shared" ca="1" si="97"/>
        <v>3.997684884495587</v>
      </c>
      <c r="AT8" s="37">
        <f t="shared" ca="1" si="98"/>
        <v>0.49239263875468908</v>
      </c>
      <c r="AU8" s="37">
        <f t="shared" ca="1" si="99"/>
        <v>1.2563428550394142</v>
      </c>
      <c r="AV8" s="37">
        <f t="shared" ca="1" si="100"/>
        <v>0.24619631937734454</v>
      </c>
      <c r="AW8" s="37">
        <f t="shared" ca="1" si="101"/>
        <v>1.1783839440356632</v>
      </c>
      <c r="AX8" s="37">
        <f t="shared" ca="1" si="102"/>
        <v>2.4939342730913507</v>
      </c>
      <c r="AY8" s="37">
        <f t="shared" ca="1" si="103"/>
        <v>0.58919197201783158</v>
      </c>
      <c r="AZ8" s="37">
        <f t="shared" ca="1" si="104"/>
        <v>4.2348356827283764</v>
      </c>
      <c r="BA8" s="37">
        <f t="shared" ca="1" si="105"/>
        <v>0.95827182773027941</v>
      </c>
      <c r="BB8" s="37">
        <f t="shared" ca="1" si="106"/>
        <v>2.2648992611833356</v>
      </c>
      <c r="BC8" s="37">
        <f t="shared" ca="1" si="107"/>
        <v>0.47913591386513971</v>
      </c>
      <c r="BD8" s="37">
        <f t="shared" ca="1" si="108"/>
        <v>1.8143371836739575</v>
      </c>
      <c r="BE8" s="37">
        <f t="shared" ca="1" si="109"/>
        <v>2.1697228175894749</v>
      </c>
      <c r="BF8" s="37">
        <f t="shared" ca="1" si="110"/>
        <v>3.7308902364836998</v>
      </c>
      <c r="BG8" s="37">
        <f t="shared" ca="1" si="111"/>
        <v>3.6239009219455269</v>
      </c>
      <c r="BH8" s="37">
        <f t="shared" ca="1" si="112"/>
        <v>0.9128201995375389</v>
      </c>
      <c r="BI8" s="37">
        <f t="shared" ca="1" si="113"/>
        <v>3.0238953061232623</v>
      </c>
      <c r="BJ8" s="37">
        <f t="shared" ca="1" si="114"/>
        <v>1.6459966202402914</v>
      </c>
      <c r="BK8" s="37">
        <f t="shared" ca="1" si="115"/>
        <v>1.6134723951195113</v>
      </c>
      <c r="BL8" s="37">
        <f t="shared" ca="1" si="116"/>
        <v>3.6113591867046013</v>
      </c>
      <c r="BM8" s="37">
        <f t="shared" ca="1" si="117"/>
        <v>0.19695705550187562</v>
      </c>
      <c r="BN8" s="37">
        <f t="shared" ca="1" si="118"/>
        <v>1.1222704228911078</v>
      </c>
      <c r="BO8" s="37">
        <f t="shared" ca="1" si="119"/>
        <v>0.42396882642552963</v>
      </c>
      <c r="BP8" s="37">
        <f t="shared" ca="1" si="120"/>
        <v>1.2916248832321549</v>
      </c>
      <c r="BQ8" s="37">
        <f t="shared" ca="1" si="121"/>
        <v>5.3180994879886923</v>
      </c>
      <c r="BR8" s="37">
        <f t="shared" ca="1" si="122"/>
        <v>0.51133081716833095</v>
      </c>
      <c r="BS8" s="37">
        <f t="shared" ca="1" si="123"/>
        <v>1.7706933338948587</v>
      </c>
      <c r="BT8" s="37">
        <f t="shared" ca="1" si="124"/>
        <v>1.5212999065857238</v>
      </c>
      <c r="BU8" s="37">
        <f t="shared" ca="1" si="125"/>
        <v>2.6721813158016055</v>
      </c>
      <c r="BV8" s="37">
        <f t="shared" ca="1" si="126"/>
        <v>3.7038683360418969</v>
      </c>
      <c r="BW8" s="37">
        <f t="shared" ca="1" si="127"/>
        <v>0.56057008104379979</v>
      </c>
      <c r="BX8" s="37">
        <f t="shared" ca="1" si="128"/>
        <v>1.719343287187721</v>
      </c>
      <c r="BY8" s="37">
        <f t="shared" ca="1" si="129"/>
        <v>2.4510434453197547</v>
      </c>
      <c r="BZ8" s="37">
        <f t="shared" ca="1" si="130"/>
        <v>4.7587953787521524</v>
      </c>
      <c r="CA8" s="37">
        <f t="shared" ca="1" si="131"/>
        <v>2.4510434453197547</v>
      </c>
      <c r="CB8" s="37">
        <f t="shared" ca="1" si="132"/>
        <v>2.7991026303397781</v>
      </c>
      <c r="CC8" s="37">
        <f t="shared" ca="1" si="133"/>
        <v>6.0324732496551468</v>
      </c>
      <c r="CD8" s="37">
        <f t="shared" ca="1" si="134"/>
        <v>2.7991026303397781</v>
      </c>
      <c r="CE8" s="37">
        <f t="shared" ca="1" si="135"/>
        <v>1.0587089206820941</v>
      </c>
    </row>
    <row r="9" spans="1:83" x14ac:dyDescent="0.25">
      <c r="A9" t="str">
        <f>PLANTILLA!D10</f>
        <v>Eckardt Hägerling</v>
      </c>
      <c r="B9">
        <f>PLANTILLA!E10</f>
        <v>18</v>
      </c>
      <c r="C9" s="33">
        <f ca="1">PLANTILLA!F10</f>
        <v>30</v>
      </c>
      <c r="D9" s="220" t="str">
        <f>PLANTILLA!G10</f>
        <v>IMP</v>
      </c>
      <c r="E9" s="30">
        <f>PLANTILLA!M10</f>
        <v>43045</v>
      </c>
      <c r="F9" s="47">
        <f>PLANTILLA!Q10</f>
        <v>5</v>
      </c>
      <c r="G9" s="48">
        <f t="shared" si="1"/>
        <v>0.84515425472851657</v>
      </c>
      <c r="H9" s="48">
        <f t="shared" si="2"/>
        <v>0.92504826128926143</v>
      </c>
      <c r="I9" s="51">
        <f t="shared" ca="1" si="3"/>
        <v>0.63854373009066134</v>
      </c>
      <c r="J9" s="39">
        <f>PLANTILLA!I10</f>
        <v>1.4</v>
      </c>
      <c r="K9" s="46">
        <f>PLANTILLA!X10</f>
        <v>0</v>
      </c>
      <c r="L9" s="46">
        <f>PLANTILLA!Y10</f>
        <v>5</v>
      </c>
      <c r="M9" s="46">
        <f>PLANTILLA!Z10</f>
        <v>3</v>
      </c>
      <c r="N9" s="46">
        <f>PLANTILLA!AA10</f>
        <v>4</v>
      </c>
      <c r="O9" s="46">
        <f>PLANTILLA!AB10</f>
        <v>3</v>
      </c>
      <c r="P9" s="46">
        <f>PLANTILLA!AC10</f>
        <v>4.5966666666666658</v>
      </c>
      <c r="Q9" s="46">
        <f>PLANTILLA!AD10</f>
        <v>3</v>
      </c>
      <c r="R9" s="46">
        <f t="shared" si="70"/>
        <v>1.75</v>
      </c>
      <c r="S9" s="46">
        <f t="shared" si="71"/>
        <v>0.3198333333333333</v>
      </c>
      <c r="T9" s="46">
        <f t="shared" si="72"/>
        <v>0.28999999999999998</v>
      </c>
      <c r="U9" s="46">
        <f t="shared" ca="1" si="73"/>
        <v>3.2397983559533339</v>
      </c>
      <c r="V9" s="46">
        <f t="shared" ca="1" si="74"/>
        <v>3.5460625315850023</v>
      </c>
      <c r="W9" s="37">
        <f t="shared" ca="1" si="75"/>
        <v>2.1075417098986167</v>
      </c>
      <c r="X9" s="37">
        <f t="shared" ca="1" si="76"/>
        <v>3.2008950142945176</v>
      </c>
      <c r="Y9" s="37">
        <f t="shared" ca="1" si="77"/>
        <v>2.1075417098986167</v>
      </c>
      <c r="Z9" s="37">
        <f t="shared" ca="1" si="78"/>
        <v>2.9807417775872391</v>
      </c>
      <c r="AA9" s="37">
        <f t="shared" ca="1" si="79"/>
        <v>5.8333811109949787</v>
      </c>
      <c r="AB9" s="37">
        <f t="shared" ca="1" si="80"/>
        <v>1.4903708887936196</v>
      </c>
      <c r="AC9" s="37">
        <f t="shared" ca="1" si="81"/>
        <v>1.4580709265736893</v>
      </c>
      <c r="AD9" s="37">
        <f t="shared" ca="1" si="82"/>
        <v>2.1835666510232099</v>
      </c>
      <c r="AE9" s="37">
        <f t="shared" ca="1" si="83"/>
        <v>4.2175345432493696</v>
      </c>
      <c r="AF9" s="37">
        <f t="shared" ca="1" si="84"/>
        <v>1.091783325511605</v>
      </c>
      <c r="AG9" s="37">
        <f t="shared" ca="1" si="85"/>
        <v>2.358644145928027</v>
      </c>
      <c r="AH9" s="37">
        <f t="shared" ca="1" si="86"/>
        <v>5.3667106221153809</v>
      </c>
      <c r="AI9" s="37">
        <f t="shared" ca="1" si="87"/>
        <v>2.5866322322574753</v>
      </c>
      <c r="AJ9" s="37">
        <f t="shared" ca="1" si="88"/>
        <v>0.64017464553616144</v>
      </c>
      <c r="AK9" s="37">
        <f t="shared" ca="1" si="89"/>
        <v>2.8420280932650472</v>
      </c>
      <c r="AL9" s="37">
        <f t="shared" ca="1" si="90"/>
        <v>4.3983693576902141</v>
      </c>
      <c r="AM9" s="37">
        <f t="shared" ca="1" si="91"/>
        <v>4.423515991396842</v>
      </c>
      <c r="AN9" s="37">
        <f t="shared" ca="1" si="92"/>
        <v>0.64017464553616144</v>
      </c>
      <c r="AO9" s="37">
        <f t="shared" ca="1" si="93"/>
        <v>0.74401375996655383</v>
      </c>
      <c r="AP9" s="37">
        <f t="shared" ca="1" si="94"/>
        <v>1.5750128999686444</v>
      </c>
      <c r="AQ9" s="37">
        <f t="shared" ca="1" si="95"/>
        <v>3.4650283799310171</v>
      </c>
      <c r="AR9" s="37">
        <f t="shared" ca="1" si="96"/>
        <v>0.78750644998432218</v>
      </c>
      <c r="AS9" s="37">
        <f t="shared" ca="1" si="97"/>
        <v>3.6187117687792596</v>
      </c>
      <c r="AT9" s="37">
        <f t="shared" ca="1" si="98"/>
        <v>0.49833954442934725</v>
      </c>
      <c r="AU9" s="37">
        <f t="shared" ca="1" si="99"/>
        <v>1.3994039988548619</v>
      </c>
      <c r="AV9" s="37">
        <f t="shared" ca="1" si="100"/>
        <v>0.24916977221467362</v>
      </c>
      <c r="AW9" s="37">
        <f t="shared" ca="1" si="101"/>
        <v>1.1025090299780509</v>
      </c>
      <c r="AX9" s="37">
        <f t="shared" ca="1" si="102"/>
        <v>2.3333524443979914</v>
      </c>
      <c r="AY9" s="37">
        <f t="shared" ca="1" si="103"/>
        <v>0.55125451498902545</v>
      </c>
      <c r="AZ9" s="37">
        <f t="shared" ca="1" si="104"/>
        <v>3.8333811109949787</v>
      </c>
      <c r="BA9" s="37">
        <f t="shared" ca="1" si="105"/>
        <v>0.96984542108172966</v>
      </c>
      <c r="BB9" s="37">
        <f t="shared" ca="1" si="106"/>
        <v>2.4474929921582333</v>
      </c>
      <c r="BC9" s="37">
        <f t="shared" ca="1" si="107"/>
        <v>0.48492271054086483</v>
      </c>
      <c r="BD9" s="37">
        <f t="shared" ca="1" si="108"/>
        <v>1.6975139032995388</v>
      </c>
      <c r="BE9" s="37">
        <f t="shared" ca="1" si="109"/>
        <v>2.0300166266262525</v>
      </c>
      <c r="BF9" s="37">
        <f t="shared" ca="1" si="110"/>
        <v>3.3772087587865762</v>
      </c>
      <c r="BG9" s="37">
        <f t="shared" ca="1" si="111"/>
        <v>3.9818758076745357</v>
      </c>
      <c r="BH9" s="37">
        <f t="shared" ca="1" si="112"/>
        <v>0.92384484774978981</v>
      </c>
      <c r="BI9" s="37">
        <f t="shared" ca="1" si="113"/>
        <v>2.8291898388325647</v>
      </c>
      <c r="BJ9" s="37">
        <f t="shared" ca="1" si="114"/>
        <v>1.5400126133026744</v>
      </c>
      <c r="BK9" s="37">
        <f t="shared" ca="1" si="115"/>
        <v>1.4605182032890869</v>
      </c>
      <c r="BL9" s="37">
        <f t="shared" ca="1" si="116"/>
        <v>4.023375091009612</v>
      </c>
      <c r="BM9" s="37">
        <f t="shared" ca="1" si="117"/>
        <v>0.19933581777173889</v>
      </c>
      <c r="BN9" s="37">
        <f t="shared" ca="1" si="118"/>
        <v>1.0500085999790962</v>
      </c>
      <c r="BO9" s="37">
        <f t="shared" ca="1" si="119"/>
        <v>0.39666991554765857</v>
      </c>
      <c r="BP9" s="37">
        <f t="shared" ca="1" si="120"/>
        <v>1.1691812388534686</v>
      </c>
      <c r="BQ9" s="37">
        <f t="shared" ca="1" si="121"/>
        <v>5.9297281087395426</v>
      </c>
      <c r="BR9" s="37">
        <f t="shared" ca="1" si="122"/>
        <v>0.51750644998432216</v>
      </c>
      <c r="BS9" s="37">
        <f t="shared" ca="1" si="123"/>
        <v>1.6566802355225738</v>
      </c>
      <c r="BT9" s="37">
        <f t="shared" ca="1" si="124"/>
        <v>1.4233449910827747</v>
      </c>
      <c r="BU9" s="37">
        <f t="shared" ca="1" si="125"/>
        <v>2.4188634810378318</v>
      </c>
      <c r="BV9" s="37">
        <f t="shared" ca="1" si="126"/>
        <v>4.1328760943405056</v>
      </c>
      <c r="BW9" s="37">
        <f t="shared" ca="1" si="127"/>
        <v>0.56734040442725686</v>
      </c>
      <c r="BX9" s="37">
        <f t="shared" ca="1" si="128"/>
        <v>1.5563527310639615</v>
      </c>
      <c r="BY9" s="37">
        <f t="shared" ca="1" si="129"/>
        <v>2.3439682254950505</v>
      </c>
      <c r="BZ9" s="37">
        <f t="shared" ca="1" si="130"/>
        <v>5.2472437976470125</v>
      </c>
      <c r="CA9" s="37">
        <f t="shared" ca="1" si="131"/>
        <v>2.3439682254950505</v>
      </c>
      <c r="CB9" s="37">
        <f t="shared" ca="1" si="132"/>
        <v>3.2510564321498712</v>
      </c>
      <c r="CC9" s="37">
        <f t="shared" ca="1" si="133"/>
        <v>6.8445654076187914</v>
      </c>
      <c r="CD9" s="37">
        <f t="shared" ca="1" si="134"/>
        <v>3.2510564321498712</v>
      </c>
      <c r="CE9" s="37">
        <f t="shared" ca="1" si="135"/>
        <v>0.95834527774874467</v>
      </c>
    </row>
    <row r="10" spans="1:83" x14ac:dyDescent="0.25">
      <c r="A10" t="str">
        <f>PLANTILLA!D13</f>
        <v>Raul Riquelme</v>
      </c>
      <c r="B10">
        <f>PLANTILLA!E13</f>
        <v>18</v>
      </c>
      <c r="C10" s="33">
        <f ca="1">PLANTILLA!F13</f>
        <v>9</v>
      </c>
      <c r="D10" s="220" t="str">
        <f>PLANTILLA!G13</f>
        <v>RAP</v>
      </c>
      <c r="E10" s="30">
        <f>PLANTILLA!M13</f>
        <v>43097</v>
      </c>
      <c r="F10" s="47">
        <f>PLANTILLA!Q13</f>
        <v>6</v>
      </c>
      <c r="G10" s="48">
        <f t="shared" si="1"/>
        <v>0.92582009977255142</v>
      </c>
      <c r="H10" s="48">
        <f t="shared" si="2"/>
        <v>0.99928545900129484</v>
      </c>
      <c r="I10" s="51">
        <f t="shared" ca="1" si="3"/>
        <v>0.5029673851018478</v>
      </c>
      <c r="J10" s="39">
        <f>PLANTILLA!I13</f>
        <v>1.5</v>
      </c>
      <c r="K10" s="46">
        <f>PLANTILLA!X13</f>
        <v>0</v>
      </c>
      <c r="L10" s="46">
        <f>PLANTILLA!Y13</f>
        <v>6</v>
      </c>
      <c r="M10" s="46">
        <f>PLANTILLA!Z13</f>
        <v>3</v>
      </c>
      <c r="N10" s="46">
        <f>PLANTILLA!AA13</f>
        <v>3</v>
      </c>
      <c r="O10" s="46">
        <f>PLANTILLA!AB13</f>
        <v>3.33</v>
      </c>
      <c r="P10" s="46">
        <f>PLANTILLA!AC13</f>
        <v>6.3012044817927162</v>
      </c>
      <c r="Q10" s="46">
        <f>PLANTILLA!AD13</f>
        <v>4</v>
      </c>
      <c r="R10" s="46">
        <f t="shared" si="70"/>
        <v>1.9575</v>
      </c>
      <c r="S10" s="46">
        <f t="shared" si="71"/>
        <v>0.43506022408963585</v>
      </c>
      <c r="T10" s="46">
        <f t="shared" si="72"/>
        <v>0.36000000000000004</v>
      </c>
      <c r="U10" s="46">
        <f t="shared" ca="1" si="73"/>
        <v>4.3863094831182119</v>
      </c>
      <c r="V10" s="46">
        <f t="shared" ca="1" si="74"/>
        <v>4.7343704097981245</v>
      </c>
      <c r="W10" s="37">
        <f t="shared" ca="1" si="75"/>
        <v>2.3000607527347263</v>
      </c>
      <c r="X10" s="37">
        <f t="shared" ca="1" si="76"/>
        <v>3.5024426480876647</v>
      </c>
      <c r="Y10" s="37">
        <f t="shared" ca="1" si="77"/>
        <v>2.3000607527347263</v>
      </c>
      <c r="Z10" s="37">
        <f t="shared" ca="1" si="78"/>
        <v>3.4536164553678268</v>
      </c>
      <c r="AA10" s="37">
        <f t="shared" ca="1" si="79"/>
        <v>6.7377557305094236</v>
      </c>
      <c r="AB10" s="37">
        <f t="shared" ca="1" si="80"/>
        <v>1.7268082276839134</v>
      </c>
      <c r="AC10" s="37">
        <f t="shared" ca="1" si="81"/>
        <v>1.3194428619102043</v>
      </c>
      <c r="AD10" s="37">
        <f t="shared" ca="1" si="82"/>
        <v>2.5299748452113149</v>
      </c>
      <c r="AE10" s="37">
        <f t="shared" ca="1" si="83"/>
        <v>4.871397393158313</v>
      </c>
      <c r="AF10" s="37">
        <f t="shared" ca="1" si="84"/>
        <v>1.2649874226056574</v>
      </c>
      <c r="AG10" s="37">
        <f t="shared" ca="1" si="85"/>
        <v>2.1343928648547426</v>
      </c>
      <c r="AH10" s="37">
        <f t="shared" ca="1" si="86"/>
        <v>6.1987352720686699</v>
      </c>
      <c r="AI10" s="37">
        <f t="shared" ca="1" si="87"/>
        <v>2.9246063699254656</v>
      </c>
      <c r="AJ10" s="37">
        <f t="shared" ca="1" si="88"/>
        <v>0.62420520699507365</v>
      </c>
      <c r="AK10" s="37">
        <f t="shared" ca="1" si="89"/>
        <v>2.1978003695395403</v>
      </c>
      <c r="AL10" s="37">
        <f t="shared" ca="1" si="90"/>
        <v>5.0802678208041057</v>
      </c>
      <c r="AM10" s="37">
        <f t="shared" ca="1" si="91"/>
        <v>5.0015007485681879</v>
      </c>
      <c r="AN10" s="37">
        <f t="shared" ca="1" si="92"/>
        <v>0.7912052069950738</v>
      </c>
      <c r="AO10" s="37">
        <f t="shared" ca="1" si="93"/>
        <v>0.77623365038671366</v>
      </c>
      <c r="AP10" s="37">
        <f t="shared" ca="1" si="94"/>
        <v>1.8191940472375445</v>
      </c>
      <c r="AQ10" s="37">
        <f t="shared" ca="1" si="95"/>
        <v>4.0022269039225975</v>
      </c>
      <c r="AR10" s="37">
        <f t="shared" ca="1" si="96"/>
        <v>0.90959702361877226</v>
      </c>
      <c r="AS10" s="37">
        <f t="shared" ca="1" si="97"/>
        <v>3.5284414096008949</v>
      </c>
      <c r="AT10" s="37">
        <f t="shared" ca="1" si="98"/>
        <v>0.52880824496622503</v>
      </c>
      <c r="AU10" s="37">
        <f t="shared" ca="1" si="99"/>
        <v>1.7058708043894006</v>
      </c>
      <c r="AV10" s="37">
        <f t="shared" ca="1" si="100"/>
        <v>0.26440412248311251</v>
      </c>
      <c r="AW10" s="37">
        <f t="shared" ca="1" si="101"/>
        <v>1.2734358330662812</v>
      </c>
      <c r="AX10" s="37">
        <f t="shared" ca="1" si="102"/>
        <v>2.6951022922037695</v>
      </c>
      <c r="AY10" s="37">
        <f t="shared" ca="1" si="103"/>
        <v>0.63671791653314058</v>
      </c>
      <c r="AZ10" s="37">
        <f t="shared" ca="1" si="104"/>
        <v>3.7377557305094227</v>
      </c>
      <c r="BA10" s="37">
        <f t="shared" ca="1" si="105"/>
        <v>1.0291421998188839</v>
      </c>
      <c r="BB10" s="37">
        <f t="shared" ca="1" si="106"/>
        <v>2.8652863486871625</v>
      </c>
      <c r="BC10" s="37">
        <f t="shared" ca="1" si="107"/>
        <v>0.51457109990944194</v>
      </c>
      <c r="BD10" s="37">
        <f t="shared" ca="1" si="108"/>
        <v>1.9606869175782422</v>
      </c>
      <c r="BE10" s="37">
        <f t="shared" ca="1" si="109"/>
        <v>2.3447389942172792</v>
      </c>
      <c r="BF10" s="37">
        <f t="shared" ca="1" si="110"/>
        <v>3.2929627985788015</v>
      </c>
      <c r="BG10" s="37">
        <f t="shared" ca="1" si="111"/>
        <v>3.4268148444228768</v>
      </c>
      <c r="BH10" s="37">
        <f t="shared" ca="1" si="112"/>
        <v>0.98032913105277086</v>
      </c>
      <c r="BI10" s="37">
        <f t="shared" ca="1" si="113"/>
        <v>3.2678115292970702</v>
      </c>
      <c r="BJ10" s="37">
        <f t="shared" ca="1" si="114"/>
        <v>1.778767512854488</v>
      </c>
      <c r="BK10" s="37">
        <f t="shared" ca="1" si="115"/>
        <v>1.4240849333240901</v>
      </c>
      <c r="BL10" s="37">
        <f t="shared" ca="1" si="116"/>
        <v>3.3331285084652356</v>
      </c>
      <c r="BM10" s="37">
        <f t="shared" ca="1" si="117"/>
        <v>0.21152329798648997</v>
      </c>
      <c r="BN10" s="37">
        <f t="shared" ca="1" si="118"/>
        <v>1.2127960314916961</v>
      </c>
      <c r="BO10" s="37">
        <f t="shared" ca="1" si="119"/>
        <v>0.45816738967464082</v>
      </c>
      <c r="BP10" s="37">
        <f t="shared" ca="1" si="120"/>
        <v>1.1400154978053738</v>
      </c>
      <c r="BQ10" s="37">
        <f t="shared" ca="1" si="121"/>
        <v>4.9011338694351174</v>
      </c>
      <c r="BR10" s="37">
        <f t="shared" ca="1" si="122"/>
        <v>0.5491470236187721</v>
      </c>
      <c r="BS10" s="37">
        <f t="shared" ca="1" si="123"/>
        <v>1.9135226274646762</v>
      </c>
      <c r="BT10" s="37">
        <f t="shared" ca="1" si="124"/>
        <v>1.6440123982442993</v>
      </c>
      <c r="BU10" s="37">
        <f t="shared" ca="1" si="125"/>
        <v>2.3585238659514456</v>
      </c>
      <c r="BV10" s="37">
        <f t="shared" ca="1" si="126"/>
        <v>3.4089813788059331</v>
      </c>
      <c r="BW10" s="37">
        <f t="shared" ca="1" si="127"/>
        <v>0.60202784811539456</v>
      </c>
      <c r="BX10" s="37">
        <f t="shared" ca="1" si="128"/>
        <v>1.5175288265868256</v>
      </c>
      <c r="BY10" s="37">
        <f t="shared" ca="1" si="129"/>
        <v>2.4491237047830845</v>
      </c>
      <c r="BZ10" s="37">
        <f t="shared" ca="1" si="130"/>
        <v>6.3125051654387647</v>
      </c>
      <c r="CA10" s="37">
        <f t="shared" ca="1" si="131"/>
        <v>2.4491237047830845</v>
      </c>
      <c r="CB10" s="37">
        <f t="shared" ca="1" si="132"/>
        <v>3.6557060217880428</v>
      </c>
      <c r="CC10" s="37">
        <f t="shared" ca="1" si="133"/>
        <v>8.5399620768601174</v>
      </c>
      <c r="CD10" s="37">
        <f t="shared" ca="1" si="134"/>
        <v>3.6557060217880428</v>
      </c>
      <c r="CE10" s="37">
        <f t="shared" ca="1" si="135"/>
        <v>0.93443893262735567</v>
      </c>
    </row>
    <row r="11" spans="1:83" x14ac:dyDescent="0.25">
      <c r="A11" t="str">
        <f>PLANTILLA!D14</f>
        <v>Fernando Gazón</v>
      </c>
      <c r="B11">
        <f>PLANTILLA!E14</f>
        <v>18</v>
      </c>
      <c r="C11" s="33">
        <f ca="1">PLANTILLA!F14</f>
        <v>71</v>
      </c>
      <c r="D11" s="220" t="str">
        <f>PLANTILLA!G14</f>
        <v>IMP</v>
      </c>
      <c r="E11" s="30">
        <f>PLANTILLA!M14</f>
        <v>43045</v>
      </c>
      <c r="F11" s="47">
        <f>PLANTILLA!Q14</f>
        <v>7</v>
      </c>
      <c r="G11" s="48">
        <f t="shared" si="1"/>
        <v>1</v>
      </c>
      <c r="H11" s="48">
        <f t="shared" si="2"/>
        <v>1</v>
      </c>
      <c r="I11" s="51">
        <f t="shared" ca="1" si="3"/>
        <v>0.63854373009066134</v>
      </c>
      <c r="J11" s="39">
        <f>PLANTILLA!I14</f>
        <v>1.3</v>
      </c>
      <c r="K11" s="46">
        <f>PLANTILLA!X14</f>
        <v>0</v>
      </c>
      <c r="L11" s="46">
        <f>PLANTILLA!Y14</f>
        <v>3</v>
      </c>
      <c r="M11" s="46">
        <f>PLANTILLA!Z14</f>
        <v>6</v>
      </c>
      <c r="N11" s="46">
        <f>PLANTILLA!AA14</f>
        <v>3</v>
      </c>
      <c r="O11" s="46">
        <f>PLANTILLA!AB14</f>
        <v>4.25</v>
      </c>
      <c r="P11" s="46">
        <f>PLANTILLA!AC14</f>
        <v>5.560202614379083</v>
      </c>
      <c r="Q11" s="46">
        <f>PLANTILLA!AD14</f>
        <v>3</v>
      </c>
      <c r="R11" s="46">
        <f t="shared" si="70"/>
        <v>1.8125</v>
      </c>
      <c r="S11" s="46">
        <f t="shared" si="71"/>
        <v>0.36801013071895416</v>
      </c>
      <c r="T11" s="46">
        <f t="shared" si="72"/>
        <v>0.21000000000000002</v>
      </c>
      <c r="U11" s="46">
        <f t="shared" ca="1" si="73"/>
        <v>3.7904681998331102</v>
      </c>
      <c r="V11" s="46">
        <f t="shared" ca="1" si="74"/>
        <v>3.7904681998331102</v>
      </c>
      <c r="W11" s="37">
        <f t="shared" ca="1" si="75"/>
        <v>1.5180787384543055</v>
      </c>
      <c r="X11" s="37">
        <f t="shared" ca="1" si="76"/>
        <v>2.2954944459845454</v>
      </c>
      <c r="Y11" s="37">
        <f t="shared" ca="1" si="77"/>
        <v>1.5180787384543055</v>
      </c>
      <c r="Z11" s="37">
        <f t="shared" ca="1" si="78"/>
        <v>1.9265987154277151</v>
      </c>
      <c r="AA11" s="37">
        <f t="shared" ca="1" si="79"/>
        <v>3.7904681998331102</v>
      </c>
      <c r="AB11" s="37">
        <f t="shared" ca="1" si="80"/>
        <v>0.96329935771385755</v>
      </c>
      <c r="AC11" s="37">
        <f t="shared" ca="1" si="81"/>
        <v>2.1618576537171648</v>
      </c>
      <c r="AD11" s="37">
        <f t="shared" ca="1" si="82"/>
        <v>1.4113455706040239</v>
      </c>
      <c r="AE11" s="37">
        <f t="shared" ca="1" si="83"/>
        <v>2.7405085084793388</v>
      </c>
      <c r="AF11" s="37">
        <f t="shared" ca="1" si="84"/>
        <v>0.70567278530201194</v>
      </c>
      <c r="AG11" s="37">
        <f t="shared" ca="1" si="85"/>
        <v>3.4971226751307078</v>
      </c>
      <c r="AH11" s="37">
        <f t="shared" ca="1" si="86"/>
        <v>3.4872307438464616</v>
      </c>
      <c r="AI11" s="37">
        <f t="shared" ca="1" si="87"/>
        <v>1.7408662870364615</v>
      </c>
      <c r="AJ11" s="37">
        <f t="shared" ca="1" si="88"/>
        <v>1.1340081893721294</v>
      </c>
      <c r="AK11" s="37">
        <f t="shared" ca="1" si="89"/>
        <v>2.2287953015018687</v>
      </c>
      <c r="AL11" s="37">
        <f t="shared" ca="1" si="90"/>
        <v>2.8580130226741653</v>
      </c>
      <c r="AM11" s="37">
        <f t="shared" ca="1" si="91"/>
        <v>2.9771336502942387</v>
      </c>
      <c r="AN11" s="37">
        <f t="shared" ca="1" si="92"/>
        <v>0.63300818937212944</v>
      </c>
      <c r="AO11" s="37">
        <f t="shared" ca="1" si="93"/>
        <v>0.74965484155193574</v>
      </c>
      <c r="AP11" s="37">
        <f t="shared" ca="1" si="94"/>
        <v>1.0234264139549398</v>
      </c>
      <c r="AQ11" s="37">
        <f t="shared" ca="1" si="95"/>
        <v>2.2515381107008672</v>
      </c>
      <c r="AR11" s="37">
        <f t="shared" ca="1" si="96"/>
        <v>0.51171320697746991</v>
      </c>
      <c r="AS11" s="37">
        <f t="shared" ca="1" si="97"/>
        <v>6.4102019806424551</v>
      </c>
      <c r="AT11" s="37">
        <f t="shared" ca="1" si="98"/>
        <v>0.65526086597830424</v>
      </c>
      <c r="AU11" s="37">
        <f t="shared" ca="1" si="99"/>
        <v>1.7035222348386823</v>
      </c>
      <c r="AV11" s="37">
        <f t="shared" ca="1" si="100"/>
        <v>0.32763043298915212</v>
      </c>
      <c r="AW11" s="37">
        <f t="shared" ca="1" si="101"/>
        <v>0.71639848976845788</v>
      </c>
      <c r="AX11" s="37">
        <f t="shared" ca="1" si="102"/>
        <v>1.5161872799332441</v>
      </c>
      <c r="AY11" s="37">
        <f t="shared" ca="1" si="103"/>
        <v>0.35819924488422894</v>
      </c>
      <c r="AZ11" s="37">
        <f t="shared" ca="1" si="104"/>
        <v>6.7904681998331098</v>
      </c>
      <c r="BA11" s="37">
        <f t="shared" ca="1" si="105"/>
        <v>1.2752384545577768</v>
      </c>
      <c r="BB11" s="37">
        <f t="shared" ca="1" si="106"/>
        <v>3.0524405271276507</v>
      </c>
      <c r="BC11" s="37">
        <f t="shared" ca="1" si="107"/>
        <v>0.63761922727888842</v>
      </c>
      <c r="BD11" s="37">
        <f t="shared" ca="1" si="108"/>
        <v>1.1030262461514351</v>
      </c>
      <c r="BE11" s="37">
        <f t="shared" ca="1" si="109"/>
        <v>1.3190829335419223</v>
      </c>
      <c r="BF11" s="37">
        <f t="shared" ca="1" si="110"/>
        <v>5.9824024840529697</v>
      </c>
      <c r="BG11" s="37">
        <f t="shared" ca="1" si="111"/>
        <v>3.7634762296516344</v>
      </c>
      <c r="BH11" s="37">
        <f t="shared" ca="1" si="112"/>
        <v>1.2147528361597795</v>
      </c>
      <c r="BI11" s="37">
        <f t="shared" ca="1" si="113"/>
        <v>1.8383770769190584</v>
      </c>
      <c r="BJ11" s="37">
        <f t="shared" ca="1" si="114"/>
        <v>1.0006836047559411</v>
      </c>
      <c r="BK11" s="37">
        <f t="shared" ca="1" si="115"/>
        <v>2.5871683841364148</v>
      </c>
      <c r="BL11" s="37">
        <f t="shared" ca="1" si="116"/>
        <v>3.5641192066541381</v>
      </c>
      <c r="BM11" s="37">
        <f t="shared" ca="1" si="117"/>
        <v>0.26210434639132169</v>
      </c>
      <c r="BN11" s="37">
        <f t="shared" ca="1" si="118"/>
        <v>0.68228427596995977</v>
      </c>
      <c r="BO11" s="37">
        <f t="shared" ca="1" si="119"/>
        <v>0.2577518375886515</v>
      </c>
      <c r="BP11" s="37">
        <f t="shared" ca="1" si="120"/>
        <v>2.0710928009490983</v>
      </c>
      <c r="BQ11" s="37">
        <f t="shared" ca="1" si="121"/>
        <v>5.2320421049853794</v>
      </c>
      <c r="BR11" s="37">
        <f t="shared" ca="1" si="122"/>
        <v>0.68046320697746987</v>
      </c>
      <c r="BS11" s="37">
        <f t="shared" ca="1" si="123"/>
        <v>1.0764929687526033</v>
      </c>
      <c r="BT11" s="37">
        <f t="shared" ca="1" si="124"/>
        <v>0.92487424075927882</v>
      </c>
      <c r="BU11" s="37">
        <f t="shared" ca="1" si="125"/>
        <v>4.284785434094692</v>
      </c>
      <c r="BV11" s="37">
        <f t="shared" ca="1" si="126"/>
        <v>3.6337190388506331</v>
      </c>
      <c r="BW11" s="37">
        <f t="shared" ca="1" si="127"/>
        <v>0.74598929357530019</v>
      </c>
      <c r="BX11" s="37">
        <f t="shared" ca="1" si="128"/>
        <v>2.7569300891322426</v>
      </c>
      <c r="BY11" s="37">
        <f t="shared" ca="1" si="129"/>
        <v>2.6124796641391939</v>
      </c>
      <c r="BZ11" s="37">
        <f t="shared" ca="1" si="130"/>
        <v>6.4394153171950865</v>
      </c>
      <c r="CA11" s="37">
        <f t="shared" ca="1" si="131"/>
        <v>2.6124796641391939</v>
      </c>
      <c r="CB11" s="37">
        <f t="shared" ca="1" si="132"/>
        <v>3.3906631394764188</v>
      </c>
      <c r="CC11" s="37">
        <f t="shared" ca="1" si="133"/>
        <v>8.210603579950611</v>
      </c>
      <c r="CD11" s="37">
        <f t="shared" ca="1" si="134"/>
        <v>3.3906631394764188</v>
      </c>
      <c r="CE11" s="37">
        <f t="shared" ca="1" si="135"/>
        <v>1.6976170499582774</v>
      </c>
    </row>
    <row r="12" spans="1:83" x14ac:dyDescent="0.25">
      <c r="A12" t="str">
        <f>PLANTILLA!D15</f>
        <v>Roberto Abenoza</v>
      </c>
      <c r="B12">
        <f>PLANTILLA!E15</f>
        <v>18</v>
      </c>
      <c r="C12" s="33">
        <f ca="1">PLANTILLA!F15</f>
        <v>59</v>
      </c>
      <c r="D12" s="220" t="str">
        <f>PLANTILLA!G15</f>
        <v>CAB</v>
      </c>
      <c r="E12" s="30">
        <f>PLANTILLA!M15</f>
        <v>43046</v>
      </c>
      <c r="F12" s="47">
        <f>PLANTILLA!Q15</f>
        <v>7</v>
      </c>
      <c r="G12" s="48">
        <f t="shared" si="1"/>
        <v>1</v>
      </c>
      <c r="H12" s="48">
        <f t="shared" si="2"/>
        <v>1</v>
      </c>
      <c r="I12" s="51">
        <f t="shared" ca="1" si="3"/>
        <v>0.63620901028035182</v>
      </c>
      <c r="J12" s="39">
        <f>PLANTILLA!I15</f>
        <v>0.6</v>
      </c>
      <c r="K12" s="46">
        <f>PLANTILLA!X15</f>
        <v>0</v>
      </c>
      <c r="L12" s="46">
        <f>PLANTILLA!Y15</f>
        <v>2</v>
      </c>
      <c r="M12" s="46">
        <f>PLANTILLA!Z15</f>
        <v>5</v>
      </c>
      <c r="N12" s="46">
        <f>PLANTILLA!AA15</f>
        <v>3</v>
      </c>
      <c r="O12" s="46">
        <f>PLANTILLA!AB15</f>
        <v>3</v>
      </c>
      <c r="P12" s="46">
        <f>PLANTILLA!AC15</f>
        <v>5.6499999999999977</v>
      </c>
      <c r="Q12" s="46">
        <f>PLANTILLA!AD15</f>
        <v>5</v>
      </c>
      <c r="R12" s="46">
        <f t="shared" si="70"/>
        <v>1.375</v>
      </c>
      <c r="S12" s="46">
        <f t="shared" si="71"/>
        <v>0.43249999999999994</v>
      </c>
      <c r="T12" s="46">
        <f t="shared" si="72"/>
        <v>0.22999999999999998</v>
      </c>
      <c r="U12" s="46">
        <f t="shared" ca="1" si="73"/>
        <v>5.3404106774585429</v>
      </c>
      <c r="V12" s="46">
        <f t="shared" ca="1" si="74"/>
        <v>5.3404106774585429</v>
      </c>
      <c r="W12" s="37">
        <f t="shared" ca="1" si="75"/>
        <v>0.84917852142130834</v>
      </c>
      <c r="X12" s="37">
        <f t="shared" ca="1" si="76"/>
        <v>1.2894701845989793</v>
      </c>
      <c r="Y12" s="37">
        <f t="shared" ca="1" si="77"/>
        <v>0.84917852142130834</v>
      </c>
      <c r="Z12" s="37">
        <f t="shared" ca="1" si="78"/>
        <v>1.1784761014280829</v>
      </c>
      <c r="AA12" s="37">
        <f t="shared" ca="1" si="79"/>
        <v>2.3404106774585434</v>
      </c>
      <c r="AB12" s="37">
        <f t="shared" ca="1" si="80"/>
        <v>0.58923805071404145</v>
      </c>
      <c r="AC12" s="37">
        <f t="shared" ca="1" si="81"/>
        <v>1.8147486140340434</v>
      </c>
      <c r="AD12" s="37">
        <f t="shared" ca="1" si="82"/>
        <v>0.86330226034847934</v>
      </c>
      <c r="AE12" s="37">
        <f t="shared" ca="1" si="83"/>
        <v>1.6921169198025268</v>
      </c>
      <c r="AF12" s="37">
        <f t="shared" ca="1" si="84"/>
        <v>0.43165113017423967</v>
      </c>
      <c r="AG12" s="37">
        <f t="shared" ca="1" si="85"/>
        <v>2.9356227579962466</v>
      </c>
      <c r="AH12" s="37">
        <f t="shared" ca="1" si="86"/>
        <v>2.1531778232618599</v>
      </c>
      <c r="AI12" s="37">
        <f t="shared" ca="1" si="87"/>
        <v>1.1399150028395204</v>
      </c>
      <c r="AJ12" s="37">
        <f t="shared" ca="1" si="88"/>
        <v>0.89184858313557669</v>
      </c>
      <c r="AK12" s="37">
        <f t="shared" ca="1" si="89"/>
        <v>1.9641614783456234</v>
      </c>
      <c r="AL12" s="37">
        <f t="shared" ca="1" si="90"/>
        <v>1.7646696508037416</v>
      </c>
      <c r="AM12" s="37">
        <f t="shared" ca="1" si="91"/>
        <v>1.9494198599284551</v>
      </c>
      <c r="AN12" s="37">
        <f t="shared" ca="1" si="92"/>
        <v>0.89184858313557669</v>
      </c>
      <c r="AO12" s="37">
        <f t="shared" ca="1" si="93"/>
        <v>0.49403827510806037</v>
      </c>
      <c r="AP12" s="37">
        <f t="shared" ca="1" si="94"/>
        <v>0.6319108829138067</v>
      </c>
      <c r="AQ12" s="37">
        <f t="shared" ca="1" si="95"/>
        <v>1.3902039424103747</v>
      </c>
      <c r="AR12" s="37">
        <f t="shared" ca="1" si="96"/>
        <v>0.31595544145690335</v>
      </c>
      <c r="AS12" s="37">
        <f t="shared" ca="1" si="97"/>
        <v>5.0413476795208645</v>
      </c>
      <c r="AT12" s="37">
        <f t="shared" ca="1" si="98"/>
        <v>0.43425338806961067</v>
      </c>
      <c r="AU12" s="37">
        <f t="shared" ca="1" si="99"/>
        <v>1.4371903284953524</v>
      </c>
      <c r="AV12" s="37">
        <f t="shared" ca="1" si="100"/>
        <v>0.21712669403480533</v>
      </c>
      <c r="AW12" s="37">
        <f t="shared" ca="1" si="101"/>
        <v>0.4423376180396647</v>
      </c>
      <c r="AX12" s="37">
        <f t="shared" ca="1" si="102"/>
        <v>0.93616427098341737</v>
      </c>
      <c r="AY12" s="37">
        <f t="shared" ca="1" si="103"/>
        <v>0.22116880901983235</v>
      </c>
      <c r="AZ12" s="37">
        <f t="shared" ca="1" si="104"/>
        <v>5.3404106774585429</v>
      </c>
      <c r="BA12" s="37">
        <f t="shared" ca="1" si="105"/>
        <v>0.84512390139701143</v>
      </c>
      <c r="BB12" s="37">
        <f t="shared" ca="1" si="106"/>
        <v>2.3970662832796572</v>
      </c>
      <c r="BC12" s="37">
        <f t="shared" ca="1" si="107"/>
        <v>0.42256195069850572</v>
      </c>
      <c r="BD12" s="37">
        <f t="shared" ca="1" si="108"/>
        <v>0.68105950714043606</v>
      </c>
      <c r="BE12" s="37">
        <f t="shared" ca="1" si="109"/>
        <v>0.81446291575557306</v>
      </c>
      <c r="BF12" s="37">
        <f t="shared" ca="1" si="110"/>
        <v>4.7049018068409767</v>
      </c>
      <c r="BG12" s="37">
        <f t="shared" ca="1" si="111"/>
        <v>2.9696250922606451</v>
      </c>
      <c r="BH12" s="37">
        <f t="shared" ca="1" si="112"/>
        <v>0.80503897326750895</v>
      </c>
      <c r="BI12" s="37">
        <f t="shared" ca="1" si="113"/>
        <v>1.1350991785673934</v>
      </c>
      <c r="BJ12" s="37">
        <f t="shared" ca="1" si="114"/>
        <v>0.61786841884905552</v>
      </c>
      <c r="BK12" s="37">
        <f t="shared" ca="1" si="115"/>
        <v>2.0346964681117048</v>
      </c>
      <c r="BL12" s="37">
        <f t="shared" ca="1" si="116"/>
        <v>2.9195189320987671</v>
      </c>
      <c r="BM12" s="37">
        <f t="shared" ca="1" si="117"/>
        <v>0.17370135522784425</v>
      </c>
      <c r="BN12" s="37">
        <f t="shared" ca="1" si="118"/>
        <v>0.42127392194253777</v>
      </c>
      <c r="BO12" s="37">
        <f t="shared" ca="1" si="119"/>
        <v>0.15914792606718095</v>
      </c>
      <c r="BP12" s="37">
        <f t="shared" ca="1" si="120"/>
        <v>1.6288252566248556</v>
      </c>
      <c r="BQ12" s="37">
        <f t="shared" ca="1" si="121"/>
        <v>4.2957681312116867</v>
      </c>
      <c r="BR12" s="37">
        <f t="shared" ca="1" si="122"/>
        <v>0.45095544145690336</v>
      </c>
      <c r="BS12" s="37">
        <f t="shared" ca="1" si="123"/>
        <v>0.66467663239822627</v>
      </c>
      <c r="BT12" s="37">
        <f t="shared" ca="1" si="124"/>
        <v>0.57106020529988455</v>
      </c>
      <c r="BU12" s="37">
        <f t="shared" ca="1" si="125"/>
        <v>3.3697991374763405</v>
      </c>
      <c r="BV12" s="37">
        <f t="shared" ca="1" si="126"/>
        <v>2.9896675563253963</v>
      </c>
      <c r="BW12" s="37">
        <f t="shared" ca="1" si="127"/>
        <v>0.49438078026386439</v>
      </c>
      <c r="BX12" s="37">
        <f t="shared" ca="1" si="128"/>
        <v>2.1682067350481686</v>
      </c>
      <c r="BY12" s="37">
        <f t="shared" ca="1" si="129"/>
        <v>2.0769039629559005</v>
      </c>
      <c r="BZ12" s="37">
        <f t="shared" ca="1" si="130"/>
        <v>5.3062524228183179</v>
      </c>
      <c r="CA12" s="37">
        <f t="shared" ca="1" si="131"/>
        <v>2.0769039629559005</v>
      </c>
      <c r="CB12" s="37">
        <f t="shared" ca="1" si="132"/>
        <v>3.1463758520566714</v>
      </c>
      <c r="CC12" s="37">
        <f t="shared" ca="1" si="133"/>
        <v>7.223022217440743</v>
      </c>
      <c r="CD12" s="37">
        <f t="shared" ca="1" si="134"/>
        <v>3.1463758520566714</v>
      </c>
      <c r="CE12" s="37">
        <f t="shared" ca="1" si="135"/>
        <v>1.3351026693646357</v>
      </c>
    </row>
    <row r="13" spans="1:83" x14ac:dyDescent="0.25">
      <c r="A13" t="str">
        <f>PLANTILLA!D16</f>
        <v>Julio Calle</v>
      </c>
      <c r="B13">
        <f>PLANTILLA!E16</f>
        <v>18</v>
      </c>
      <c r="C13" s="33">
        <f ca="1">PLANTILLA!F16</f>
        <v>29</v>
      </c>
      <c r="D13" s="220" t="str">
        <f>PLANTILLA!G16</f>
        <v>POT</v>
      </c>
      <c r="E13" s="30">
        <f>PLANTILLA!M16</f>
        <v>43046</v>
      </c>
      <c r="F13" s="47">
        <f>PLANTILLA!Q16</f>
        <v>6</v>
      </c>
      <c r="G13" s="48">
        <f t="shared" si="1"/>
        <v>0.92582009977255142</v>
      </c>
      <c r="H13" s="48">
        <f t="shared" si="2"/>
        <v>0.99928545900129484</v>
      </c>
      <c r="I13" s="51">
        <f t="shared" ca="1" si="3"/>
        <v>0.63620901028035182</v>
      </c>
      <c r="J13" s="39">
        <f>PLANTILLA!I16</f>
        <v>0.5</v>
      </c>
      <c r="K13" s="46">
        <f>PLANTILLA!X16</f>
        <v>0</v>
      </c>
      <c r="L13" s="46">
        <f>PLANTILLA!Y16</f>
        <v>3</v>
      </c>
      <c r="M13" s="46">
        <f>PLANTILLA!Z16</f>
        <v>4</v>
      </c>
      <c r="N13" s="46">
        <f>PLANTILLA!AA16</f>
        <v>4</v>
      </c>
      <c r="O13" s="46">
        <f>PLANTILLA!AB16</f>
        <v>3.0151111111111111</v>
      </c>
      <c r="P13" s="46">
        <f>PLANTILLA!AC16</f>
        <v>4.5294117647058805</v>
      </c>
      <c r="Q13" s="46">
        <f>PLANTILLA!AD16</f>
        <v>1.3</v>
      </c>
      <c r="R13" s="46">
        <f t="shared" si="70"/>
        <v>1.5037777777777777</v>
      </c>
      <c r="S13" s="46">
        <f t="shared" si="71"/>
        <v>0.26547058823529401</v>
      </c>
      <c r="T13" s="46">
        <f t="shared" si="72"/>
        <v>0.15900000000000003</v>
      </c>
      <c r="U13" s="46">
        <f t="shared" ca="1" si="73"/>
        <v>1.4209817249180581</v>
      </c>
      <c r="V13" s="46">
        <f t="shared" ca="1" si="74"/>
        <v>1.533738979706792</v>
      </c>
      <c r="W13" s="37">
        <f t="shared" ca="1" si="75"/>
        <v>1.0330115510218731</v>
      </c>
      <c r="X13" s="37">
        <f t="shared" ca="1" si="76"/>
        <v>1.5781728664023345</v>
      </c>
      <c r="Y13" s="37">
        <f t="shared" ca="1" si="77"/>
        <v>1.0330115510218731</v>
      </c>
      <c r="Z13" s="37">
        <f t="shared" ca="1" si="78"/>
        <v>1.6399994041473172</v>
      </c>
      <c r="AA13" s="37">
        <f t="shared" ca="1" si="79"/>
        <v>3.2348356827283768</v>
      </c>
      <c r="AB13" s="37">
        <f t="shared" ca="1" si="80"/>
        <v>0.81999970207365858</v>
      </c>
      <c r="AC13" s="37">
        <f t="shared" ca="1" si="81"/>
        <v>1.5516217652882638</v>
      </c>
      <c r="AD13" s="37">
        <f t="shared" ca="1" si="82"/>
        <v>1.2013949123404764</v>
      </c>
      <c r="AE13" s="37">
        <f t="shared" ca="1" si="83"/>
        <v>2.3387861986126164</v>
      </c>
      <c r="AF13" s="37">
        <f t="shared" ca="1" si="84"/>
        <v>0.60069745617023818</v>
      </c>
      <c r="AG13" s="37">
        <f t="shared" ca="1" si="85"/>
        <v>2.5099763850251327</v>
      </c>
      <c r="AH13" s="37">
        <f t="shared" ca="1" si="86"/>
        <v>2.9760488281101067</v>
      </c>
      <c r="AI13" s="37">
        <f t="shared" ca="1" si="87"/>
        <v>1.5102069550212314</v>
      </c>
      <c r="AJ13" s="37">
        <f t="shared" ca="1" si="88"/>
        <v>0.70721755901563887</v>
      </c>
      <c r="AK13" s="37">
        <f t="shared" ca="1" si="89"/>
        <v>2.4900833814442853</v>
      </c>
      <c r="AL13" s="37">
        <f t="shared" ca="1" si="90"/>
        <v>2.4390661047771962</v>
      </c>
      <c r="AM13" s="37">
        <f t="shared" ca="1" si="91"/>
        <v>2.5826727636594971</v>
      </c>
      <c r="AN13" s="37">
        <f t="shared" ca="1" si="92"/>
        <v>0.25631755901563902</v>
      </c>
      <c r="AO13" s="37">
        <f t="shared" ca="1" si="93"/>
        <v>0.50072067662577247</v>
      </c>
      <c r="AP13" s="37">
        <f t="shared" ca="1" si="94"/>
        <v>0.87340563433666185</v>
      </c>
      <c r="AQ13" s="37">
        <f t="shared" ca="1" si="95"/>
        <v>1.9214923955406558</v>
      </c>
      <c r="AR13" s="37">
        <f t="shared" ca="1" si="96"/>
        <v>0.43670281716833093</v>
      </c>
      <c r="AS13" s="37">
        <f t="shared" ca="1" si="97"/>
        <v>3.997684884495587</v>
      </c>
      <c r="AT13" s="37">
        <f t="shared" ca="1" si="98"/>
        <v>0.42249308319913342</v>
      </c>
      <c r="AU13" s="37">
        <f t="shared" ca="1" si="99"/>
        <v>1.2142084236668649</v>
      </c>
      <c r="AV13" s="37">
        <f t="shared" ca="1" si="100"/>
        <v>0.21124654159956671</v>
      </c>
      <c r="AW13" s="37">
        <f t="shared" ca="1" si="101"/>
        <v>0.61138394403566321</v>
      </c>
      <c r="AX13" s="37">
        <f t="shared" ca="1" si="102"/>
        <v>1.2939342730913508</v>
      </c>
      <c r="AY13" s="37">
        <f t="shared" ca="1" si="103"/>
        <v>0.3056919720178316</v>
      </c>
      <c r="AZ13" s="37">
        <f t="shared" ca="1" si="104"/>
        <v>4.2348356827283764</v>
      </c>
      <c r="BA13" s="37">
        <f t="shared" ca="1" si="105"/>
        <v>0.82223653884139047</v>
      </c>
      <c r="BB13" s="37">
        <f t="shared" ca="1" si="106"/>
        <v>2.1087238206604595</v>
      </c>
      <c r="BC13" s="37">
        <f t="shared" ca="1" si="107"/>
        <v>0.41111826942069524</v>
      </c>
      <c r="BD13" s="37">
        <f t="shared" ca="1" si="108"/>
        <v>0.94133718367395758</v>
      </c>
      <c r="BE13" s="37">
        <f t="shared" ca="1" si="109"/>
        <v>1.1257228175894751</v>
      </c>
      <c r="BF13" s="37">
        <f t="shared" ca="1" si="110"/>
        <v>3.7308902364836998</v>
      </c>
      <c r="BG13" s="37">
        <f t="shared" ca="1" si="111"/>
        <v>3.4545289219455269</v>
      </c>
      <c r="BH13" s="37">
        <f t="shared" ca="1" si="112"/>
        <v>0.78323717731531661</v>
      </c>
      <c r="BI13" s="37">
        <f t="shared" ca="1" si="113"/>
        <v>1.5688953061232627</v>
      </c>
      <c r="BJ13" s="37">
        <f t="shared" ca="1" si="114"/>
        <v>0.85399662024029155</v>
      </c>
      <c r="BK13" s="37">
        <f t="shared" ca="1" si="115"/>
        <v>1.6134723951195113</v>
      </c>
      <c r="BL13" s="37">
        <f t="shared" ca="1" si="116"/>
        <v>3.5032837200379348</v>
      </c>
      <c r="BM13" s="37">
        <f t="shared" ca="1" si="117"/>
        <v>0.16899723327965335</v>
      </c>
      <c r="BN13" s="37">
        <f t="shared" ca="1" si="118"/>
        <v>0.58227042289110786</v>
      </c>
      <c r="BO13" s="37">
        <f t="shared" ca="1" si="119"/>
        <v>0.21996882642552965</v>
      </c>
      <c r="BP13" s="37">
        <f t="shared" ca="1" si="120"/>
        <v>1.2916248832321549</v>
      </c>
      <c r="BQ13" s="37">
        <f t="shared" ca="1" si="121"/>
        <v>5.1643204657664699</v>
      </c>
      <c r="BR13" s="37">
        <f t="shared" ca="1" si="122"/>
        <v>0.43874281716833091</v>
      </c>
      <c r="BS13" s="37">
        <f t="shared" ca="1" si="123"/>
        <v>0.91869333389485897</v>
      </c>
      <c r="BT13" s="37">
        <f t="shared" ca="1" si="124"/>
        <v>0.78929990658572391</v>
      </c>
      <c r="BU13" s="37">
        <f t="shared" ca="1" si="125"/>
        <v>2.6721813158016055</v>
      </c>
      <c r="BV13" s="37">
        <f t="shared" ca="1" si="126"/>
        <v>3.6000943804863414</v>
      </c>
      <c r="BW13" s="37">
        <f t="shared" ca="1" si="127"/>
        <v>0.48099212548824422</v>
      </c>
      <c r="BX13" s="37">
        <f t="shared" ca="1" si="128"/>
        <v>1.719343287187721</v>
      </c>
      <c r="BY13" s="37">
        <f t="shared" ca="1" si="129"/>
        <v>2.0273624625969084</v>
      </c>
      <c r="BZ13" s="37">
        <f t="shared" ca="1" si="130"/>
        <v>4.5422773709090132</v>
      </c>
      <c r="CA13" s="37">
        <f t="shared" ca="1" si="131"/>
        <v>2.0273624625969084</v>
      </c>
      <c r="CB13" s="37">
        <f t="shared" ca="1" si="132"/>
        <v>2.8511261597515425</v>
      </c>
      <c r="CC13" s="37">
        <f t="shared" ca="1" si="133"/>
        <v>5.9634778143610276</v>
      </c>
      <c r="CD13" s="37">
        <f t="shared" ca="1" si="134"/>
        <v>2.8511261597515425</v>
      </c>
      <c r="CE13" s="37">
        <f t="shared" ca="1" si="135"/>
        <v>1.0587089206820941</v>
      </c>
    </row>
    <row r="14" spans="1:83" x14ac:dyDescent="0.25">
      <c r="A14" t="str">
        <f>PLANTILLA!D18</f>
        <v>Enrique Cubas</v>
      </c>
      <c r="B14">
        <f>PLANTILLA!E18</f>
        <v>18</v>
      </c>
      <c r="C14" s="33">
        <f ca="1">PLANTILLA!F18</f>
        <v>30</v>
      </c>
      <c r="D14" s="220" t="str">
        <f>PLANTILLA!G18</f>
        <v>RAP</v>
      </c>
      <c r="E14" s="30">
        <f>PLANTILLA!M18</f>
        <v>43046</v>
      </c>
      <c r="F14" s="47">
        <f>PLANTILLA!Q18</f>
        <v>3</v>
      </c>
      <c r="G14" s="48">
        <f t="shared" si="1"/>
        <v>0.65465367070797709</v>
      </c>
      <c r="H14" s="48">
        <f t="shared" si="2"/>
        <v>0.75498344352707503</v>
      </c>
      <c r="I14" s="51">
        <f t="shared" ca="1" si="3"/>
        <v>0.63620901028035182</v>
      </c>
      <c r="J14" s="39">
        <f>PLANTILLA!I18</f>
        <v>1.7</v>
      </c>
      <c r="K14" s="46">
        <f>PLANTILLA!X18</f>
        <v>0</v>
      </c>
      <c r="L14" s="46">
        <f>PLANTILLA!Y18</f>
        <v>2</v>
      </c>
      <c r="M14" s="46">
        <f>PLANTILLA!Z18</f>
        <v>5.7</v>
      </c>
      <c r="N14" s="46">
        <f>PLANTILLA!AA18</f>
        <v>5.5</v>
      </c>
      <c r="O14" s="46">
        <f>PLANTILLA!AB18</f>
        <v>6</v>
      </c>
      <c r="P14" s="46">
        <f>PLANTILLA!AC18</f>
        <v>7.25</v>
      </c>
      <c r="Q14" s="46">
        <f>PLANTILLA!AD18</f>
        <v>5</v>
      </c>
      <c r="R14" s="46">
        <f t="shared" si="70"/>
        <v>2.125</v>
      </c>
      <c r="S14" s="46">
        <f t="shared" si="71"/>
        <v>0.51249999999999996</v>
      </c>
      <c r="T14" s="46">
        <f t="shared" si="72"/>
        <v>0.22999999999999998</v>
      </c>
      <c r="U14" s="46">
        <f t="shared" ca="1" si="73"/>
        <v>3.8909172271787145</v>
      </c>
      <c r="V14" s="46">
        <f t="shared" ca="1" si="74"/>
        <v>4.4872246473121464</v>
      </c>
      <c r="W14" s="37">
        <f t="shared" ca="1" si="75"/>
        <v>1.3756530104590581</v>
      </c>
      <c r="X14" s="37">
        <f t="shared" ca="1" si="76"/>
        <v>2.0680252422710694</v>
      </c>
      <c r="Y14" s="37">
        <f t="shared" ca="1" si="77"/>
        <v>1.3756530104590581</v>
      </c>
      <c r="Z14" s="37">
        <f t="shared" ca="1" si="78"/>
        <v>1.4896568990723886</v>
      </c>
      <c r="AA14" s="37">
        <f t="shared" ca="1" si="79"/>
        <v>2.943474238784717</v>
      </c>
      <c r="AB14" s="37">
        <f t="shared" ca="1" si="80"/>
        <v>0.74482844953619431</v>
      </c>
      <c r="AC14" s="37">
        <f t="shared" ca="1" si="81"/>
        <v>2.1248777416296725</v>
      </c>
      <c r="AD14" s="37">
        <f t="shared" ca="1" si="82"/>
        <v>1.0912602865297729</v>
      </c>
      <c r="AE14" s="37">
        <f t="shared" ca="1" si="83"/>
        <v>2.1281318746413502</v>
      </c>
      <c r="AF14" s="37">
        <f t="shared" ca="1" si="84"/>
        <v>0.54563014326488646</v>
      </c>
      <c r="AG14" s="37">
        <f t="shared" ca="1" si="85"/>
        <v>3.4373022291068231</v>
      </c>
      <c r="AH14" s="37">
        <f t="shared" ca="1" si="86"/>
        <v>2.7079962996819398</v>
      </c>
      <c r="AI14" s="37">
        <f t="shared" ca="1" si="87"/>
        <v>1.3895833172285563</v>
      </c>
      <c r="AJ14" s="37">
        <f t="shared" ca="1" si="88"/>
        <v>1.1094601978770477</v>
      </c>
      <c r="AK14" s="37">
        <f t="shared" ca="1" si="89"/>
        <v>3.7887628524054131</v>
      </c>
      <c r="AL14" s="37">
        <f t="shared" ca="1" si="90"/>
        <v>2.2193795760436767</v>
      </c>
      <c r="AM14" s="37">
        <f t="shared" ca="1" si="91"/>
        <v>2.3763888613473862</v>
      </c>
      <c r="AN14" s="37">
        <f t="shared" ca="1" si="92"/>
        <v>0.99256019787704775</v>
      </c>
      <c r="AO14" s="37">
        <f t="shared" ca="1" si="93"/>
        <v>0.88372058076999849</v>
      </c>
      <c r="AP14" s="37">
        <f t="shared" ca="1" si="94"/>
        <v>0.79473804447187368</v>
      </c>
      <c r="AQ14" s="37">
        <f t="shared" ca="1" si="95"/>
        <v>1.7484236978381218</v>
      </c>
      <c r="AR14" s="37">
        <f t="shared" ca="1" si="96"/>
        <v>0.39736902223593684</v>
      </c>
      <c r="AS14" s="37">
        <f t="shared" ca="1" si="97"/>
        <v>6.2714396814127724</v>
      </c>
      <c r="AT14" s="37">
        <f t="shared" ca="1" si="98"/>
        <v>0.90265165104201317</v>
      </c>
      <c r="AU14" s="37">
        <f t="shared" ca="1" si="99"/>
        <v>2.250687951963922</v>
      </c>
      <c r="AV14" s="37">
        <f t="shared" ca="1" si="100"/>
        <v>0.45132582552100659</v>
      </c>
      <c r="AW14" s="37">
        <f t="shared" ca="1" si="101"/>
        <v>0.55631663113031149</v>
      </c>
      <c r="AX14" s="37">
        <f t="shared" ca="1" si="102"/>
        <v>1.1773896955138869</v>
      </c>
      <c r="AY14" s="37">
        <f t="shared" ca="1" si="103"/>
        <v>0.27815831556515574</v>
      </c>
      <c r="AZ14" s="37">
        <f t="shared" ca="1" si="104"/>
        <v>6.6434742387847168</v>
      </c>
      <c r="BA14" s="37">
        <f t="shared" ca="1" si="105"/>
        <v>1.7566989824125334</v>
      </c>
      <c r="BB14" s="37">
        <f t="shared" ca="1" si="106"/>
        <v>4.0883543055703786</v>
      </c>
      <c r="BC14" s="37">
        <f t="shared" ca="1" si="107"/>
        <v>0.87834949120626671</v>
      </c>
      <c r="BD14" s="37">
        <f t="shared" ca="1" si="108"/>
        <v>0.8565510034863526</v>
      </c>
      <c r="BE14" s="37">
        <f t="shared" ca="1" si="109"/>
        <v>1.0243290350970815</v>
      </c>
      <c r="BF14" s="37">
        <f t="shared" ca="1" si="110"/>
        <v>5.8529008043693356</v>
      </c>
      <c r="BG14" s="37">
        <f t="shared" ca="1" si="111"/>
        <v>5.8857485982796121</v>
      </c>
      <c r="BH14" s="37">
        <f t="shared" ca="1" si="112"/>
        <v>1.6733772915471166</v>
      </c>
      <c r="BI14" s="37">
        <f t="shared" ca="1" si="113"/>
        <v>1.4275850058105877</v>
      </c>
      <c r="BJ14" s="37">
        <f t="shared" ca="1" si="114"/>
        <v>0.77707719903916528</v>
      </c>
      <c r="BK14" s="37">
        <f t="shared" ca="1" si="115"/>
        <v>2.5311636849769772</v>
      </c>
      <c r="BL14" s="37">
        <f t="shared" ca="1" si="116"/>
        <v>5.7320964846978422</v>
      </c>
      <c r="BM14" s="37">
        <f t="shared" ca="1" si="117"/>
        <v>0.36106066041680523</v>
      </c>
      <c r="BN14" s="37">
        <f t="shared" ca="1" si="118"/>
        <v>0.52982536298124905</v>
      </c>
      <c r="BO14" s="37">
        <f t="shared" ca="1" si="119"/>
        <v>0.20015624823736078</v>
      </c>
      <c r="BP14" s="37">
        <f t="shared" ca="1" si="120"/>
        <v>2.0262596428293387</v>
      </c>
      <c r="BQ14" s="37">
        <f t="shared" ca="1" si="121"/>
        <v>8.4293078710771461</v>
      </c>
      <c r="BR14" s="37">
        <f t="shared" ca="1" si="122"/>
        <v>0.93736902223593677</v>
      </c>
      <c r="BS14" s="37">
        <f t="shared" ca="1" si="123"/>
        <v>0.83594668381485959</v>
      </c>
      <c r="BT14" s="37">
        <f t="shared" ca="1" si="124"/>
        <v>0.71820771426347096</v>
      </c>
      <c r="BU14" s="37">
        <f t="shared" ca="1" si="125"/>
        <v>4.1920322446731566</v>
      </c>
      <c r="BV14" s="37">
        <f t="shared" ca="1" si="126"/>
        <v>5.863409443712321</v>
      </c>
      <c r="BW14" s="37">
        <f t="shared" ca="1" si="127"/>
        <v>1.027634187340138</v>
      </c>
      <c r="BX14" s="37">
        <f t="shared" ca="1" si="128"/>
        <v>2.697250540946595</v>
      </c>
      <c r="BY14" s="37">
        <f t="shared" ca="1" si="129"/>
        <v>3.7043000784068374</v>
      </c>
      <c r="BZ14" s="37">
        <f t="shared" ca="1" si="130"/>
        <v>8.5471019928715908</v>
      </c>
      <c r="CA14" s="37">
        <f t="shared" ca="1" si="131"/>
        <v>3.7043000784068374</v>
      </c>
      <c r="CB14" s="37">
        <f t="shared" ca="1" si="132"/>
        <v>4.7177844507628777</v>
      </c>
      <c r="CC14" s="37">
        <f t="shared" ca="1" si="133"/>
        <v>10.755616232896276</v>
      </c>
      <c r="CD14" s="37">
        <f t="shared" ca="1" si="134"/>
        <v>4.7177844507628777</v>
      </c>
      <c r="CE14" s="37">
        <f t="shared" ca="1" si="135"/>
        <v>1.6608685596961792</v>
      </c>
    </row>
    <row r="15" spans="1:83" x14ac:dyDescent="0.25">
      <c r="A15" t="str">
        <f>PLANTILLA!D19</f>
        <v>J. G. Peñuela</v>
      </c>
      <c r="B15">
        <f>PLANTILLA!E19</f>
        <v>18</v>
      </c>
      <c r="C15" s="33">
        <f ca="1">PLANTILLA!F19</f>
        <v>30</v>
      </c>
      <c r="D15" s="220" t="str">
        <f>PLANTILLA!G19</f>
        <v>IMP</v>
      </c>
      <c r="E15" s="30">
        <f>PLANTILLA!M19</f>
        <v>43054</v>
      </c>
      <c r="F15" s="47">
        <f>PLANTILLA!Q19</f>
        <v>6</v>
      </c>
      <c r="G15" s="48">
        <f t="shared" si="1"/>
        <v>0.92582009977255142</v>
      </c>
      <c r="H15" s="48">
        <f t="shared" si="2"/>
        <v>0.99928545900129484</v>
      </c>
      <c r="I15" s="51">
        <f t="shared" ca="1" si="3"/>
        <v>0.61721339984836776</v>
      </c>
      <c r="J15" s="39">
        <f>PLANTILLA!I19</f>
        <v>1.6</v>
      </c>
      <c r="K15" s="46">
        <f>PLANTILLA!X19</f>
        <v>0</v>
      </c>
      <c r="L15" s="46">
        <f>PLANTILLA!Y19</f>
        <v>3</v>
      </c>
      <c r="M15" s="46">
        <f>PLANTILLA!Z19</f>
        <v>5</v>
      </c>
      <c r="N15" s="46">
        <f>PLANTILLA!AA19</f>
        <v>4</v>
      </c>
      <c r="O15" s="46">
        <f>PLANTILLA!AB19</f>
        <v>5</v>
      </c>
      <c r="P15" s="46">
        <f>PLANTILLA!AC19</f>
        <v>7.6016666666666675</v>
      </c>
      <c r="Q15" s="46">
        <f>PLANTILLA!AD19</f>
        <v>3</v>
      </c>
      <c r="R15" s="46">
        <f t="shared" si="70"/>
        <v>2</v>
      </c>
      <c r="S15" s="46">
        <f t="shared" si="71"/>
        <v>0.47008333333333335</v>
      </c>
      <c r="T15" s="46">
        <f t="shared" si="72"/>
        <v>0.21000000000000002</v>
      </c>
      <c r="U15" s="46">
        <f t="shared" ca="1" si="73"/>
        <v>3.6008600476903321</v>
      </c>
      <c r="V15" s="46">
        <f t="shared" ca="1" si="74"/>
        <v>3.8865942599859933</v>
      </c>
      <c r="W15" s="37">
        <f t="shared" ca="1" si="75"/>
        <v>1.6044229578791214</v>
      </c>
      <c r="X15" s="37">
        <f t="shared" ca="1" si="76"/>
        <v>2.4231810293493079</v>
      </c>
      <c r="Y15" s="37">
        <f t="shared" ca="1" si="77"/>
        <v>1.6044229578791214</v>
      </c>
      <c r="Z15" s="37">
        <f t="shared" ca="1" si="78"/>
        <v>1.9786119709358241</v>
      </c>
      <c r="AA15" s="37">
        <f t="shared" ca="1" si="79"/>
        <v>3.8893733767229342</v>
      </c>
      <c r="AB15" s="37">
        <f t="shared" ca="1" si="80"/>
        <v>0.98930598546791204</v>
      </c>
      <c r="AC15" s="37">
        <f t="shared" ca="1" si="81"/>
        <v>1.9291672920033966</v>
      </c>
      <c r="AD15" s="37">
        <f t="shared" ca="1" si="82"/>
        <v>1.4494483042901967</v>
      </c>
      <c r="AE15" s="37">
        <f t="shared" ca="1" si="83"/>
        <v>2.8120169513706812</v>
      </c>
      <c r="AF15" s="37">
        <f t="shared" ca="1" si="84"/>
        <v>0.72472415214509833</v>
      </c>
      <c r="AG15" s="37">
        <f t="shared" ca="1" si="85"/>
        <v>3.1207117958878476</v>
      </c>
      <c r="AH15" s="37">
        <f t="shared" ca="1" si="86"/>
        <v>3.5782235065850996</v>
      </c>
      <c r="AI15" s="37">
        <f t="shared" ca="1" si="87"/>
        <v>1.7760803762486652</v>
      </c>
      <c r="AJ15" s="37">
        <f t="shared" ca="1" si="88"/>
        <v>0.98352535391272999</v>
      </c>
      <c r="AK15" s="37">
        <f t="shared" ca="1" si="89"/>
        <v>2.8749515455130847</v>
      </c>
      <c r="AL15" s="37">
        <f t="shared" ca="1" si="90"/>
        <v>2.9325875260490926</v>
      </c>
      <c r="AM15" s="37">
        <f t="shared" ca="1" si="91"/>
        <v>3.0373548463382969</v>
      </c>
      <c r="AN15" s="37">
        <f t="shared" ca="1" si="92"/>
        <v>0.64952535391273003</v>
      </c>
      <c r="AO15" s="37">
        <f t="shared" ca="1" si="93"/>
        <v>0.83213953249620498</v>
      </c>
      <c r="AP15" s="37">
        <f t="shared" ca="1" si="94"/>
        <v>1.0501308117151922</v>
      </c>
      <c r="AQ15" s="37">
        <f t="shared" ca="1" si="95"/>
        <v>2.310287785773423</v>
      </c>
      <c r="AR15" s="37">
        <f t="shared" ca="1" si="96"/>
        <v>0.52506540585759609</v>
      </c>
      <c r="AS15" s="37">
        <f t="shared" ca="1" si="97"/>
        <v>5.5595684676264492</v>
      </c>
      <c r="AT15" s="37">
        <f t="shared" ca="1" si="98"/>
        <v>0.76561853897398136</v>
      </c>
      <c r="AU15" s="37">
        <f t="shared" ca="1" si="99"/>
        <v>2.1756747327131531</v>
      </c>
      <c r="AV15" s="37">
        <f t="shared" ca="1" si="100"/>
        <v>0.38280926948699068</v>
      </c>
      <c r="AW15" s="37">
        <f t="shared" ca="1" si="101"/>
        <v>0.73509156820063459</v>
      </c>
      <c r="AX15" s="37">
        <f t="shared" ca="1" si="102"/>
        <v>1.5557493506891737</v>
      </c>
      <c r="AY15" s="37">
        <f t="shared" ca="1" si="103"/>
        <v>0.3675457841003173</v>
      </c>
      <c r="AZ15" s="37">
        <f t="shared" ca="1" si="104"/>
        <v>5.8893733767229337</v>
      </c>
      <c r="BA15" s="37">
        <f t="shared" ca="1" si="105"/>
        <v>1.4900114643109021</v>
      </c>
      <c r="BB15" s="37">
        <f t="shared" ca="1" si="106"/>
        <v>3.7913947305743374</v>
      </c>
      <c r="BC15" s="37">
        <f t="shared" ca="1" si="107"/>
        <v>0.74500573215545107</v>
      </c>
      <c r="BD15" s="37">
        <f t="shared" ca="1" si="108"/>
        <v>1.1318076526263738</v>
      </c>
      <c r="BE15" s="37">
        <f t="shared" ca="1" si="109"/>
        <v>1.3535019350995809</v>
      </c>
      <c r="BF15" s="37">
        <f t="shared" ca="1" si="110"/>
        <v>5.1885379448929045</v>
      </c>
      <c r="BG15" s="37">
        <f t="shared" ca="1" si="111"/>
        <v>4.6616529319066879</v>
      </c>
      <c r="BH15" s="37">
        <f t="shared" ca="1" si="112"/>
        <v>1.419338983790227</v>
      </c>
      <c r="BI15" s="37">
        <f t="shared" ca="1" si="113"/>
        <v>1.8863460877106231</v>
      </c>
      <c r="BJ15" s="37">
        <f t="shared" ca="1" si="114"/>
        <v>1.0267945714548548</v>
      </c>
      <c r="BK15" s="37">
        <f t="shared" ca="1" si="115"/>
        <v>2.2438512565314377</v>
      </c>
      <c r="BL15" s="37">
        <f t="shared" ca="1" si="116"/>
        <v>4.4743123312558444</v>
      </c>
      <c r="BM15" s="37">
        <f t="shared" ca="1" si="117"/>
        <v>0.30624741558959256</v>
      </c>
      <c r="BN15" s="37">
        <f t="shared" ca="1" si="118"/>
        <v>0.70008720781012812</v>
      </c>
      <c r="BO15" s="37">
        <f t="shared" ca="1" si="119"/>
        <v>0.26447738961715955</v>
      </c>
      <c r="BP15" s="37">
        <f t="shared" ca="1" si="120"/>
        <v>1.7962588799004948</v>
      </c>
      <c r="BQ15" s="37">
        <f t="shared" ca="1" si="121"/>
        <v>6.5737341624656924</v>
      </c>
      <c r="BR15" s="37">
        <f t="shared" ca="1" si="122"/>
        <v>0.79506540585759611</v>
      </c>
      <c r="BS15" s="37">
        <f t="shared" ca="1" si="123"/>
        <v>1.1045820389893133</v>
      </c>
      <c r="BT15" s="37">
        <f t="shared" ca="1" si="124"/>
        <v>0.94900710392039589</v>
      </c>
      <c r="BU15" s="37">
        <f t="shared" ca="1" si="125"/>
        <v>3.7161946007121713</v>
      </c>
      <c r="BV15" s="37">
        <f t="shared" ca="1" si="126"/>
        <v>4.5689891721670257</v>
      </c>
      <c r="BW15" s="37">
        <f t="shared" ca="1" si="127"/>
        <v>0.87162725975499411</v>
      </c>
      <c r="BX15" s="37">
        <f t="shared" ca="1" si="128"/>
        <v>2.3910855909495115</v>
      </c>
      <c r="BY15" s="37">
        <f t="shared" ca="1" si="129"/>
        <v>3.2547751959393159</v>
      </c>
      <c r="BZ15" s="37">
        <f t="shared" ca="1" si="130"/>
        <v>8.148206088856691</v>
      </c>
      <c r="CA15" s="37">
        <f t="shared" ca="1" si="131"/>
        <v>3.2547751959393159</v>
      </c>
      <c r="CB15" s="37">
        <f t="shared" ca="1" si="132"/>
        <v>4.4939496136983887</v>
      </c>
      <c r="CC15" s="37">
        <f t="shared" ca="1" si="133"/>
        <v>10.664218819400364</v>
      </c>
      <c r="CD15" s="37">
        <f t="shared" ca="1" si="134"/>
        <v>4.4939496136983887</v>
      </c>
      <c r="CE15" s="37">
        <f t="shared" ca="1" si="135"/>
        <v>1.4723433441807334</v>
      </c>
    </row>
    <row r="16" spans="1:83" x14ac:dyDescent="0.25">
      <c r="A16" t="str">
        <f>PLANTILLA!D20</f>
        <v>Paulo Beltrán</v>
      </c>
      <c r="B16">
        <f>PLANTILLA!E20</f>
        <v>18</v>
      </c>
      <c r="C16" s="33">
        <f ca="1">PLANTILLA!F20</f>
        <v>38</v>
      </c>
      <c r="D16" s="220" t="str">
        <f>PLANTILLA!G20</f>
        <v>RAP</v>
      </c>
      <c r="E16" s="30">
        <f>PLANTILLA!M20</f>
        <v>43046</v>
      </c>
      <c r="F16" s="47">
        <f>PLANTILLA!Q20</f>
        <v>7</v>
      </c>
      <c r="G16" s="48">
        <f t="shared" si="1"/>
        <v>1</v>
      </c>
      <c r="H16" s="48">
        <f t="shared" si="2"/>
        <v>1</v>
      </c>
      <c r="I16" s="51">
        <f t="shared" ca="1" si="3"/>
        <v>0.63620901028035182</v>
      </c>
      <c r="J16" s="39">
        <f>PLANTILLA!I20</f>
        <v>1.2</v>
      </c>
      <c r="K16" s="46">
        <f>PLANTILLA!X20</f>
        <v>0</v>
      </c>
      <c r="L16" s="46">
        <f>PLANTILLA!Y20</f>
        <v>4</v>
      </c>
      <c r="M16" s="46">
        <f>PLANTILLA!Z20</f>
        <v>2</v>
      </c>
      <c r="N16" s="46">
        <f>PLANTILLA!AA20</f>
        <v>5</v>
      </c>
      <c r="O16" s="46">
        <f>PLANTILLA!AB20</f>
        <v>4.25</v>
      </c>
      <c r="P16" s="46">
        <f>PLANTILLA!AC20</f>
        <v>4.7137254901960759</v>
      </c>
      <c r="Q16" s="46">
        <f>PLANTILLA!AD20</f>
        <v>4</v>
      </c>
      <c r="R16" s="46">
        <f t="shared" si="70"/>
        <v>1.9375</v>
      </c>
      <c r="S16" s="46">
        <f t="shared" si="71"/>
        <v>0.35568627450980383</v>
      </c>
      <c r="T16" s="46">
        <f t="shared" si="72"/>
        <v>0.27999999999999997</v>
      </c>
      <c r="U16" s="46">
        <f t="shared" ca="1" si="73"/>
        <v>4.7417840050105182</v>
      </c>
      <c r="V16" s="46">
        <f t="shared" ca="1" si="74"/>
        <v>4.7417840050105182</v>
      </c>
      <c r="W16" s="37">
        <f t="shared" ca="1" si="75"/>
        <v>1.7515774363741825</v>
      </c>
      <c r="X16" s="37">
        <f t="shared" ca="1" si="76"/>
        <v>2.6576431504685791</v>
      </c>
      <c r="Y16" s="37">
        <f t="shared" ca="1" si="77"/>
        <v>1.7515774363741825</v>
      </c>
      <c r="Z16" s="37">
        <f t="shared" ca="1" si="78"/>
        <v>2.4175847384449018</v>
      </c>
      <c r="AA16" s="37">
        <f t="shared" ca="1" si="79"/>
        <v>4.7417840050105182</v>
      </c>
      <c r="AB16" s="37">
        <f t="shared" ca="1" si="80"/>
        <v>1.2087923692224509</v>
      </c>
      <c r="AC16" s="37">
        <f t="shared" ca="1" si="81"/>
        <v>1.1962754659914134</v>
      </c>
      <c r="AD16" s="37">
        <f t="shared" ca="1" si="82"/>
        <v>1.7710213781631257</v>
      </c>
      <c r="AE16" s="37">
        <f t="shared" ca="1" si="83"/>
        <v>3.4283098356226045</v>
      </c>
      <c r="AF16" s="37">
        <f t="shared" ca="1" si="84"/>
        <v>0.88551068908156283</v>
      </c>
      <c r="AG16" s="37">
        <f t="shared" ca="1" si="85"/>
        <v>1.9351514891037573</v>
      </c>
      <c r="AH16" s="37">
        <f t="shared" ca="1" si="86"/>
        <v>4.3624412846096767</v>
      </c>
      <c r="AI16" s="37">
        <f t="shared" ca="1" si="87"/>
        <v>2.134083560446038</v>
      </c>
      <c r="AJ16" s="37">
        <f t="shared" ca="1" si="88"/>
        <v>0.45787792883675654</v>
      </c>
      <c r="AK16" s="37">
        <f t="shared" ca="1" si="89"/>
        <v>3.3761689949461844</v>
      </c>
      <c r="AL16" s="37">
        <f t="shared" ca="1" si="90"/>
        <v>3.5753051397779307</v>
      </c>
      <c r="AM16" s="37">
        <f t="shared" ca="1" si="91"/>
        <v>3.6495921758352532</v>
      </c>
      <c r="AN16" s="37">
        <f t="shared" ca="1" si="92"/>
        <v>0.79187792883675656</v>
      </c>
      <c r="AO16" s="37">
        <f t="shared" ca="1" si="93"/>
        <v>0.77163379344302918</v>
      </c>
      <c r="AP16" s="37">
        <f t="shared" ca="1" si="94"/>
        <v>1.2802816813528399</v>
      </c>
      <c r="AQ16" s="37">
        <f t="shared" ca="1" si="95"/>
        <v>2.8166196989762478</v>
      </c>
      <c r="AR16" s="37">
        <f t="shared" ca="1" si="96"/>
        <v>0.64014084067641996</v>
      </c>
      <c r="AS16" s="37">
        <f t="shared" ca="1" si="97"/>
        <v>2.5882441007299293</v>
      </c>
      <c r="AT16" s="37">
        <f t="shared" ca="1" si="98"/>
        <v>0.6489319206513674</v>
      </c>
      <c r="AU16" s="37">
        <f t="shared" ca="1" si="99"/>
        <v>1.542817223272003</v>
      </c>
      <c r="AV16" s="37">
        <f t="shared" ca="1" si="100"/>
        <v>0.3244659603256837</v>
      </c>
      <c r="AW16" s="37">
        <f t="shared" ca="1" si="101"/>
        <v>0.89619717694698797</v>
      </c>
      <c r="AX16" s="37">
        <f t="shared" ca="1" si="102"/>
        <v>1.8967136020042075</v>
      </c>
      <c r="AY16" s="37">
        <f t="shared" ca="1" si="103"/>
        <v>0.44809858847349399</v>
      </c>
      <c r="AZ16" s="37">
        <f t="shared" ca="1" si="104"/>
        <v>2.7417840050105182</v>
      </c>
      <c r="BA16" s="37">
        <f t="shared" ca="1" si="105"/>
        <v>1.2629213532676611</v>
      </c>
      <c r="BB16" s="37">
        <f t="shared" ca="1" si="106"/>
        <v>2.8478553397019715</v>
      </c>
      <c r="BC16" s="37">
        <f t="shared" ca="1" si="107"/>
        <v>0.63146067663383054</v>
      </c>
      <c r="BD16" s="37">
        <f t="shared" ca="1" si="108"/>
        <v>1.3798591454580607</v>
      </c>
      <c r="BE16" s="37">
        <f t="shared" ca="1" si="109"/>
        <v>1.6501408337436603</v>
      </c>
      <c r="BF16" s="37">
        <f t="shared" ca="1" si="110"/>
        <v>2.4155117084142668</v>
      </c>
      <c r="BG16" s="37">
        <f t="shared" ca="1" si="111"/>
        <v>4.8681959804543506</v>
      </c>
      <c r="BH16" s="37">
        <f t="shared" ca="1" si="112"/>
        <v>1.2030199452075347</v>
      </c>
      <c r="BI16" s="37">
        <f t="shared" ca="1" si="113"/>
        <v>2.2997652424301012</v>
      </c>
      <c r="BJ16" s="37">
        <f t="shared" ca="1" si="114"/>
        <v>1.2518309773227769</v>
      </c>
      <c r="BK16" s="37">
        <f t="shared" ca="1" si="115"/>
        <v>1.0446197059090074</v>
      </c>
      <c r="BL16" s="37">
        <f t="shared" ca="1" si="116"/>
        <v>4.8675692203791936</v>
      </c>
      <c r="BM16" s="37">
        <f t="shared" ca="1" si="117"/>
        <v>0.25957276826054693</v>
      </c>
      <c r="BN16" s="37">
        <f t="shared" ca="1" si="118"/>
        <v>0.85352112090189325</v>
      </c>
      <c r="BO16" s="37">
        <f t="shared" ca="1" si="119"/>
        <v>0.32244131234071527</v>
      </c>
      <c r="BP16" s="37">
        <f t="shared" ca="1" si="120"/>
        <v>0.83624412152820804</v>
      </c>
      <c r="BQ16" s="37">
        <f t="shared" ca="1" si="121"/>
        <v>7.1694342304435263</v>
      </c>
      <c r="BR16" s="37">
        <f t="shared" ca="1" si="122"/>
        <v>0.67389084067642002</v>
      </c>
      <c r="BS16" s="37">
        <f t="shared" ca="1" si="123"/>
        <v>1.3466666574229871</v>
      </c>
      <c r="BT16" s="37">
        <f t="shared" ca="1" si="124"/>
        <v>1.1569952972225663</v>
      </c>
      <c r="BU16" s="37">
        <f t="shared" ca="1" si="125"/>
        <v>1.730065707161637</v>
      </c>
      <c r="BV16" s="37">
        <f t="shared" ca="1" si="126"/>
        <v>4.9941466844844138</v>
      </c>
      <c r="BW16" s="37">
        <f t="shared" ca="1" si="127"/>
        <v>0.73878403274155668</v>
      </c>
      <c r="BX16" s="37">
        <f t="shared" ca="1" si="128"/>
        <v>1.1131643060342704</v>
      </c>
      <c r="BY16" s="37">
        <f t="shared" ca="1" si="129"/>
        <v>2.7676126038653814</v>
      </c>
      <c r="BZ16" s="37">
        <f t="shared" ca="1" si="130"/>
        <v>5.8911007504261557</v>
      </c>
      <c r="CA16" s="37">
        <f t="shared" ca="1" si="131"/>
        <v>2.7676126038653814</v>
      </c>
      <c r="CB16" s="37">
        <f t="shared" ca="1" si="132"/>
        <v>3.4620490821803753</v>
      </c>
      <c r="CC16" s="37">
        <f t="shared" ca="1" si="133"/>
        <v>7.2974777930554753</v>
      </c>
      <c r="CD16" s="37">
        <f t="shared" ca="1" si="134"/>
        <v>3.4620490821803753</v>
      </c>
      <c r="CE16" s="37">
        <f t="shared" ca="1" si="135"/>
        <v>0.68544600125262956</v>
      </c>
    </row>
    <row r="17" spans="1:83" x14ac:dyDescent="0.25">
      <c r="A17" t="str">
        <f>PLANTILLA!D22</f>
        <v>Nicolás Eans</v>
      </c>
      <c r="B17">
        <f>PLANTILLA!E22</f>
        <v>18</v>
      </c>
      <c r="C17" s="33">
        <f ca="1">PLANTILLA!F22</f>
        <v>71</v>
      </c>
      <c r="D17" s="220" t="str">
        <f>PLANTILLA!G22</f>
        <v>TEC</v>
      </c>
      <c r="E17" s="30">
        <f>PLANTILLA!M22</f>
        <v>43046</v>
      </c>
      <c r="F17" s="47">
        <f>PLANTILLA!Q22</f>
        <v>7</v>
      </c>
      <c r="G17" s="48">
        <f t="shared" si="1"/>
        <v>1</v>
      </c>
      <c r="H17" s="48">
        <f t="shared" si="2"/>
        <v>1</v>
      </c>
      <c r="I17" s="51">
        <f t="shared" ca="1" si="3"/>
        <v>0.63620901028035182</v>
      </c>
      <c r="J17" s="39">
        <f>PLANTILLA!I22</f>
        <v>1</v>
      </c>
      <c r="K17" s="46">
        <f>PLANTILLA!X22</f>
        <v>0</v>
      </c>
      <c r="L17" s="46">
        <f>PLANTILLA!Y22</f>
        <v>5</v>
      </c>
      <c r="M17" s="46">
        <f>PLANTILLA!Z22</f>
        <v>2</v>
      </c>
      <c r="N17" s="46">
        <f>PLANTILLA!AA22</f>
        <v>3</v>
      </c>
      <c r="O17" s="46">
        <f>PLANTILLA!AB22</f>
        <v>5</v>
      </c>
      <c r="P17" s="46">
        <f>PLANTILLA!AC22</f>
        <v>6.5652173913043503</v>
      </c>
      <c r="Q17" s="46">
        <f>PLANTILLA!AD22</f>
        <v>3</v>
      </c>
      <c r="R17" s="46">
        <f t="shared" si="70"/>
        <v>2.25</v>
      </c>
      <c r="S17" s="46">
        <f t="shared" si="71"/>
        <v>0.41826086956521752</v>
      </c>
      <c r="T17" s="46">
        <f t="shared" si="72"/>
        <v>0.28999999999999998</v>
      </c>
      <c r="U17" s="46">
        <f t="shared" ca="1" si="73"/>
        <v>3.6362090102803517</v>
      </c>
      <c r="V17" s="46">
        <f t="shared" ca="1" si="74"/>
        <v>3.6362090102803517</v>
      </c>
      <c r="W17" s="37">
        <f t="shared" ca="1" si="75"/>
        <v>1.9354104659747473</v>
      </c>
      <c r="X17" s="37">
        <f t="shared" ca="1" si="76"/>
        <v>2.946345832271934</v>
      </c>
      <c r="Y17" s="37">
        <f t="shared" ca="1" si="77"/>
        <v>1.9354104659747473</v>
      </c>
      <c r="Z17" s="37">
        <f t="shared" ca="1" si="78"/>
        <v>2.8791080411641361</v>
      </c>
      <c r="AA17" s="37">
        <f t="shared" ca="1" si="79"/>
        <v>5.6362090102803517</v>
      </c>
      <c r="AB17" s="37">
        <f t="shared" ca="1" si="80"/>
        <v>1.4395540205820681</v>
      </c>
      <c r="AC17" s="37">
        <f t="shared" ca="1" si="81"/>
        <v>1.1711486172456338</v>
      </c>
      <c r="AD17" s="37">
        <f t="shared" ca="1" si="82"/>
        <v>2.1091140301551228</v>
      </c>
      <c r="AE17" s="37">
        <f t="shared" ca="1" si="83"/>
        <v>4.0749791144326943</v>
      </c>
      <c r="AF17" s="37">
        <f t="shared" ca="1" si="84"/>
        <v>1.0545570150775614</v>
      </c>
      <c r="AG17" s="37">
        <f t="shared" ca="1" si="85"/>
        <v>1.8945051161326432</v>
      </c>
      <c r="AH17" s="37">
        <f t="shared" ca="1" si="86"/>
        <v>5.185312289457924</v>
      </c>
      <c r="AI17" s="37">
        <f t="shared" ca="1" si="87"/>
        <v>2.5043755126277487</v>
      </c>
      <c r="AJ17" s="37">
        <f t="shared" ca="1" si="88"/>
        <v>0.44024690471681877</v>
      </c>
      <c r="AK17" s="37">
        <f t="shared" ca="1" si="89"/>
        <v>2.1380908980448465</v>
      </c>
      <c r="AL17" s="37">
        <f t="shared" ca="1" si="90"/>
        <v>4.2497015937513849</v>
      </c>
      <c r="AM17" s="37">
        <f t="shared" ca="1" si="91"/>
        <v>4.2828450795662949</v>
      </c>
      <c r="AN17" s="37">
        <f t="shared" ca="1" si="92"/>
        <v>0.60724690471681875</v>
      </c>
      <c r="AO17" s="37">
        <f t="shared" ca="1" si="93"/>
        <v>0.83122819496074118</v>
      </c>
      <c r="AP17" s="37">
        <f t="shared" ca="1" si="94"/>
        <v>1.5217764327756951</v>
      </c>
      <c r="AQ17" s="37">
        <f t="shared" ca="1" si="95"/>
        <v>3.3479081521065286</v>
      </c>
      <c r="AR17" s="37">
        <f t="shared" ca="1" si="96"/>
        <v>0.76088821638784754</v>
      </c>
      <c r="AS17" s="37">
        <f t="shared" ca="1" si="97"/>
        <v>2.4885813057046517</v>
      </c>
      <c r="AT17" s="37">
        <f t="shared" ca="1" si="98"/>
        <v>0.7327071713364457</v>
      </c>
      <c r="AU17" s="37">
        <f t="shared" ca="1" si="99"/>
        <v>1.9221918487077956</v>
      </c>
      <c r="AV17" s="37">
        <f t="shared" ca="1" si="100"/>
        <v>0.36635358566822285</v>
      </c>
      <c r="AW17" s="37">
        <f t="shared" ca="1" si="101"/>
        <v>1.0652435029429865</v>
      </c>
      <c r="AX17" s="37">
        <f t="shared" ca="1" si="102"/>
        <v>2.2544836041121408</v>
      </c>
      <c r="AY17" s="37">
        <f t="shared" ca="1" si="103"/>
        <v>0.53262175147149327</v>
      </c>
      <c r="AZ17" s="37">
        <f t="shared" ca="1" si="104"/>
        <v>2.6362090102803517</v>
      </c>
      <c r="BA17" s="37">
        <f t="shared" ca="1" si="105"/>
        <v>1.4259608796009291</v>
      </c>
      <c r="BB17" s="37">
        <f t="shared" ca="1" si="106"/>
        <v>3.4342468168383875</v>
      </c>
      <c r="BC17" s="37">
        <f t="shared" ca="1" si="107"/>
        <v>0.71298043980046455</v>
      </c>
      <c r="BD17" s="37">
        <f t="shared" ca="1" si="108"/>
        <v>1.6401368219915822</v>
      </c>
      <c r="BE17" s="37">
        <f t="shared" ca="1" si="109"/>
        <v>1.9614007355775622</v>
      </c>
      <c r="BF17" s="37">
        <f t="shared" ca="1" si="110"/>
        <v>2.3225001380569901</v>
      </c>
      <c r="BG17" s="37">
        <f t="shared" ca="1" si="111"/>
        <v>3.8625898101392324</v>
      </c>
      <c r="BH17" s="37">
        <f t="shared" ca="1" si="112"/>
        <v>1.3583263714775646</v>
      </c>
      <c r="BI17" s="37">
        <f t="shared" ca="1" si="113"/>
        <v>2.7335613699859707</v>
      </c>
      <c r="BJ17" s="37">
        <f t="shared" ca="1" si="114"/>
        <v>1.487959178714013</v>
      </c>
      <c r="BK17" s="37">
        <f t="shared" ca="1" si="115"/>
        <v>1.004395632916814</v>
      </c>
      <c r="BL17" s="37">
        <f t="shared" ca="1" si="116"/>
        <v>3.5800466749850277</v>
      </c>
      <c r="BM17" s="37">
        <f t="shared" ca="1" si="117"/>
        <v>0.29308286853457827</v>
      </c>
      <c r="BN17" s="37">
        <f t="shared" ca="1" si="118"/>
        <v>1.0145176218504632</v>
      </c>
      <c r="BO17" s="37">
        <f t="shared" ca="1" si="119"/>
        <v>0.38326221269906396</v>
      </c>
      <c r="BP17" s="37">
        <f t="shared" ca="1" si="120"/>
        <v>0.80404374813550727</v>
      </c>
      <c r="BQ17" s="37">
        <f t="shared" ca="1" si="121"/>
        <v>5.2481647872205324</v>
      </c>
      <c r="BR17" s="37">
        <f t="shared" ca="1" si="122"/>
        <v>0.76088821638784754</v>
      </c>
      <c r="BS17" s="37">
        <f t="shared" ca="1" si="123"/>
        <v>1.6006833589196197</v>
      </c>
      <c r="BT17" s="37">
        <f t="shared" ca="1" si="124"/>
        <v>1.3752349985084058</v>
      </c>
      <c r="BU17" s="37">
        <f t="shared" ca="1" si="125"/>
        <v>1.6634478854869019</v>
      </c>
      <c r="BV17" s="37">
        <f t="shared" ca="1" si="126"/>
        <v>3.6404070642009145</v>
      </c>
      <c r="BW17" s="37">
        <f t="shared" ca="1" si="127"/>
        <v>0.83415893352149206</v>
      </c>
      <c r="BX17" s="37">
        <f t="shared" ca="1" si="128"/>
        <v>1.0703008581738229</v>
      </c>
      <c r="BY17" s="37">
        <f t="shared" ca="1" si="129"/>
        <v>3.2861442238741438</v>
      </c>
      <c r="BZ17" s="37">
        <f t="shared" ca="1" si="130"/>
        <v>7.2588930847061119</v>
      </c>
      <c r="CA17" s="37">
        <f t="shared" ca="1" si="131"/>
        <v>3.2861442238741438</v>
      </c>
      <c r="CB17" s="37">
        <f t="shared" ca="1" si="132"/>
        <v>3.6985756047090077</v>
      </c>
      <c r="CC17" s="37">
        <f t="shared" ca="1" si="133"/>
        <v>9.2811875263781509</v>
      </c>
      <c r="CD17" s="37">
        <f t="shared" ca="1" si="134"/>
        <v>3.6985756047090077</v>
      </c>
      <c r="CE17" s="37">
        <f t="shared" ca="1" si="135"/>
        <v>0.65905225257008793</v>
      </c>
    </row>
    <row r="18" spans="1:83" x14ac:dyDescent="0.25">
      <c r="A18" t="str">
        <f>PLANTILLA!D23</f>
        <v>Noel Fuster</v>
      </c>
      <c r="B18">
        <f>PLANTILLA!E23</f>
        <v>18</v>
      </c>
      <c r="C18" s="33">
        <f ca="1">PLANTILLA!F23</f>
        <v>27</v>
      </c>
      <c r="D18" s="220" t="str">
        <f>PLANTILLA!G23</f>
        <v>IMP</v>
      </c>
      <c r="E18" s="30">
        <f>PLANTILLA!M23</f>
        <v>43046</v>
      </c>
      <c r="F18" s="47">
        <f>PLANTILLA!Q23</f>
        <v>7</v>
      </c>
      <c r="G18" s="48">
        <f t="shared" si="1"/>
        <v>1</v>
      </c>
      <c r="H18" s="48">
        <f t="shared" si="2"/>
        <v>1</v>
      </c>
      <c r="I18" s="51">
        <f t="shared" ca="1" si="3"/>
        <v>0.63620901028035182</v>
      </c>
      <c r="J18" s="39">
        <f>PLANTILLA!I23</f>
        <v>0.5</v>
      </c>
      <c r="K18" s="46">
        <f>PLANTILLA!X23</f>
        <v>0</v>
      </c>
      <c r="L18" s="46">
        <f>PLANTILLA!Y23</f>
        <v>4</v>
      </c>
      <c r="M18" s="46">
        <f>PLANTILLA!Z23</f>
        <v>2</v>
      </c>
      <c r="N18" s="46">
        <f>PLANTILLA!AA23</f>
        <v>2</v>
      </c>
      <c r="O18" s="46">
        <f>PLANTILLA!AB23</f>
        <v>3.0896666666666666</v>
      </c>
      <c r="P18" s="46">
        <f>PLANTILLA!AC23</f>
        <v>5.5527777777777763</v>
      </c>
      <c r="Q18" s="46">
        <f>PLANTILLA!AD23</f>
        <v>2.5</v>
      </c>
      <c r="R18" s="46">
        <f t="shared" ref="R18:R19" si="136">((2*(O18+1))+(L18+1))/8</f>
        <v>1.6474166666666665</v>
      </c>
      <c r="S18" s="46">
        <f t="shared" ref="S18:S19" si="137">(0.5*P18+ 0.3*Q18)/10</f>
        <v>0.35263888888888884</v>
      </c>
      <c r="T18" s="46">
        <f t="shared" ref="T18:T19" si="138">(0.4*L18+0.3*Q18)/10</f>
        <v>0.23500000000000001</v>
      </c>
      <c r="U18" s="46">
        <f t="shared" ref="U18:U19" ca="1" si="139">IF(TODAY()-E18&gt;335,(Q18+1+(LOG(J18)*4/3))*(F18/7)^0.5,(Q18+((TODAY()-E18)^0.5)/(336^0.5)+(LOG(J18)*4/3))*(F18/7)^0.5)</f>
        <v>2.7348356827283768</v>
      </c>
      <c r="V18" s="46">
        <f t="shared" ref="V18:V19" ca="1" si="140">IF(F18=7,U18,IF(TODAY()-E18&gt;335,(Q18+1+(LOG(J18)*4/3))*((F18+0.99)/7)^0.5,(Q18+((TODAY()-E18)^0.5)/(336^0.5)+(LOG(J18)*4/3))*((F18+0.99)/7)^0.5))</f>
        <v>2.7348356827283768</v>
      </c>
      <c r="W18" s="37">
        <f t="shared" ref="W18:W19" ca="1" si="141">IF(TODAY()-E18&gt;335,((K18+1+(LOG(J18)*4/3))*0.597)+((L18+1+(LOG(J18)*4/3))*0.276),((K18+(((TODAY()-E18)^0.5)/(336^0.5))+(LOG(J18)*4/3))*0.597)+((L18+(((TODAY()-E18)^0.5)/(336^0.5))+(LOG(J18)*4/3))*0.276))</f>
        <v>1.3090115510218729</v>
      </c>
      <c r="X18" s="37">
        <f t="shared" ref="X18:X19" ca="1" si="142">IF(TODAY()-E18&gt;335,((K18+1+(LOG(J18)*4/3))*0.866)+((L18+1+(LOG(J18)*4/3))*0.425),((K18+(((TODAY()-E18)^0.5)/(336^0.5))+(LOG(J18)*4/3))*0.866)+((L18+(((TODAY()-E18)^0.5)/(336^0.5))+(LOG(J18)*4/3))*0.425))</f>
        <v>2.0031728664023345</v>
      </c>
      <c r="Y18" s="37">
        <f t="shared" ref="Y18:Y19" ca="1" si="143">W18</f>
        <v>1.3090115510218729</v>
      </c>
      <c r="Z18" s="37">
        <f t="shared" ref="Z18:Z19" ca="1" si="144">IF(TODAY()-E18&gt;335,((L18+1+(LOG(J18)*4/3))*0.516),((L18+(((TODAY()-E18)^0.5)/(336^0.516))+(LOG(J18)*4/3))*0.516))</f>
        <v>2.1559994041473165</v>
      </c>
      <c r="AA18" s="37">
        <f t="shared" ref="AA18:AA19" ca="1" si="145">IF(TODAY()-E18&gt;335,((L18+1+(LOG(J18)*4/3))*1),((L18+(((TODAY()-E18)^0.5)/(336^0.5))+(LOG(J18)*4/3))*1))</f>
        <v>4.2348356827283764</v>
      </c>
      <c r="AB18" s="37">
        <f t="shared" ref="AB18:AB19" ca="1" si="146">Z18/2</f>
        <v>1.0779997020736583</v>
      </c>
      <c r="AC18" s="37">
        <f t="shared" ref="AC18:AC19" ca="1" si="147">IF(TODAY()-E18&gt;335,((M18+1+(LOG(J18)*4/3))*0.238),((M18+(((TODAY()-E18)^0.5)/(336^0.238))+(LOG(J18)*4/3))*0.238))</f>
        <v>1.0756217652882638</v>
      </c>
      <c r="AD18" s="37">
        <f t="shared" ref="AD18:AD19" ca="1" si="148">IF(TODAY()-E18&gt;335,((L18+1+(LOG(J18)*4/3))*0.378),((L18+(((TODAY()-E18)^0.5)/(336^0.516))+(LOG(J18)*4/3))*0.378))</f>
        <v>1.579394912340476</v>
      </c>
      <c r="AE18" s="37">
        <f t="shared" ref="AE18:AE19" ca="1" si="149">IF(TODAY()-E18&gt;335,((L18+1+(LOG(J18)*4/3))*0.723),((L18+(((TODAY()-E18)^0.5)/(336^0.5))+(LOG(J18)*4/3))*0.723))</f>
        <v>3.0617861986126162</v>
      </c>
      <c r="AF18" s="37">
        <f t="shared" ref="AF18:AF19" ca="1" si="150">AD18/2</f>
        <v>0.78969745617023801</v>
      </c>
      <c r="AG18" s="37">
        <f t="shared" ref="AG18:AG19" ca="1" si="151">IF(TODAY()-E18&gt;335,((M18+1+(LOG(J18)*4/3))*0.385),((M18+(((TODAY()-E18)^0.5)/(336^0.238))+(LOG(J18)*4/3))*0.385))</f>
        <v>1.7399763850251326</v>
      </c>
      <c r="AH18" s="37">
        <f t="shared" ref="AH18:AH19" ca="1" si="152">IF(TODAY()-E18&gt;335,((L18+1+(LOG(J18)*4/3))*0.92),((L18+(((TODAY()-E18)^0.5)/(336^0.5))+(LOG(J18)*4/3))*0.92))</f>
        <v>3.8960488281101067</v>
      </c>
      <c r="AI18" s="37">
        <f t="shared" ref="AI18:AI19" ca="1" si="153">IF(TODAY()-E18&gt;335,((L18+1+(LOG(J18)*4/3))*0.414),((L18+(((TODAY()-E18)^0.5)/(336^0.414))+(LOG(J18)*4/3))*0.414))</f>
        <v>1.9242069550212311</v>
      </c>
      <c r="AJ18" s="37">
        <f t="shared" ref="AJ18:AJ19" ca="1" si="154">IF(TODAY()-E18&gt;335,((M18+1+(LOG(J18)*4/3))*0.167),((M18+(((TODAY()-E18)^0.5)/(336^0.5))+(LOG(J18)*4/3))*0.167))</f>
        <v>0.37321755901563897</v>
      </c>
      <c r="AK18" s="37">
        <f t="shared" ref="AK18:AK19" ca="1" si="155">IF(TODAY()-E18&gt;335,((N18+1+(LOG(J18)*4/3))*0.588),((N18+(((TODAY()-E18)^0.5)/(336^0.5))+(LOG(J18)*4/3))*0.588))</f>
        <v>1.3140833814442856</v>
      </c>
      <c r="AL18" s="37">
        <f t="shared" ref="AL18:AL19" ca="1" si="156">IF(TODAY()-E18&gt;335,((L18+1+(LOG(J18)*4/3))*0.754),((L18+(((TODAY()-E18)^0.5)/(336^0.5))+(LOG(J18)*4/3))*0.754))</f>
        <v>3.1930661047771958</v>
      </c>
      <c r="AM18" s="37">
        <f t="shared" ref="AM18:AM19" ca="1" si="157">IF(TODAY()-E18&gt;335,((L18+1+(LOG(J18)*4/3))*0.708),((L18+(((TODAY()-E18)^0.5)/(336^0.414))+(LOG(J18)*4/3))*0.708))</f>
        <v>3.2906727636594968</v>
      </c>
      <c r="AN18" s="37">
        <f t="shared" ref="AN18:AN19" ca="1" si="158">IF(TODAY()-E18&gt;335,((Q18+1+(LOG(J18)*4/3))*0.167),((Q18+(((TODAY()-E18)^0.5)/(336^0.5))+(LOG(J18)*4/3))*0.167))</f>
        <v>0.45671755901563899</v>
      </c>
      <c r="AO18" s="37">
        <f t="shared" ref="AO18:AO19" ca="1" si="159">IF(TODAY()-E18&gt;335,((R18+1+(LOG(J18)*4/3))*0.288),((R18+(((TODAY()-E18)^0.5)/(336^0.5))+(LOG(J18)*4/3))*0.288))</f>
        <v>0.54208867662577243</v>
      </c>
      <c r="AP18" s="37">
        <f t="shared" ref="AP18:AP19" ca="1" si="160">IF(TODAY()-E18&gt;335,((L18+1+(LOG(J18)*4/3))*0.27),((L18+(((TODAY()-E18)^0.5)/(336^0.5))+(LOG(J18)*4/3))*0.27))</f>
        <v>1.1434056343366616</v>
      </c>
      <c r="AQ18" s="37">
        <f t="shared" ref="AQ18:AQ19" ca="1" si="161">IF(TODAY()-E18&gt;335,((L18+1+(LOG(J18)*4/3))*0.594),((L18+(((TODAY()-E18)^0.5)/(336^0.5))+(LOG(J18)*4/3))*0.594))</f>
        <v>2.5154923955406554</v>
      </c>
      <c r="AR18" s="37">
        <f t="shared" ref="AR18:AR19" ca="1" si="162">AP18/2</f>
        <v>0.57170281716833082</v>
      </c>
      <c r="AS18" s="37">
        <f t="shared" ref="AS18:AS19" ca="1" si="163">IF(TODAY()-E18&gt;335,((M18+1+(LOG(J18)*4/3))*0.944),((M18+(((TODAY()-E18)^0.5)/(336^0.5))+(LOG(J18)*4/3))*0.944))</f>
        <v>2.1096848844955876</v>
      </c>
      <c r="AT18" s="37">
        <f t="shared" ref="AT18:AT19" ca="1" si="164">IF(TODAY()-E18&gt;335,((O18+1+(LOG(J18)*4/3))*0.13),((O18+(((TODAY()-E18)^0.5)/(336^0.5))+(LOG(J18)*4/3))*0.13))</f>
        <v>0.43218530542135564</v>
      </c>
      <c r="AU18" s="37">
        <f t="shared" ref="AU18:AU19" ca="1" si="165">IF(TODAY()-E18&gt;335,((P18+1+(LOG(J18)*4/3))*0.173)+((O18+1+(LOG(J18)*4/3))*0.12),((P18+(((TODAY()-E18)^0.5)/(336^0.5))+(LOG(J18)*4/3))*0.173)+((O18+(((TODAY()-E18)^0.5)/(336^0.5))+(LOG(J18)*4/3))*0.12))</f>
        <v>1.4001974105949697</v>
      </c>
      <c r="AV18" s="37">
        <f t="shared" ref="AV18:AV19" ca="1" si="166">AT18/2</f>
        <v>0.21609265271067782</v>
      </c>
      <c r="AW18" s="37">
        <f t="shared" ref="AW18:AW19" ca="1" si="167">IF(TODAY()-E18&gt;335,((L18+1+(LOG(J18)*4/3))*0.189),((L18+(((TODAY()-E18)^0.5)/(336^0.5))+(LOG(J18)*4/3))*0.189))</f>
        <v>0.80038394403566315</v>
      </c>
      <c r="AX18" s="37">
        <f t="shared" ref="AX18:AX19" ca="1" si="168">IF(TODAY()-E18&gt;335,((L18+1+(LOG(J18)*4/3))*0.4),((L18+(((TODAY()-E18)^0.5)/(336^0.5))+(LOG(J18)*4/3))*0.4))</f>
        <v>1.6939342730913507</v>
      </c>
      <c r="AY18" s="37">
        <f t="shared" ref="AY18:AY19" ca="1" si="169">AW18/2</f>
        <v>0.40019197201783158</v>
      </c>
      <c r="AZ18" s="37">
        <f t="shared" ref="AZ18:AZ19" ca="1" si="170">IF(TODAY()-E18&gt;335,((M18+1+(LOG(J18)*4/3))*1),((M18+(((TODAY()-E18)^0.5)/(336^0.5))+(LOG(J18)*4/3))*1))</f>
        <v>2.2348356827283768</v>
      </c>
      <c r="BA18" s="37">
        <f t="shared" ref="BA18:BA19" ca="1" si="171">IF(TODAY()-E18&gt;335,((O18+1+(LOG(J18)*4/3))*0.253),((O18+(((TODAY()-E18)^0.5)/(336^0.5))+(LOG(J18)*4/3))*0.253))</f>
        <v>0.84109909439694597</v>
      </c>
      <c r="BB18" s="37">
        <f t="shared" ref="BB18:BB19" ca="1" si="172">IF(TODAY()-E18&gt;335,((P18+1+(LOG(J18)*4/3))*0.21)+((O18+1+(LOG(J18)*4/3))*0.341),((P18+(((TODAY()-E18)^0.5)/(336^0.5))+(LOG(J18)*4/3))*0.21)+((O18+(((TODAY()-E18)^0.5)/(336^0.5))+(LOG(J18)*4/3))*0.341))</f>
        <v>2.3490541278500019</v>
      </c>
      <c r="BC18" s="37">
        <f t="shared" ref="BC18:BC19" ca="1" si="173">BA18/2</f>
        <v>0.42054954719847298</v>
      </c>
      <c r="BD18" s="37">
        <f t="shared" ref="BD18:BD19" ca="1" si="174">IF(TODAY()-E18&gt;335,((L18+1+(LOG(J18)*4/3))*0.291),((L18+(((TODAY()-E18)^0.5)/(336^0.5))+(LOG(J18)*4/3))*0.291))</f>
        <v>1.2323371836739574</v>
      </c>
      <c r="BE18" s="37">
        <f t="shared" ref="BE18:BE19" ca="1" si="175">IF(TODAY()-E18&gt;335,((L18+1+(LOG(J18)*4/3))*0.348),((L18+(((TODAY()-E18)^0.5)/(336^0.5))+(LOG(J18)*4/3))*0.348))</f>
        <v>1.473722817589475</v>
      </c>
      <c r="BF18" s="37">
        <f t="shared" ref="BF18:BF19" ca="1" si="176">IF(TODAY()-E18&gt;335,((M18+1+(LOG(J18)*4/3))*0.881),((M18+(((TODAY()-E18)^0.5)/(336^0.5))+(LOG(J18)*4/3))*0.881))</f>
        <v>1.9688902364837</v>
      </c>
      <c r="BG18" s="37">
        <f t="shared" ref="BG18:BG19" ca="1" si="177">IF(TODAY()-E18&gt;335,((N18+1+(LOG(J18)*4/3))*0.574)+((O18+1+(LOG(J18)*4/3))*0.315),((N18+(((TODAY()-E18)^0.5)/(336^0.5))+(LOG(J18)*4/3))*0.574)+((O18+(((TODAY()-E18)^0.5)/(336^0.5))+(LOG(J18)*4/3))*0.315))</f>
        <v>2.3300139219455271</v>
      </c>
      <c r="BH18" s="37">
        <f t="shared" ref="BH18:BH19" ca="1" si="178">IF(TODAY()-E18&gt;335,((O18+1+(LOG(J18)*4/3))*0.241),((O18+(((TODAY()-E18)^0.5)/(336^0.5))+(LOG(J18)*4/3))*0.241))</f>
        <v>0.8012050662042054</v>
      </c>
      <c r="BI18" s="37">
        <f t="shared" ref="BI18:BI19" ca="1" si="179">IF(TODAY()-E18&gt;335,((L18+1+(LOG(J18)*4/3))*0.485),((L18+(((TODAY()-E18)^0.5)/(336^0.5))+(LOG(J18)*4/3))*0.485))</f>
        <v>2.0538953061232625</v>
      </c>
      <c r="BJ18" s="37">
        <f t="shared" ref="BJ18:BJ19" ca="1" si="180">IF(TODAY()-E18&gt;335,((L18+1+(LOG(J18)*4/3))*0.264),((L18+(((TODAY()-E18)^0.5)/(336^0.5))+(LOG(J18)*4/3))*0.264))</f>
        <v>1.1179966202402913</v>
      </c>
      <c r="BK18" s="37">
        <f t="shared" ref="BK18:BK19" ca="1" si="181">IF(TODAY()-E18&gt;335,((M18+1+(LOG(J18)*4/3))*0.381),((M18+(((TODAY()-E18)^0.5)/(336^0.5))+(LOG(J18)*4/3))*0.381))</f>
        <v>0.85147239511951156</v>
      </c>
      <c r="BL18" s="37">
        <f t="shared" ref="BL18:BL19" ca="1" si="182">IF(TODAY()-E18&gt;335,((N18+1+(LOG(J18)*4/3))*0.673)+((O18+1+(LOG(J18)*4/3))*0.201),((N18+(((TODAY()-E18)^0.5)/(336^0.5))+(LOG(J18)*4/3))*0.673)+((O18+(((TODAY()-E18)^0.5)/(336^0.5))+(LOG(J18)*4/3))*0.201))</f>
        <v>2.1722693867046017</v>
      </c>
      <c r="BM18" s="37">
        <f t="shared" ref="BM18:BM19" ca="1" si="183">IF(TODAY()-E18&gt;335,((O18+1+(LOG(J18)*4/3))*0.052),((O18+(((TODAY()-E18)^0.5)/(336^0.5))+(LOG(J18)*4/3))*0.052))</f>
        <v>0.17287412216854225</v>
      </c>
      <c r="BN18" s="37">
        <f t="shared" ref="BN18:BN19" ca="1" si="184">IF(TODAY()-E18&gt;335,((L18+1+(LOG(J18)*4/3))*0.18),((L18+(((TODAY()-E18)^0.5)/(336^0.5))+(LOG(J18)*4/3))*0.18))</f>
        <v>0.76227042289110769</v>
      </c>
      <c r="BO18" s="37">
        <f t="shared" ref="BO18:BO19" ca="1" si="185">IF(TODAY()-E18&gt;335,((L18+1+(LOG(J18)*4/3))*0.068),((L18+(((TODAY()-E18)^0.5)/(336^0.5))+(LOG(J18)*4/3))*0.068))</f>
        <v>0.28796882642552962</v>
      </c>
      <c r="BP18" s="37">
        <f t="shared" ref="BP18:BP19" ca="1" si="186">IF(TODAY()-E18&gt;335,((M18+1+(LOG(J18)*4/3))*0.305),((M18+(((TODAY()-E18)^0.5)/(336^0.5))+(LOG(J18)*4/3))*0.305))</f>
        <v>0.68162488323215498</v>
      </c>
      <c r="BQ18" s="37">
        <f t="shared" ref="BQ18:BQ19" ca="1" si="187">IF(TODAY()-E18&gt;335,((N18+1+(LOG(J18)*4/3))*1)+((O18+1+(LOG(J18)*4/3))*0.286),((N18+(((TODAY()-E18)^0.5)/(336^0.5))+(LOG(J18)*4/3))*1)+((O18+(((TODAY()-E18)^0.5)/(336^0.5))+(LOG(J18)*4/3))*0.286))</f>
        <v>3.1856433546553591</v>
      </c>
      <c r="BR18" s="37">
        <f t="shared" ref="BR18:BR19" ca="1" si="188">IF(TODAY()-E18&gt;335,((O18+1+(LOG(J18)*4/3))*0.135),((O18+(((TODAY()-E18)^0.5)/(336^0.5))+(LOG(J18)*4/3))*0.135))</f>
        <v>0.4488078171683309</v>
      </c>
      <c r="BS18" s="37">
        <f t="shared" ref="BS18:BS19" ca="1" si="189">IF(TODAY()-E18&gt;335,((L18+1+(LOG(J18)*4/3))*0.284),((L18+(((TODAY()-E18)^0.5)/(336^0.5))+(LOG(J18)*4/3))*0.284))</f>
        <v>1.2026933338948589</v>
      </c>
      <c r="BT18" s="37">
        <f t="shared" ref="BT18:BT19" ca="1" si="190">IF(TODAY()-E18&gt;335,((L18+1+(LOG(J18)*4/3))*0.244),((L18+(((TODAY()-E18)^0.5)/(336^0.5))+(LOG(J18)*4/3))*0.244))</f>
        <v>1.0332999065857238</v>
      </c>
      <c r="BU18" s="37">
        <f t="shared" ref="BU18:BU19" ca="1" si="191">IF(TODAY()-E18&gt;335,((M18+1+(LOG(J18)*4/3))*0.631),((M18+(((TODAY()-E18)^0.5)/(336^0.5))+(LOG(J18)*4/3))*0.631))</f>
        <v>1.4101813158016059</v>
      </c>
      <c r="BV18" s="37">
        <f t="shared" ref="BV18:BV19" ca="1" si="192">IF(TODAY()-E18&gt;335,((N18+1+(LOG(J18)*4/3))*0.702)+((O18+1+(LOG(J18)*4/3))*0.193),((N18+(((TODAY()-E18)^0.5)/(336^0.5))+(LOG(J18)*4/3))*0.702)+((O18+(((TODAY()-E18)^0.5)/(336^0.5))+(LOG(J18)*4/3))*0.193))</f>
        <v>2.2104836027085639</v>
      </c>
      <c r="BW18" s="37">
        <f t="shared" ref="BW18:BW19" ca="1" si="193">IF(TODAY()-E18&gt;335,((O18+1+(LOG(J18)*4/3))*0.148),((O18+(((TODAY()-E18)^0.5)/(336^0.5))+(LOG(J18)*4/3))*0.148))</f>
        <v>0.49202634771046638</v>
      </c>
      <c r="BX18" s="37">
        <f t="shared" ref="BX18:BX19" ca="1" si="194">IF(TODAY()-E18&gt;335,((M18+1+(LOG(J18)*4/3))*0.406),((M18+(((TODAY()-E18)^0.5)/(336^0.5))+(LOG(J18)*4/3))*0.406))</f>
        <v>0.90734328718772106</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1.8879688351459285</v>
      </c>
      <c r="BZ18" s="37">
        <f t="shared" ref="BZ18:BZ19" ca="1" si="196">IF(D18="TEC",IF(TODAY()-E18&gt;335,((O18+1+(LOG(J18)*4/3))*0.543)+((P18+1+(LOG(J18)*4/3))*0.583),((O18+(((TODAY()-E18)^0.5)/(336^0.5))+(LOG(J18)*4/3))*0.543)+((P18+(((TODAY()-E18)^0.5)/(336^0.5))+(LOG(J18)*4/3))*0.583)),IF(TODAY()-E18&gt;335,((O18+1+(LOG(J18)*4/3))*0.543)+((P18+1+(LOG(J18)*4/3))*0.583),((O18+(((TODAY()-E18)^0.5)/(336^0.5))+(LOG(J18)*4/3))*0.543)+((P18+(((TODAY()-E18)^0.5)/(336^0.5))+(LOG(J18)*4/3))*0.583)))</f>
        <v>5.1793834231965956</v>
      </c>
      <c r="CA18" s="37">
        <f t="shared" ref="CA18:CA19" ca="1" si="197">BY18</f>
        <v>1.8879688351459285</v>
      </c>
      <c r="CB18" s="37">
        <f t="shared" ref="CB18:CB19" ca="1" si="198">IF(TODAY()-E18&gt;335,((P18+1+(LOG(J18)*4/3))*0.26)+((N18+1+(LOG(J18)*4/3))*0.221)+((O18+1+(LOG(J18)*4/3))*0.142),((P18+(((TODAY()-E18)^0.5)/(336^0.5))+(LOG(J18)*4/3))*0.26)+((N18+(((TODAY()-E18)^0.5)/(336^0.5))+(LOG(J18)*4/3))*0.221)+((P18+(((TODAY()-E18)^0.5)/(336^0.5))+(LOG(J18)*4/3))*0.142))</f>
        <v>2.8205192970064448</v>
      </c>
      <c r="CC18" s="37">
        <f t="shared" ref="CC18:CC19" ca="1" si="199">IF(TODAY()-E18&gt;335,((P18+1+(LOG(J18)*4/3))*1)+((O18+1+(LOG(J18)*4/3))*0.369),((P18+(((TODAY()-E18)^0.5)/(336^0.5))+(LOG(J18)*4/3))*1)+((O18+(((TODAY()-E18)^0.5)/(336^0.5))+(LOG(J18)*4/3))*0.369))</f>
        <v>7.0143548274329239</v>
      </c>
      <c r="CD18" s="37">
        <f t="shared" ref="CD18:CD19" ca="1" si="200">CB18</f>
        <v>2.8205192970064448</v>
      </c>
      <c r="CE18" s="37">
        <f t="shared" ref="CE18:CE19" ca="1" si="201">IF(TODAY()-E18&gt;335,((M18+1+(LOG(J18)*4/3))*0.25),((M18+(((TODAY()-E18)^0.5)/(336^0.5))+(LOG(J18)*4/3))*0.25))</f>
        <v>0.55870892068209421</v>
      </c>
    </row>
    <row r="19" spans="1:83" x14ac:dyDescent="0.25">
      <c r="A19" t="e">
        <f>PLANTILLA!#REF!</f>
        <v>#REF!</v>
      </c>
      <c r="B19" t="e">
        <f>PLANTILLA!#REF!</f>
        <v>#REF!</v>
      </c>
      <c r="C19" s="33" t="e">
        <f>PLANTILLA!#REF!</f>
        <v>#REF!</v>
      </c>
      <c r="D19" s="220"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7" t="s">
        <v>203</v>
      </c>
      <c r="B1" s="237"/>
      <c r="C1" s="237"/>
      <c r="D1" s="237"/>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8" t="s">
        <v>204</v>
      </c>
      <c r="B2" s="239" t="s">
        <v>205</v>
      </c>
      <c r="C2" s="239" t="s">
        <v>206</v>
      </c>
      <c r="D2" s="239"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8"/>
      <c r="B3" s="239"/>
      <c r="C3" s="239"/>
      <c r="D3" s="239"/>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3" sqref="Y3"/>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40"/>
      <c r="U1" s="240"/>
      <c r="V1" s="240"/>
      <c r="W1" s="139"/>
      <c r="X1" s="240" t="s">
        <v>169</v>
      </c>
      <c r="Y1" s="240"/>
      <c r="Z1" s="114">
        <f>T2+U2+V2+W2+X2+Y2+Z2</f>
        <v>34</v>
      </c>
      <c r="AA1" s="32">
        <f>Z1/16</f>
        <v>2.125</v>
      </c>
      <c r="AC1" s="65"/>
      <c r="AD1" s="65"/>
      <c r="AE1" s="65"/>
      <c r="AF1" s="65"/>
      <c r="AG1" s="65"/>
      <c r="AH1" s="65"/>
      <c r="AI1" s="65"/>
      <c r="AJ1" s="65"/>
    </row>
    <row r="2" spans="1:36" x14ac:dyDescent="0.25">
      <c r="A2" s="140"/>
      <c r="B2" s="140"/>
      <c r="C2" s="141"/>
      <c r="D2" s="142">
        <f ca="1">TODAY()</f>
        <v>43182</v>
      </c>
      <c r="G2" s="65"/>
      <c r="H2" s="143"/>
      <c r="I2" s="143"/>
      <c r="J2" s="144"/>
      <c r="K2" s="144"/>
      <c r="L2" s="143"/>
      <c r="M2" s="145"/>
      <c r="N2" s="143"/>
      <c r="O2" s="143"/>
      <c r="P2" s="143"/>
      <c r="Q2" s="143"/>
      <c r="R2" s="143"/>
      <c r="S2" s="143"/>
      <c r="T2" s="148">
        <v>0</v>
      </c>
      <c r="U2" s="149">
        <v>0</v>
      </c>
      <c r="V2" s="149">
        <v>0</v>
      </c>
      <c r="W2" s="148">
        <v>29</v>
      </c>
      <c r="X2" s="150">
        <v>-1</v>
      </c>
      <c r="Y2" s="150">
        <v>6</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10.205357142857142</v>
      </c>
      <c r="D4" s="28" t="str">
        <f>PLANTILLA!D4</f>
        <v>Alberto Ercilla</v>
      </c>
      <c r="E4" s="16">
        <f>PLANTILLA!E4</f>
        <v>22</v>
      </c>
      <c r="F4" s="17">
        <f ca="1">PLANTILLA!F4</f>
        <v>89</v>
      </c>
      <c r="G4" s="18" t="str">
        <f>PLANTILLA!G4</f>
        <v>IMP</v>
      </c>
      <c r="H4" s="4">
        <f>PLANTILLA!H4</f>
        <v>4</v>
      </c>
      <c r="I4" s="27">
        <f>PLANTILLA!I4</f>
        <v>2.7</v>
      </c>
      <c r="J4" s="19">
        <f>PLANTILLA!O4</f>
        <v>5.5</v>
      </c>
      <c r="K4" s="6">
        <f t="shared" ref="K4" si="0">(H4)*(H4)*(I4)</f>
        <v>43.2</v>
      </c>
      <c r="L4" s="6">
        <f t="shared" ref="L4" si="1">(H4+1)*(H4+1)*I4</f>
        <v>67.5</v>
      </c>
      <c r="M4" s="21">
        <f>PLANTILLA!X4</f>
        <v>0</v>
      </c>
      <c r="N4" s="21">
        <f>PLANTILLA!Y4</f>
        <v>7</v>
      </c>
      <c r="O4" s="21">
        <f>PLANTILLA!Z4</f>
        <v>2</v>
      </c>
      <c r="P4" s="21">
        <f>PLANTILLA!AA4</f>
        <v>5</v>
      </c>
      <c r="Q4" s="21">
        <f>PLANTILLA!AB4</f>
        <v>7.0305555555555559</v>
      </c>
      <c r="R4" s="21">
        <f>PLANTILLA!AC4</f>
        <v>5.5238095238095219</v>
      </c>
      <c r="S4" s="21">
        <f>PLANTILLA!AD4</f>
        <v>4</v>
      </c>
      <c r="T4" s="155">
        <v>0</v>
      </c>
      <c r="U4" s="155">
        <v>0</v>
      </c>
      <c r="V4" s="155">
        <v>0</v>
      </c>
      <c r="W4" s="155">
        <v>0.13</v>
      </c>
      <c r="X4" s="155">
        <v>0</v>
      </c>
      <c r="Y4" s="155">
        <f t="shared" ref="Y4:Y18" si="2">0.17</f>
        <v>0.17</v>
      </c>
      <c r="Z4" s="155">
        <v>0</v>
      </c>
      <c r="AA4" s="153">
        <v>20</v>
      </c>
      <c r="AB4" s="154">
        <v>56</v>
      </c>
      <c r="AC4" s="25">
        <f t="shared" ref="AC4:AC18" si="3">I4+$AC$2</f>
        <v>2.7</v>
      </c>
      <c r="AD4" s="156">
        <f>M4</f>
        <v>0</v>
      </c>
      <c r="AE4" s="156">
        <f>N4</f>
        <v>7</v>
      </c>
      <c r="AF4" s="156">
        <f>O4</f>
        <v>2</v>
      </c>
      <c r="AG4" s="156">
        <v>5</v>
      </c>
      <c r="AH4" s="156">
        <f>Q4</f>
        <v>7.0305555555555559</v>
      </c>
      <c r="AI4" s="156">
        <f>4+4/17</f>
        <v>4.2352941176470589</v>
      </c>
      <c r="AJ4" s="156">
        <f>S4+(Z$2/7)</f>
        <v>4</v>
      </c>
    </row>
    <row r="5" spans="1:36" ht="16.5" customHeight="1" x14ac:dyDescent="0.25">
      <c r="A5" s="15" t="str">
        <f>PLANTILLA!A5</f>
        <v>#28</v>
      </c>
      <c r="B5" s="15" t="str">
        <f>PLANTILLA!B5</f>
        <v>CEN</v>
      </c>
      <c r="C5" s="121">
        <f ca="1">PLANTILLA!C5</f>
        <v>14.723214285714286</v>
      </c>
      <c r="D5" s="28" t="str">
        <f>PLANTILLA!D5</f>
        <v>Marc Dolz</v>
      </c>
      <c r="E5" s="16">
        <f>PLANTILLA!E5</f>
        <v>18</v>
      </c>
      <c r="F5" s="17">
        <f ca="1">PLANTILLA!F5</f>
        <v>31</v>
      </c>
      <c r="G5" s="18" t="str">
        <f>PLANTILLA!G5</f>
        <v>POT</v>
      </c>
      <c r="H5" s="4">
        <f>PLANTILLA!H5</f>
        <v>3</v>
      </c>
      <c r="I5" s="27">
        <f>PLANTILLA!I5</f>
        <v>1</v>
      </c>
      <c r="J5" s="19">
        <f>PLANTILLA!O5</f>
        <v>3.8</v>
      </c>
      <c r="K5" s="6">
        <f t="shared" ref="K5:K18" si="4">(H5)*(H5)*(I5)</f>
        <v>9</v>
      </c>
      <c r="L5" s="6">
        <f t="shared" ref="L5:L18" si="5">(H5+1)*(H5+1)*I5</f>
        <v>16</v>
      </c>
      <c r="M5" s="21">
        <f>PLANTILLA!X5</f>
        <v>0</v>
      </c>
      <c r="N5" s="21">
        <f>PLANTILLA!Y5</f>
        <v>4</v>
      </c>
      <c r="O5" s="21">
        <f>PLANTILLA!Z5</f>
        <v>4</v>
      </c>
      <c r="P5" s="21">
        <f>PLANTILLA!AA5</f>
        <v>3</v>
      </c>
      <c r="Q5" s="21">
        <f>PLANTILLA!AB5</f>
        <v>4.2926666666666664</v>
      </c>
      <c r="R5" s="21">
        <f>PLANTILLA!AC5</f>
        <v>3.6000000000000019</v>
      </c>
      <c r="S5" s="21">
        <f>PLANTILLA!AD5</f>
        <v>0.4</v>
      </c>
      <c r="T5" s="155">
        <v>0</v>
      </c>
      <c r="U5" s="155">
        <v>0</v>
      </c>
      <c r="V5" s="155">
        <v>0</v>
      </c>
      <c r="W5" s="155">
        <v>1</v>
      </c>
      <c r="X5" s="155">
        <v>0</v>
      </c>
      <c r="Y5" s="155">
        <v>1</v>
      </c>
      <c r="Z5" s="155">
        <v>0</v>
      </c>
      <c r="AA5" s="153">
        <v>20</v>
      </c>
      <c r="AB5" s="154">
        <v>59</v>
      </c>
      <c r="AC5" s="25">
        <f t="shared" si="3"/>
        <v>1</v>
      </c>
      <c r="AD5" s="156">
        <f t="shared" ref="AD5:AD18" si="6">M5</f>
        <v>0</v>
      </c>
      <c r="AE5" s="156">
        <f t="shared" ref="AE5:AE18" si="7">N5</f>
        <v>4</v>
      </c>
      <c r="AF5" s="156">
        <f t="shared" ref="AF5:AF18" si="8">O5</f>
        <v>4</v>
      </c>
      <c r="AG5" s="156">
        <f>12+1/5</f>
        <v>12.2</v>
      </c>
      <c r="AH5" s="156">
        <f>Q5+(X$2/16)</f>
        <v>4.2301666666666664</v>
      </c>
      <c r="AI5" s="156">
        <v>8</v>
      </c>
      <c r="AJ5" s="156">
        <f>S5+(Z$2/4)</f>
        <v>0.4</v>
      </c>
    </row>
    <row r="6" spans="1:36" ht="16.5" customHeight="1" x14ac:dyDescent="0.25">
      <c r="A6" s="15" t="str">
        <f>PLANTILLA!A6</f>
        <v>#4</v>
      </c>
      <c r="B6" s="15" t="str">
        <f>PLANTILLA!B6</f>
        <v>CEN</v>
      </c>
      <c r="C6" s="121">
        <f ca="1">PLANTILLA!C6</f>
        <v>15.196428571428571</v>
      </c>
      <c r="D6" s="28" t="str">
        <f>PLANTILLA!D6</f>
        <v>Manuel Parejo</v>
      </c>
      <c r="E6" s="16">
        <f>PLANTILLA!E6</f>
        <v>17</v>
      </c>
      <c r="F6" s="17">
        <f ca="1">PLANTILLA!F6</f>
        <v>90</v>
      </c>
      <c r="G6" s="18">
        <f>PLANTILLA!G6</f>
        <v>0</v>
      </c>
      <c r="H6" s="4">
        <f>PLANTILLA!H6</f>
        <v>1</v>
      </c>
      <c r="I6" s="27">
        <f>PLANTILLA!I6</f>
        <v>1.5</v>
      </c>
      <c r="J6" s="19">
        <f>PLANTILLA!O6</f>
        <v>3.8</v>
      </c>
      <c r="K6" s="6">
        <f t="shared" si="4"/>
        <v>1.5</v>
      </c>
      <c r="L6" s="6">
        <f t="shared" si="5"/>
        <v>6</v>
      </c>
      <c r="M6" s="21">
        <f>PLANTILLA!X6</f>
        <v>0</v>
      </c>
      <c r="N6" s="21">
        <f>PLANTILLA!Y6</f>
        <v>5</v>
      </c>
      <c r="O6" s="21">
        <f>PLANTILLA!Z6</f>
        <v>6.7</v>
      </c>
      <c r="P6" s="21">
        <f>PLANTILLA!AA6</f>
        <v>3</v>
      </c>
      <c r="Q6" s="21">
        <f>PLANTILLA!AB6</f>
        <v>3</v>
      </c>
      <c r="R6" s="21">
        <f>PLANTILLA!AC6</f>
        <v>3.7259259259259281</v>
      </c>
      <c r="S6" s="21">
        <f>PLANTILLA!AD6</f>
        <v>2</v>
      </c>
      <c r="T6" s="155">
        <v>0</v>
      </c>
      <c r="U6" s="155">
        <v>0</v>
      </c>
      <c r="V6" s="155">
        <v>0</v>
      </c>
      <c r="W6" s="155">
        <v>1</v>
      </c>
      <c r="X6" s="155">
        <v>0</v>
      </c>
      <c r="Y6" s="155">
        <v>1</v>
      </c>
      <c r="Z6" s="155">
        <v>0</v>
      </c>
      <c r="AA6" s="153">
        <v>20</v>
      </c>
      <c r="AB6" s="154">
        <v>69</v>
      </c>
      <c r="AC6" s="25">
        <f t="shared" si="3"/>
        <v>1.5</v>
      </c>
      <c r="AD6" s="156">
        <f t="shared" si="6"/>
        <v>0</v>
      </c>
      <c r="AE6" s="156">
        <f t="shared" si="7"/>
        <v>5</v>
      </c>
      <c r="AF6" s="156">
        <f t="shared" si="8"/>
        <v>6.7</v>
      </c>
      <c r="AG6" s="156">
        <f>13+1/6</f>
        <v>13.166666666666666</v>
      </c>
      <c r="AH6" s="156">
        <f>Q6+(X$2/7)</f>
        <v>2.8571428571428572</v>
      </c>
      <c r="AI6" s="156">
        <v>9</v>
      </c>
      <c r="AJ6" s="156">
        <f>S6+(Z$2/3)</f>
        <v>2</v>
      </c>
    </row>
    <row r="7" spans="1:36" ht="16.5" customHeight="1" x14ac:dyDescent="0.25">
      <c r="A7" s="15" t="str">
        <f>PLANTILLA!A7</f>
        <v>#5</v>
      </c>
      <c r="B7" s="15" t="str">
        <f>PLANTILLA!B7</f>
        <v>LAT</v>
      </c>
      <c r="C7" s="121">
        <f ca="1">PLANTILLA!C7</f>
        <v>14.696428571428571</v>
      </c>
      <c r="D7" s="28" t="str">
        <f>PLANTILLA!D7</f>
        <v>Valeri Gomis</v>
      </c>
      <c r="E7" s="16">
        <f>PLANTILLA!E7</f>
        <v>18</v>
      </c>
      <c r="F7" s="17">
        <f ca="1">PLANTILLA!F7</f>
        <v>34</v>
      </c>
      <c r="G7" s="18" t="str">
        <f>PLANTILLA!G7</f>
        <v>IMP</v>
      </c>
      <c r="H7" s="4">
        <f>PLANTILLA!H7</f>
        <v>6</v>
      </c>
      <c r="I7" s="27">
        <f>PLANTILLA!I7</f>
        <v>1.8</v>
      </c>
      <c r="J7" s="19">
        <f>PLANTILLA!O7</f>
        <v>4.5</v>
      </c>
      <c r="K7" s="6">
        <f t="shared" si="4"/>
        <v>64.8</v>
      </c>
      <c r="L7" s="6">
        <f t="shared" si="5"/>
        <v>88.2</v>
      </c>
      <c r="M7" s="21">
        <f>PLANTILLA!X7</f>
        <v>0</v>
      </c>
      <c r="N7" s="21">
        <f>PLANTILLA!Y7</f>
        <v>6</v>
      </c>
      <c r="O7" s="21">
        <f>PLANTILLA!Z7</f>
        <v>3</v>
      </c>
      <c r="P7" s="21">
        <f>PLANTILLA!AA7</f>
        <v>3</v>
      </c>
      <c r="Q7" s="21">
        <f>PLANTILLA!AB7</f>
        <v>6.0000000000000009</v>
      </c>
      <c r="R7" s="21">
        <f>PLANTILLA!AC7</f>
        <v>7</v>
      </c>
      <c r="S7" s="21">
        <f>PLANTILLA!AD7</f>
        <v>3</v>
      </c>
      <c r="T7" s="155">
        <v>0</v>
      </c>
      <c r="U7" s="155">
        <v>0</v>
      </c>
      <c r="V7" s="155">
        <v>0</v>
      </c>
      <c r="W7" s="155">
        <v>0.13</v>
      </c>
      <c r="X7" s="155">
        <v>0</v>
      </c>
      <c r="Y7" s="155">
        <v>0.17</v>
      </c>
      <c r="Z7" s="155">
        <v>0</v>
      </c>
      <c r="AA7" s="153">
        <v>20</v>
      </c>
      <c r="AB7" s="154">
        <v>103</v>
      </c>
      <c r="AC7" s="25">
        <f t="shared" si="3"/>
        <v>1.8</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PLANTILLA!A8</f>
        <v>#6</v>
      </c>
      <c r="B8" s="15" t="str">
        <f>PLANTILLA!B8</f>
        <v>LAT</v>
      </c>
      <c r="C8" s="121">
        <f ca="1">PLANTILLA!C8</f>
        <v>14.607142857142858</v>
      </c>
      <c r="D8" s="28" t="str">
        <f>PLANTILLA!D8</f>
        <v>J. G. de Minaya</v>
      </c>
      <c r="E8" s="16">
        <f>PLANTILLA!E8</f>
        <v>18</v>
      </c>
      <c r="F8" s="17">
        <f ca="1">PLANTILLA!F8</f>
        <v>44</v>
      </c>
      <c r="G8" s="18" t="str">
        <f>PLANTILLA!G8</f>
        <v>TEC</v>
      </c>
      <c r="H8" s="4">
        <f>PLANTILLA!H8</f>
        <v>0</v>
      </c>
      <c r="I8" s="27">
        <f>PLANTILLA!I8</f>
        <v>1.9</v>
      </c>
      <c r="J8" s="19">
        <f>PLANTILLA!O8</f>
        <v>3.5</v>
      </c>
      <c r="K8" s="6">
        <f t="shared" si="4"/>
        <v>0</v>
      </c>
      <c r="L8" s="6">
        <f t="shared" si="5"/>
        <v>1.9</v>
      </c>
      <c r="M8" s="21">
        <f>PLANTILLA!X8</f>
        <v>0</v>
      </c>
      <c r="N8" s="21">
        <f>PLANTILLA!Y8</f>
        <v>6</v>
      </c>
      <c r="O8" s="21">
        <f>PLANTILLA!Z8</f>
        <v>5</v>
      </c>
      <c r="P8" s="21">
        <f>PLANTILLA!AA8</f>
        <v>6</v>
      </c>
      <c r="Q8" s="21">
        <f>PLANTILLA!AB8</f>
        <v>6.2</v>
      </c>
      <c r="R8" s="21">
        <f>PLANTILLA!AC8</f>
        <v>8</v>
      </c>
      <c r="S8" s="21">
        <f>PLANTILLA!AD8</f>
        <v>0</v>
      </c>
      <c r="T8" s="155">
        <v>0</v>
      </c>
      <c r="U8" s="155">
        <v>0</v>
      </c>
      <c r="V8" s="155">
        <v>0</v>
      </c>
      <c r="W8" s="155">
        <v>0.13</v>
      </c>
      <c r="X8" s="155">
        <v>0</v>
      </c>
      <c r="Y8" s="155">
        <f t="shared" si="2"/>
        <v>0.17</v>
      </c>
      <c r="Z8" s="155">
        <v>0</v>
      </c>
      <c r="AA8" s="153">
        <v>20</v>
      </c>
      <c r="AB8" s="154">
        <v>55</v>
      </c>
      <c r="AC8" s="25">
        <f t="shared" si="3"/>
        <v>1.9</v>
      </c>
      <c r="AD8" s="156">
        <f t="shared" si="6"/>
        <v>0</v>
      </c>
      <c r="AE8" s="156">
        <f t="shared" si="7"/>
        <v>6</v>
      </c>
      <c r="AF8" s="156">
        <f t="shared" si="8"/>
        <v>5</v>
      </c>
      <c r="AG8" s="156">
        <f>5+14/18</f>
        <v>5.7777777777777777</v>
      </c>
      <c r="AH8" s="156">
        <f>Q8+(X$2/14)</f>
        <v>6.128571428571429</v>
      </c>
      <c r="AI8" s="156">
        <f>4+4/17</f>
        <v>4.2352941176470589</v>
      </c>
      <c r="AJ8" s="156">
        <f>S8+(Z$2/1)</f>
        <v>0</v>
      </c>
    </row>
    <row r="9" spans="1:36" ht="16.5" customHeight="1" x14ac:dyDescent="0.25">
      <c r="A9" s="15" t="str">
        <f>PLANTILLA!A9</f>
        <v>#20</v>
      </c>
      <c r="B9" s="15" t="str">
        <f>PLANTILLA!B9</f>
        <v>LAT</v>
      </c>
      <c r="C9" s="121">
        <f ca="1">PLANTILLA!C9</f>
        <v>14.303571428571429</v>
      </c>
      <c r="D9" s="28" t="str">
        <f>PLANTILLA!D9</f>
        <v>Roberto Montero</v>
      </c>
      <c r="E9" s="16">
        <f>PLANTILLA!E9</f>
        <v>18</v>
      </c>
      <c r="F9" s="17">
        <f ca="1">PLANTILLA!F9</f>
        <v>78</v>
      </c>
      <c r="G9" s="18" t="str">
        <f>PLANTILLA!G9</f>
        <v>TEC</v>
      </c>
      <c r="H9" s="4">
        <f>PLANTILLA!H9</f>
        <v>2</v>
      </c>
      <c r="I9" s="27">
        <f>PLANTILLA!I9</f>
        <v>0.5</v>
      </c>
      <c r="J9" s="19">
        <f>PLANTILLA!O9</f>
        <v>5</v>
      </c>
      <c r="K9" s="6">
        <f t="shared" si="4"/>
        <v>2</v>
      </c>
      <c r="L9" s="6">
        <f t="shared" si="5"/>
        <v>4.5</v>
      </c>
      <c r="M9" s="21">
        <f>PLANTILLA!X9</f>
        <v>0</v>
      </c>
      <c r="N9" s="21">
        <f>PLANTILLA!Y9</f>
        <v>6</v>
      </c>
      <c r="O9" s="21">
        <f>PLANTILLA!Z9</f>
        <v>4</v>
      </c>
      <c r="P9" s="21">
        <f>PLANTILLA!AA9</f>
        <v>4</v>
      </c>
      <c r="Q9" s="21">
        <f>PLANTILLA!AB9</f>
        <v>3.5528</v>
      </c>
      <c r="R9" s="21">
        <f>PLANTILLA!AC9</f>
        <v>4.3999999999999995</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3.3527999999999998</v>
      </c>
      <c r="AI9" s="156">
        <v>9</v>
      </c>
      <c r="AJ9" s="156">
        <f>S9+(Z$2/1)</f>
        <v>6</v>
      </c>
    </row>
    <row r="10" spans="1:36" ht="16.5" customHeight="1" x14ac:dyDescent="0.25">
      <c r="A10" s="15" t="str">
        <f>PLANTILLA!A10</f>
        <v>#23</v>
      </c>
      <c r="B10" s="15" t="str">
        <f>PLANTILLA!B10</f>
        <v>LAT</v>
      </c>
      <c r="C10" s="121">
        <f ca="1">PLANTILLA!C10</f>
        <v>14.732142857142858</v>
      </c>
      <c r="D10" s="28" t="str">
        <f>PLANTILLA!D10</f>
        <v>Eckardt Hägerling</v>
      </c>
      <c r="E10" s="16">
        <f>PLANTILLA!E10</f>
        <v>18</v>
      </c>
      <c r="F10" s="17">
        <f ca="1">PLANTILLA!F10</f>
        <v>30</v>
      </c>
      <c r="G10" s="18" t="str">
        <f>PLANTILLA!G10</f>
        <v>IMP</v>
      </c>
      <c r="H10" s="4">
        <f>PLANTILLA!H10</f>
        <v>3</v>
      </c>
      <c r="I10" s="27">
        <f>PLANTILLA!I10</f>
        <v>1.4</v>
      </c>
      <c r="J10" s="19">
        <f>PLANTILLA!O10</f>
        <v>4.5</v>
      </c>
      <c r="K10" s="6">
        <f t="shared" si="4"/>
        <v>12.6</v>
      </c>
      <c r="L10" s="6">
        <f t="shared" si="5"/>
        <v>22.4</v>
      </c>
      <c r="M10" s="21">
        <f>PLANTILLA!X10</f>
        <v>0</v>
      </c>
      <c r="N10" s="21">
        <f>PLANTILLA!Y10</f>
        <v>5</v>
      </c>
      <c r="O10" s="21">
        <f>PLANTILLA!Z10</f>
        <v>3</v>
      </c>
      <c r="P10" s="21">
        <f>PLANTILLA!AA10</f>
        <v>4</v>
      </c>
      <c r="Q10" s="21">
        <f>PLANTILLA!AB10</f>
        <v>3</v>
      </c>
      <c r="R10" s="21">
        <f>PLANTILLA!AC10</f>
        <v>4.5966666666666658</v>
      </c>
      <c r="S10" s="21">
        <f>PLANTILLA!AD10</f>
        <v>3</v>
      </c>
      <c r="T10" s="155">
        <v>0</v>
      </c>
      <c r="U10" s="155">
        <v>0</v>
      </c>
      <c r="V10" s="155">
        <v>0</v>
      </c>
      <c r="W10" s="155">
        <v>0.13</v>
      </c>
      <c r="X10" s="155">
        <v>0</v>
      </c>
      <c r="Y10" s="155">
        <f t="shared" si="2"/>
        <v>0.17</v>
      </c>
      <c r="Z10" s="155">
        <v>0</v>
      </c>
      <c r="AA10" s="153">
        <v>20</v>
      </c>
      <c r="AB10" s="154">
        <v>84</v>
      </c>
      <c r="AC10" s="25">
        <f t="shared" si="3"/>
        <v>1.4</v>
      </c>
      <c r="AD10" s="156">
        <f t="shared" si="6"/>
        <v>0</v>
      </c>
      <c r="AE10" s="156">
        <f t="shared" si="7"/>
        <v>5</v>
      </c>
      <c r="AF10" s="156">
        <f t="shared" si="8"/>
        <v>3</v>
      </c>
      <c r="AG10" s="156">
        <f>5</f>
        <v>5</v>
      </c>
      <c r="AH10" s="156">
        <f>Q10+(X$2/16)</f>
        <v>2.9375</v>
      </c>
      <c r="AI10" s="156">
        <f>5+18/19</f>
        <v>5.9473684210526319</v>
      </c>
      <c r="AJ10" s="156">
        <f>S10+(Z$2/5)</f>
        <v>3</v>
      </c>
    </row>
    <row r="11" spans="1:36" ht="16.5" customHeight="1" x14ac:dyDescent="0.25">
      <c r="A11" s="15" t="str">
        <f>PLANTILLA!A12</f>
        <v>#3</v>
      </c>
      <c r="B11" s="15" t="str">
        <f>PLANTILLA!B12</f>
        <v>LAT</v>
      </c>
      <c r="C11" s="121">
        <f ca="1">PLANTILLA!C12</f>
        <v>15.044642857142858</v>
      </c>
      <c r="D11" s="28" t="str">
        <f>PLANTILLA!D12</f>
        <v>Will Duffill</v>
      </c>
      <c r="E11" s="16">
        <f>PLANTILLA!E12</f>
        <v>17</v>
      </c>
      <c r="F11" s="17">
        <f ca="1">PLANTILLA!F12</f>
        <v>107</v>
      </c>
      <c r="G11" s="18" t="str">
        <f>PLANTILLA!G12</f>
        <v>RAP</v>
      </c>
      <c r="H11" s="4">
        <f>PLANTILLA!H12</f>
        <v>3</v>
      </c>
      <c r="I11" s="27">
        <f>PLANTILLA!I12</f>
        <v>1.5</v>
      </c>
      <c r="J11" s="19">
        <f>PLANTILLA!O12</f>
        <v>3.7</v>
      </c>
      <c r="K11" s="6">
        <f t="shared" ref="K11" si="9">(H11)*(H11)*(I11)</f>
        <v>13.5</v>
      </c>
      <c r="L11" s="6">
        <f t="shared" ref="L11" si="10">(H11+1)*(H11+1)*I11</f>
        <v>24</v>
      </c>
      <c r="M11" s="21">
        <f>PLANTILLA!X12</f>
        <v>0</v>
      </c>
      <c r="N11" s="21">
        <f>PLANTILLA!Y12</f>
        <v>6</v>
      </c>
      <c r="O11" s="21">
        <f>PLANTILLA!Z12</f>
        <v>3</v>
      </c>
      <c r="P11" s="21">
        <f>PLANTILLA!AA12</f>
        <v>3</v>
      </c>
      <c r="Q11" s="21">
        <f>PLANTILLA!AB12</f>
        <v>7</v>
      </c>
      <c r="R11" s="21">
        <f>PLANTILLA!AC12</f>
        <v>6.75</v>
      </c>
      <c r="S11" s="21">
        <f>PLANTILLA!AD12</f>
        <v>3</v>
      </c>
      <c r="T11" s="155">
        <v>0</v>
      </c>
      <c r="U11" s="155">
        <v>0</v>
      </c>
      <c r="V11" s="155">
        <v>0</v>
      </c>
      <c r="W11" s="155">
        <v>0.13</v>
      </c>
      <c r="X11" s="155">
        <v>0</v>
      </c>
      <c r="Y11" s="155">
        <f t="shared" si="2"/>
        <v>0.17</v>
      </c>
      <c r="Z11" s="155">
        <v>0</v>
      </c>
      <c r="AA11" s="153">
        <v>20</v>
      </c>
      <c r="AB11" s="154">
        <v>85</v>
      </c>
      <c r="AC11" s="25">
        <f t="shared" ref="AC11" si="11">I11+$AC$2</f>
        <v>1.5</v>
      </c>
      <c r="AD11" s="156">
        <f t="shared" ref="AD11" si="12">M11</f>
        <v>0</v>
      </c>
      <c r="AE11" s="156">
        <f t="shared" ref="AE11" si="13">N11</f>
        <v>6</v>
      </c>
      <c r="AF11" s="156">
        <f t="shared" ref="AF11" si="14">O11</f>
        <v>3</v>
      </c>
      <c r="AG11" s="156">
        <f>5</f>
        <v>5</v>
      </c>
      <c r="AH11" s="156">
        <f>Q11+(X$2/16)</f>
        <v>6.9375</v>
      </c>
      <c r="AI11" s="156">
        <f>5+18/19</f>
        <v>5.9473684210526319</v>
      </c>
      <c r="AJ11" s="156">
        <f>S11+(Z$2/5)</f>
        <v>3</v>
      </c>
    </row>
    <row r="12" spans="1:36" ht="16.5" customHeight="1" x14ac:dyDescent="0.25">
      <c r="A12" s="15" t="str">
        <f>PLANTILLA!A13</f>
        <v>#7</v>
      </c>
      <c r="B12" s="15" t="str">
        <f>PLANTILLA!B13</f>
        <v>LAT</v>
      </c>
      <c r="C12" s="121">
        <f ca="1">PLANTILLA!C13</f>
        <v>14.919642857142858</v>
      </c>
      <c r="D12" s="28" t="str">
        <f>PLANTILLA!D13</f>
        <v>Raul Riquelme</v>
      </c>
      <c r="E12" s="16">
        <f>PLANTILLA!E13</f>
        <v>18</v>
      </c>
      <c r="F12" s="17">
        <f ca="1">PLANTILLA!F13</f>
        <v>9</v>
      </c>
      <c r="G12" s="18" t="str">
        <f>PLANTILLA!G13</f>
        <v>RAP</v>
      </c>
      <c r="H12" s="4">
        <f>PLANTILLA!H13</f>
        <v>6</v>
      </c>
      <c r="I12" s="27">
        <f>PLANTILLA!I13</f>
        <v>1.5</v>
      </c>
      <c r="J12" s="19">
        <f>PLANTILLA!O13</f>
        <v>3.5</v>
      </c>
      <c r="K12" s="6">
        <f t="shared" si="4"/>
        <v>54</v>
      </c>
      <c r="L12" s="6">
        <f t="shared" si="5"/>
        <v>73.5</v>
      </c>
      <c r="M12" s="21">
        <f>PLANTILLA!X13</f>
        <v>0</v>
      </c>
      <c r="N12" s="21">
        <f>PLANTILLA!Y13</f>
        <v>6</v>
      </c>
      <c r="O12" s="21">
        <f>PLANTILLA!Z13</f>
        <v>3</v>
      </c>
      <c r="P12" s="21">
        <f>PLANTILLA!AA13</f>
        <v>3</v>
      </c>
      <c r="Q12" s="21">
        <f>PLANTILLA!AB13</f>
        <v>3.33</v>
      </c>
      <c r="R12" s="21">
        <f>PLANTILLA!AC13</f>
        <v>6.3012044817927162</v>
      </c>
      <c r="S12" s="21">
        <f>PLANTILLA!AD13</f>
        <v>4</v>
      </c>
      <c r="T12" s="155">
        <v>0</v>
      </c>
      <c r="U12" s="155">
        <v>0</v>
      </c>
      <c r="V12" s="155">
        <v>0</v>
      </c>
      <c r="W12" s="155">
        <v>0.13</v>
      </c>
      <c r="X12" s="155">
        <v>0</v>
      </c>
      <c r="Y12" s="155">
        <f t="shared" si="2"/>
        <v>0.17</v>
      </c>
      <c r="Z12" s="155">
        <v>0</v>
      </c>
      <c r="AA12" s="153">
        <v>20</v>
      </c>
      <c r="AB12" s="154">
        <v>54</v>
      </c>
      <c r="AC12" s="25">
        <f t="shared" si="3"/>
        <v>1.5</v>
      </c>
      <c r="AD12" s="156">
        <f t="shared" si="6"/>
        <v>0</v>
      </c>
      <c r="AE12" s="156">
        <f t="shared" si="7"/>
        <v>6</v>
      </c>
      <c r="AF12" s="156">
        <f t="shared" si="8"/>
        <v>3</v>
      </c>
      <c r="AG12" s="156">
        <f>5+14/18</f>
        <v>5.7777777777777777</v>
      </c>
      <c r="AH12" s="156">
        <f>Q12+(X$2/9)</f>
        <v>3.2188888888888889</v>
      </c>
      <c r="AI12" s="156">
        <f>5+2/20</f>
        <v>5.0999999999999996</v>
      </c>
      <c r="AJ12" s="156">
        <f>S12+(Z$2/3)</f>
        <v>4</v>
      </c>
    </row>
    <row r="13" spans="1:36" ht="16.5" customHeight="1" x14ac:dyDescent="0.25">
      <c r="A13" s="15" t="str">
        <f>PLANTILLA!A14</f>
        <v>#21</v>
      </c>
      <c r="B13" s="15" t="str">
        <f>PLANTILLA!B14</f>
        <v>MED</v>
      </c>
      <c r="C13" s="121">
        <f ca="1">PLANTILLA!C14</f>
        <v>14.366071428571429</v>
      </c>
      <c r="D13" s="28" t="str">
        <f>PLANTILLA!D14</f>
        <v>Fernando Gazón</v>
      </c>
      <c r="E13" s="16">
        <f>PLANTILLA!E14</f>
        <v>18</v>
      </c>
      <c r="F13" s="17">
        <f ca="1">PLANTILLA!F14</f>
        <v>71</v>
      </c>
      <c r="G13" s="18" t="str">
        <f>PLANTILLA!G14</f>
        <v>IMP</v>
      </c>
      <c r="H13" s="4">
        <f>PLANTILLA!H14</f>
        <v>3</v>
      </c>
      <c r="I13" s="27">
        <f>PLANTILLA!I14</f>
        <v>1.3</v>
      </c>
      <c r="J13" s="19">
        <f>PLANTILLA!O14</f>
        <v>5</v>
      </c>
      <c r="K13" s="6">
        <f t="shared" si="4"/>
        <v>11.700000000000001</v>
      </c>
      <c r="L13" s="6">
        <f t="shared" si="5"/>
        <v>20.8</v>
      </c>
      <c r="M13" s="21">
        <f>PLANTILLA!X14</f>
        <v>0</v>
      </c>
      <c r="N13" s="21">
        <f>PLANTILLA!Y14</f>
        <v>3</v>
      </c>
      <c r="O13" s="21">
        <f>PLANTILLA!Z14</f>
        <v>6</v>
      </c>
      <c r="P13" s="21">
        <f>PLANTILLA!AA14</f>
        <v>3</v>
      </c>
      <c r="Q13" s="21">
        <f>PLANTILLA!AB14</f>
        <v>4.25</v>
      </c>
      <c r="R13" s="21">
        <f>PLANTILLA!AC14</f>
        <v>5.560202614379083</v>
      </c>
      <c r="S13" s="21">
        <f>PLANTILLA!AD14</f>
        <v>3</v>
      </c>
      <c r="T13" s="155">
        <v>0</v>
      </c>
      <c r="U13" s="155">
        <v>0</v>
      </c>
      <c r="V13" s="155">
        <v>0</v>
      </c>
      <c r="W13" s="155">
        <v>1</v>
      </c>
      <c r="X13" s="155">
        <v>0</v>
      </c>
      <c r="Y13" s="155">
        <v>1</v>
      </c>
      <c r="Z13" s="155">
        <v>0</v>
      </c>
      <c r="AA13" s="153">
        <v>20</v>
      </c>
      <c r="AB13" s="154">
        <v>55</v>
      </c>
      <c r="AC13" s="25">
        <f t="shared" si="3"/>
        <v>1.3</v>
      </c>
      <c r="AD13" s="156">
        <f t="shared" si="6"/>
        <v>0</v>
      </c>
      <c r="AE13" s="156">
        <f t="shared" si="7"/>
        <v>3</v>
      </c>
      <c r="AF13" s="156">
        <f t="shared" si="8"/>
        <v>6</v>
      </c>
      <c r="AG13" s="156">
        <f>12+5/6</f>
        <v>12.833333333333334</v>
      </c>
      <c r="AH13" s="156">
        <f>Q13+(X$2/6)</f>
        <v>4.083333333333333</v>
      </c>
      <c r="AI13" s="156">
        <f>8+2/4</f>
        <v>8.5</v>
      </c>
      <c r="AJ13" s="156">
        <f>S13+(Z$2/2.5)</f>
        <v>3</v>
      </c>
    </row>
    <row r="14" spans="1:36" ht="16.5" customHeight="1" x14ac:dyDescent="0.25">
      <c r="A14" s="15" t="str">
        <f>PLANTILLA!A15</f>
        <v>#26</v>
      </c>
      <c r="B14" s="15" t="str">
        <f>PLANTILLA!B15</f>
        <v>MED</v>
      </c>
      <c r="C14" s="121">
        <f ca="1">PLANTILLA!C15</f>
        <v>14.473214285714286</v>
      </c>
      <c r="D14" s="28" t="str">
        <f>PLANTILLA!D15</f>
        <v>Roberto Abenoza</v>
      </c>
      <c r="E14" s="16">
        <f>PLANTILLA!E15</f>
        <v>18</v>
      </c>
      <c r="F14" s="17">
        <f ca="1">PLANTILLA!F15</f>
        <v>59</v>
      </c>
      <c r="G14" s="18" t="str">
        <f>PLANTILLA!G15</f>
        <v>CAB</v>
      </c>
      <c r="H14" s="4">
        <f>PLANTILLA!H15</f>
        <v>4</v>
      </c>
      <c r="I14" s="27">
        <f>PLANTILLA!I15</f>
        <v>0.6</v>
      </c>
      <c r="J14" s="19">
        <f>PLANTILLA!O15</f>
        <v>4.8</v>
      </c>
      <c r="K14" s="6">
        <f t="shared" si="4"/>
        <v>9.6</v>
      </c>
      <c r="L14" s="6">
        <f t="shared" si="5"/>
        <v>15</v>
      </c>
      <c r="M14" s="21">
        <f>PLANTILLA!X15</f>
        <v>0</v>
      </c>
      <c r="N14" s="21">
        <f>PLANTILLA!Y15</f>
        <v>2</v>
      </c>
      <c r="O14" s="21">
        <f>PLANTILLA!Z15</f>
        <v>5</v>
      </c>
      <c r="P14" s="21">
        <f>PLANTILLA!AA15</f>
        <v>3</v>
      </c>
      <c r="Q14" s="21">
        <f>PLANTILLA!AB15</f>
        <v>3</v>
      </c>
      <c r="R14" s="21">
        <f>PLANTILLA!AC15</f>
        <v>5.6499999999999977</v>
      </c>
      <c r="S14" s="21">
        <f>PLANTILLA!AD15</f>
        <v>5</v>
      </c>
      <c r="T14" s="155">
        <v>0</v>
      </c>
      <c r="U14" s="155">
        <v>0</v>
      </c>
      <c r="V14" s="155">
        <v>0</v>
      </c>
      <c r="W14" s="155">
        <v>1</v>
      </c>
      <c r="X14" s="155">
        <v>0</v>
      </c>
      <c r="Y14" s="155">
        <v>1</v>
      </c>
      <c r="Z14" s="155">
        <v>0</v>
      </c>
      <c r="AA14" s="153">
        <v>20</v>
      </c>
      <c r="AB14" s="154">
        <v>55</v>
      </c>
      <c r="AC14" s="25">
        <f t="shared" si="3"/>
        <v>0.6</v>
      </c>
      <c r="AD14" s="156">
        <f t="shared" si="6"/>
        <v>0</v>
      </c>
      <c r="AE14" s="156">
        <f t="shared" si="7"/>
        <v>2</v>
      </c>
      <c r="AF14" s="156">
        <f t="shared" si="8"/>
        <v>5</v>
      </c>
      <c r="AG14" s="156">
        <f>12+3/6</f>
        <v>12.5</v>
      </c>
      <c r="AH14" s="156">
        <f>Q14+(X$2/16)</f>
        <v>2.9375</v>
      </c>
      <c r="AI14" s="156">
        <f>8+2/4</f>
        <v>8.5</v>
      </c>
      <c r="AJ14" s="156">
        <f>S14+(Z$2/2)</f>
        <v>5</v>
      </c>
    </row>
    <row r="15" spans="1:36" ht="16.5" customHeight="1" x14ac:dyDescent="0.25">
      <c r="A15" s="15" t="str">
        <f>PLANTILLA!A16</f>
        <v>#29</v>
      </c>
      <c r="B15" s="15" t="str">
        <f>PLANTILLA!B16</f>
        <v>MED</v>
      </c>
      <c r="C15" s="121">
        <f ca="1">PLANTILLA!C16</f>
        <v>14.741071428571429</v>
      </c>
      <c r="D15" s="28" t="str">
        <f>PLANTILLA!D16</f>
        <v>Julio Calle</v>
      </c>
      <c r="E15" s="16">
        <f>PLANTILLA!E16</f>
        <v>18</v>
      </c>
      <c r="F15" s="17">
        <f ca="1">PLANTILLA!F16</f>
        <v>29</v>
      </c>
      <c r="G15" s="18" t="str">
        <f>PLANTILLA!G16</f>
        <v>POT</v>
      </c>
      <c r="H15" s="4">
        <f>PLANTILLA!H16</f>
        <v>3</v>
      </c>
      <c r="I15" s="27">
        <f>PLANTILLA!I16</f>
        <v>0.5</v>
      </c>
      <c r="J15" s="19">
        <f>PLANTILLA!O16</f>
        <v>3.8</v>
      </c>
      <c r="K15" s="6">
        <f t="shared" si="4"/>
        <v>4.5</v>
      </c>
      <c r="L15" s="6">
        <f t="shared" si="5"/>
        <v>8</v>
      </c>
      <c r="M15" s="21">
        <f>PLANTILLA!X16</f>
        <v>0</v>
      </c>
      <c r="N15" s="21">
        <f>PLANTILLA!Y16</f>
        <v>3</v>
      </c>
      <c r="O15" s="21">
        <f>PLANTILLA!Z16</f>
        <v>4</v>
      </c>
      <c r="P15" s="21">
        <f>PLANTILLA!AA16</f>
        <v>4</v>
      </c>
      <c r="Q15" s="21">
        <f>PLANTILLA!AB16</f>
        <v>3.0151111111111111</v>
      </c>
      <c r="R15" s="21">
        <f>PLANTILLA!AC16</f>
        <v>4.5294117647058805</v>
      </c>
      <c r="S15" s="21">
        <f>PLANTILLA!AD16</f>
        <v>1.3</v>
      </c>
      <c r="T15" s="155">
        <v>0</v>
      </c>
      <c r="U15" s="155">
        <v>0</v>
      </c>
      <c r="V15" s="155">
        <v>0</v>
      </c>
      <c r="W15" s="155">
        <v>0.13</v>
      </c>
      <c r="X15" s="155">
        <v>0</v>
      </c>
      <c r="Y15" s="155">
        <f t="shared" si="2"/>
        <v>0.17</v>
      </c>
      <c r="Z15" s="155">
        <v>0</v>
      </c>
      <c r="AA15" s="153">
        <v>20</v>
      </c>
      <c r="AB15" s="154">
        <v>63</v>
      </c>
      <c r="AC15" s="25">
        <f t="shared" si="3"/>
        <v>0.5</v>
      </c>
      <c r="AD15" s="156">
        <f t="shared" si="6"/>
        <v>0</v>
      </c>
      <c r="AE15" s="156">
        <f t="shared" si="7"/>
        <v>3</v>
      </c>
      <c r="AF15" s="156">
        <f t="shared" si="8"/>
        <v>4</v>
      </c>
      <c r="AG15" s="156">
        <f>6+11/20</f>
        <v>6.55</v>
      </c>
      <c r="AH15" s="156">
        <f>Q15+(X$2/12)</f>
        <v>2.9317777777777776</v>
      </c>
      <c r="AI15" s="156">
        <f>5+2/20</f>
        <v>5.0999999999999996</v>
      </c>
      <c r="AJ15" s="156">
        <f>S15+(Z$2/2)</f>
        <v>1.3</v>
      </c>
    </row>
    <row r="16" spans="1:36" ht="16.5" customHeight="1" x14ac:dyDescent="0.25">
      <c r="A16" s="15" t="str">
        <f>PLANTILLA!A18</f>
        <v>#8</v>
      </c>
      <c r="B16" s="15" t="str">
        <f>PLANTILLA!B18</f>
        <v>EXT</v>
      </c>
      <c r="C16" s="121">
        <f ca="1">PLANTILLA!C18</f>
        <v>14.732142857142858</v>
      </c>
      <c r="D16" s="28" t="str">
        <f>PLANTILLA!D18</f>
        <v>Enrique Cubas</v>
      </c>
      <c r="E16" s="16">
        <f>PLANTILLA!E18</f>
        <v>18</v>
      </c>
      <c r="F16" s="17">
        <f ca="1">PLANTILLA!F18</f>
        <v>30</v>
      </c>
      <c r="G16" s="18" t="str">
        <f>PLANTILLA!G18</f>
        <v>RAP</v>
      </c>
      <c r="H16" s="4">
        <f>PLANTILLA!H18</f>
        <v>1</v>
      </c>
      <c r="I16" s="27">
        <f>PLANTILLA!I18</f>
        <v>1.7</v>
      </c>
      <c r="J16" s="19">
        <f>PLANTILLA!O18</f>
        <v>4.8</v>
      </c>
      <c r="K16" s="6">
        <f t="shared" si="4"/>
        <v>1.7</v>
      </c>
      <c r="L16" s="6">
        <f t="shared" si="5"/>
        <v>6.8</v>
      </c>
      <c r="M16" s="21">
        <f>PLANTILLA!X18</f>
        <v>0</v>
      </c>
      <c r="N16" s="21">
        <f>PLANTILLA!Y18</f>
        <v>2</v>
      </c>
      <c r="O16" s="21">
        <f>PLANTILLA!Z18</f>
        <v>5.7</v>
      </c>
      <c r="P16" s="21">
        <f>PLANTILLA!AA18</f>
        <v>5.5</v>
      </c>
      <c r="Q16" s="21">
        <f>PLANTILLA!AB18</f>
        <v>6</v>
      </c>
      <c r="R16" s="21">
        <f>PLANTILLA!AC18</f>
        <v>7.25</v>
      </c>
      <c r="S16" s="21">
        <f>PLANTILLA!AD18</f>
        <v>5</v>
      </c>
      <c r="T16" s="155">
        <v>0</v>
      </c>
      <c r="U16" s="155">
        <v>0</v>
      </c>
      <c r="V16" s="155">
        <v>0</v>
      </c>
      <c r="W16" s="155">
        <v>0.5</v>
      </c>
      <c r="X16" s="155">
        <v>0</v>
      </c>
      <c r="Y16" s="155">
        <f t="shared" si="2"/>
        <v>0.17</v>
      </c>
      <c r="Z16" s="155">
        <v>0</v>
      </c>
      <c r="AA16" s="153">
        <v>20</v>
      </c>
      <c r="AB16" s="154">
        <v>53</v>
      </c>
      <c r="AC16" s="25">
        <f t="shared" si="3"/>
        <v>1.7</v>
      </c>
      <c r="AD16" s="156">
        <f t="shared" si="6"/>
        <v>0</v>
      </c>
      <c r="AE16" s="156">
        <f t="shared" si="7"/>
        <v>2</v>
      </c>
      <c r="AF16" s="156">
        <f t="shared" si="8"/>
        <v>5.7</v>
      </c>
      <c r="AG16" s="156">
        <f>5</f>
        <v>5</v>
      </c>
      <c r="AH16" s="156">
        <f>Q16+(X$2/13)</f>
        <v>5.9230769230769234</v>
      </c>
      <c r="AI16" s="156">
        <f>5+19/20</f>
        <v>5.95</v>
      </c>
      <c r="AJ16" s="156">
        <f>S16+(Z$2/3)</f>
        <v>5</v>
      </c>
    </row>
    <row r="17" spans="1:36" ht="16.5" customHeight="1" x14ac:dyDescent="0.25">
      <c r="A17" s="15" t="str">
        <f>PLANTILLA!A19</f>
        <v>#11</v>
      </c>
      <c r="B17" s="15" t="str">
        <f>PLANTILLA!B19</f>
        <v>EXT</v>
      </c>
      <c r="C17" s="121">
        <f ca="1">PLANTILLA!C19</f>
        <v>14.732142857142858</v>
      </c>
      <c r="D17" s="28" t="str">
        <f>PLANTILLA!D19</f>
        <v>J. G. Peñuela</v>
      </c>
      <c r="E17" s="16">
        <f>PLANTILLA!E19</f>
        <v>18</v>
      </c>
      <c r="F17" s="17">
        <f ca="1">PLANTILLA!F19</f>
        <v>30</v>
      </c>
      <c r="G17" s="18" t="str">
        <f>PLANTILLA!G19</f>
        <v>IMP</v>
      </c>
      <c r="H17" s="4">
        <f>PLANTILLA!H19</f>
        <v>6</v>
      </c>
      <c r="I17" s="27">
        <f>PLANTILLA!I19</f>
        <v>1.6</v>
      </c>
      <c r="J17" s="19">
        <f>PLANTILLA!O19</f>
        <v>4.5</v>
      </c>
      <c r="K17" s="6">
        <f t="shared" si="4"/>
        <v>57.6</v>
      </c>
      <c r="L17" s="6">
        <f t="shared" si="5"/>
        <v>78.400000000000006</v>
      </c>
      <c r="M17" s="21">
        <f>PLANTILLA!X19</f>
        <v>0</v>
      </c>
      <c r="N17" s="21">
        <f>PLANTILLA!Y19</f>
        <v>3</v>
      </c>
      <c r="O17" s="21">
        <f>PLANTILLA!Z19</f>
        <v>5</v>
      </c>
      <c r="P17" s="21">
        <f>PLANTILLA!AA19</f>
        <v>4</v>
      </c>
      <c r="Q17" s="21">
        <f>PLANTILLA!AB19</f>
        <v>5</v>
      </c>
      <c r="R17" s="21">
        <f>PLANTILLA!AC19</f>
        <v>7.6016666666666675</v>
      </c>
      <c r="S17" s="21">
        <f>PLANTILLA!AD19</f>
        <v>3</v>
      </c>
      <c r="T17" s="155">
        <v>0</v>
      </c>
      <c r="U17" s="155">
        <v>0</v>
      </c>
      <c r="V17" s="155">
        <v>0</v>
      </c>
      <c r="W17" s="155">
        <v>0.5</v>
      </c>
      <c r="X17" s="155">
        <v>0</v>
      </c>
      <c r="Y17" s="155">
        <f t="shared" si="2"/>
        <v>0.17</v>
      </c>
      <c r="Z17" s="155">
        <v>0</v>
      </c>
      <c r="AA17" s="153">
        <v>20</v>
      </c>
      <c r="AB17" s="154">
        <v>96</v>
      </c>
      <c r="AC17" s="25">
        <f t="shared" si="3"/>
        <v>1.6</v>
      </c>
      <c r="AD17" s="156">
        <f t="shared" si="6"/>
        <v>0</v>
      </c>
      <c r="AE17" s="156">
        <f t="shared" si="7"/>
        <v>3</v>
      </c>
      <c r="AF17" s="156">
        <f t="shared" si="8"/>
        <v>5</v>
      </c>
      <c r="AG17" s="156">
        <f>5</f>
        <v>5</v>
      </c>
      <c r="AH17" s="156">
        <f>Q17+(X$2/13)</f>
        <v>4.9230769230769234</v>
      </c>
      <c r="AI17" s="156">
        <f>6+19/23</f>
        <v>6.8260869565217392</v>
      </c>
      <c r="AJ17" s="156">
        <f>S17+(Z$2/3)</f>
        <v>3</v>
      </c>
    </row>
    <row r="18" spans="1:36" ht="16.5" customHeight="1" x14ac:dyDescent="0.25">
      <c r="A18" s="15" t="str">
        <f>PLANTILLA!A20</f>
        <v>#24</v>
      </c>
      <c r="B18" s="15" t="str">
        <f>PLANTILLA!B20</f>
        <v>EXT</v>
      </c>
      <c r="C18" s="121">
        <f ca="1">PLANTILLA!C20</f>
        <v>14.660714285714286</v>
      </c>
      <c r="D18" s="28" t="str">
        <f>PLANTILLA!D20</f>
        <v>Paulo Beltrán</v>
      </c>
      <c r="E18" s="16">
        <f>PLANTILLA!E20</f>
        <v>18</v>
      </c>
      <c r="F18" s="17">
        <f ca="1">PLANTILLA!F20</f>
        <v>38</v>
      </c>
      <c r="G18" s="18" t="str">
        <f>PLANTILLA!G20</f>
        <v>RAP</v>
      </c>
      <c r="H18" s="4">
        <f>PLANTILLA!H20</f>
        <v>3</v>
      </c>
      <c r="I18" s="27">
        <f>PLANTILLA!I20</f>
        <v>1.2</v>
      </c>
      <c r="J18" s="19">
        <f>PLANTILLA!O20</f>
        <v>4.8</v>
      </c>
      <c r="K18" s="6">
        <f t="shared" si="4"/>
        <v>10.799999999999999</v>
      </c>
      <c r="L18" s="6">
        <f t="shared" si="5"/>
        <v>19.2</v>
      </c>
      <c r="M18" s="21">
        <f>PLANTILLA!X20</f>
        <v>0</v>
      </c>
      <c r="N18" s="21">
        <f>PLANTILLA!Y20</f>
        <v>4</v>
      </c>
      <c r="O18" s="21">
        <f>PLANTILLA!Z20</f>
        <v>2</v>
      </c>
      <c r="P18" s="21">
        <f>PLANTILLA!AA20</f>
        <v>5</v>
      </c>
      <c r="Q18" s="21">
        <f>PLANTILLA!AB20</f>
        <v>4.25</v>
      </c>
      <c r="R18" s="21">
        <f>PLANTILLA!AC20</f>
        <v>4.7137254901960759</v>
      </c>
      <c r="S18" s="21">
        <f>PLANTILLA!AD20</f>
        <v>4</v>
      </c>
      <c r="T18" s="155">
        <v>0</v>
      </c>
      <c r="U18" s="155">
        <v>0</v>
      </c>
      <c r="V18" s="155">
        <v>0</v>
      </c>
      <c r="W18" s="155">
        <v>0.13</v>
      </c>
      <c r="X18" s="155">
        <v>0</v>
      </c>
      <c r="Y18" s="155">
        <f t="shared" si="2"/>
        <v>0.17</v>
      </c>
      <c r="Z18" s="155">
        <v>0</v>
      </c>
      <c r="AA18" s="153">
        <v>20</v>
      </c>
      <c r="AB18" s="154">
        <v>52</v>
      </c>
      <c r="AC18" s="25">
        <f t="shared" si="3"/>
        <v>1.2</v>
      </c>
      <c r="AD18" s="156">
        <f t="shared" si="6"/>
        <v>0</v>
      </c>
      <c r="AE18" s="156">
        <f t="shared" si="7"/>
        <v>4</v>
      </c>
      <c r="AF18" s="156">
        <f t="shared" si="8"/>
        <v>2</v>
      </c>
      <c r="AG18" s="156">
        <f>4+4/15</f>
        <v>4.2666666666666666</v>
      </c>
      <c r="AH18" s="156">
        <f>Q18+(X$2/13)</f>
        <v>4.1730769230769234</v>
      </c>
      <c r="AI18" s="156">
        <f>5+19/20</f>
        <v>5.95</v>
      </c>
      <c r="AJ18" s="156">
        <f>S18+(Z$2/3)</f>
        <v>4</v>
      </c>
    </row>
    <row r="19" spans="1:36" ht="16.5" customHeight="1" x14ac:dyDescent="0.25">
      <c r="A19" s="15" t="str">
        <f>PLANTILLA!A21</f>
        <v>#22</v>
      </c>
      <c r="B19" s="15" t="str">
        <f>PLANTILLA!B21</f>
        <v>DAV</v>
      </c>
      <c r="C19" s="121">
        <f ca="1">PLANTILLA!C21</f>
        <v>14.75</v>
      </c>
      <c r="D19" s="28" t="str">
        <f>PLANTILLA!D21</f>
        <v>Santiago Serra</v>
      </c>
      <c r="E19" s="16">
        <f>PLANTILLA!E21</f>
        <v>18</v>
      </c>
      <c r="F19" s="17">
        <f ca="1">PLANTILLA!F21</f>
        <v>28</v>
      </c>
      <c r="G19" s="18"/>
      <c r="H19" s="4">
        <f>PLANTILLA!H21</f>
        <v>4</v>
      </c>
      <c r="I19" s="27">
        <f>PLANTILLA!I21</f>
        <v>1.2</v>
      </c>
      <c r="J19" s="19">
        <f>PLANTILLA!O21</f>
        <v>4.8</v>
      </c>
      <c r="K19" s="6">
        <f t="shared" ref="K19" si="15">(H19)*(H19)*(I19)</f>
        <v>19.2</v>
      </c>
      <c r="L19" s="6">
        <f t="shared" ref="L19" si="16">(H19+1)*(H19+1)*I19</f>
        <v>30</v>
      </c>
      <c r="M19" s="21">
        <f>PLANTILLA!X21</f>
        <v>1</v>
      </c>
      <c r="N19" s="21">
        <f>PLANTILLA!Y21</f>
        <v>4</v>
      </c>
      <c r="O19" s="21">
        <f>PLANTILLA!Z21</f>
        <v>2</v>
      </c>
      <c r="P19" s="21">
        <f>PLANTILLA!AA21</f>
        <v>3</v>
      </c>
      <c r="Q19" s="21">
        <f>PLANTILLA!AB21</f>
        <v>5</v>
      </c>
      <c r="R19" s="21">
        <f>PLANTILLA!AC21</f>
        <v>6.1527777777777759</v>
      </c>
      <c r="S19" s="21">
        <f>PLANTILLA!AD21</f>
        <v>6</v>
      </c>
      <c r="T19" s="155">
        <v>0</v>
      </c>
      <c r="U19" s="155">
        <v>0</v>
      </c>
      <c r="V19" s="155">
        <v>0</v>
      </c>
      <c r="W19" s="155">
        <v>0.5</v>
      </c>
      <c r="X19" s="155">
        <v>0</v>
      </c>
      <c r="Y19" s="155">
        <v>1</v>
      </c>
      <c r="Z19" s="155">
        <v>0</v>
      </c>
      <c r="AA19" s="153">
        <v>20</v>
      </c>
      <c r="AB19" s="154">
        <v>53</v>
      </c>
      <c r="AC19" s="25">
        <f t="shared" ref="AC19" si="17">I19+$AC$2</f>
        <v>1.2</v>
      </c>
      <c r="AD19" s="156">
        <f t="shared" ref="AD19" si="18">M19</f>
        <v>1</v>
      </c>
      <c r="AE19" s="156">
        <f t="shared" ref="AE19" si="19">N19</f>
        <v>4</v>
      </c>
      <c r="AF19" s="156">
        <f t="shared" ref="AF19" si="20">O19</f>
        <v>2</v>
      </c>
      <c r="AG19" s="156">
        <v>10</v>
      </c>
      <c r="AH19" s="156">
        <f>Q19+(X$2/13)</f>
        <v>4.9230769230769234</v>
      </c>
      <c r="AI19" s="156">
        <v>10</v>
      </c>
      <c r="AJ19" s="156">
        <f>S19+(Z$2/3)</f>
        <v>6</v>
      </c>
    </row>
    <row r="20" spans="1:36" ht="16.5" customHeight="1" x14ac:dyDescent="0.25">
      <c r="A20" s="15" t="str">
        <f>PLANTILLA!A22</f>
        <v>#25</v>
      </c>
      <c r="B20" s="15" t="str">
        <f>PLANTILLA!B22</f>
        <v>DAV</v>
      </c>
      <c r="C20" s="121">
        <f ca="1">PLANTILLA!C22</f>
        <v>14.366071428571429</v>
      </c>
      <c r="D20" s="28" t="str">
        <f>PLANTILLA!D22</f>
        <v>Nicolás Eans</v>
      </c>
      <c r="E20" s="16">
        <f>PLANTILLA!E22</f>
        <v>18</v>
      </c>
      <c r="F20" s="17">
        <f ca="1">PLANTILLA!F22</f>
        <v>71</v>
      </c>
      <c r="G20" s="18"/>
      <c r="H20" s="4">
        <f>PLANTILLA!H22</f>
        <v>3</v>
      </c>
      <c r="I20" s="27">
        <f>PLANTILLA!I22</f>
        <v>1</v>
      </c>
      <c r="J20" s="19">
        <f>PLANTILLA!O22</f>
        <v>4.8</v>
      </c>
      <c r="K20" s="6">
        <f t="shared" ref="K20:K21" si="21">(H20)*(H20)*(I20)</f>
        <v>9</v>
      </c>
      <c r="L20" s="6">
        <f t="shared" ref="L20:L21" si="22">(H20+1)*(H20+1)*I20</f>
        <v>16</v>
      </c>
      <c r="M20" s="21">
        <f>PLANTILLA!X22</f>
        <v>0</v>
      </c>
      <c r="N20" s="21">
        <f>PLANTILLA!Y22</f>
        <v>5</v>
      </c>
      <c r="O20" s="21">
        <f>PLANTILLA!Z22</f>
        <v>2</v>
      </c>
      <c r="P20" s="21">
        <f>PLANTILLA!AA22</f>
        <v>3</v>
      </c>
      <c r="Q20" s="21">
        <f>PLANTILLA!AB22</f>
        <v>5</v>
      </c>
      <c r="R20" s="21">
        <f>PLANTILLA!AC22</f>
        <v>6.5652173913043503</v>
      </c>
      <c r="S20" s="21">
        <f>PLANTILLA!AD22</f>
        <v>3</v>
      </c>
      <c r="T20" s="155">
        <v>0</v>
      </c>
      <c r="U20" s="155">
        <v>0</v>
      </c>
      <c r="V20" s="155">
        <v>0</v>
      </c>
      <c r="W20" s="155">
        <v>0.5</v>
      </c>
      <c r="X20" s="155">
        <v>0</v>
      </c>
      <c r="Y20" s="155">
        <v>1</v>
      </c>
      <c r="Z20" s="155">
        <v>0</v>
      </c>
      <c r="AA20" s="153">
        <v>20</v>
      </c>
      <c r="AB20" s="154">
        <v>54</v>
      </c>
      <c r="AC20" s="25">
        <f t="shared" ref="AC20:AC21" si="23">I20+$AC$2</f>
        <v>1</v>
      </c>
      <c r="AD20" s="156">
        <f t="shared" ref="AD20:AD21" si="24">M20</f>
        <v>0</v>
      </c>
      <c r="AE20" s="156">
        <f t="shared" ref="AE20:AE21" si="25">N20</f>
        <v>5</v>
      </c>
      <c r="AF20" s="156">
        <f t="shared" ref="AF20:AF21" si="26">O20</f>
        <v>2</v>
      </c>
      <c r="AG20" s="156">
        <v>11</v>
      </c>
      <c r="AH20" s="156">
        <f t="shared" ref="AH20:AH21" si="27">Q20+(X$2/13)</f>
        <v>4.9230769230769234</v>
      </c>
      <c r="AI20" s="156">
        <v>11</v>
      </c>
      <c r="AJ20" s="156">
        <f t="shared" ref="AJ20:AJ21" si="28">S20+(Z$2/3)</f>
        <v>3</v>
      </c>
    </row>
    <row r="21" spans="1:36" ht="16.5" customHeight="1" x14ac:dyDescent="0.25">
      <c r="A21" s="15" t="str">
        <f>PLANTILLA!A23</f>
        <v>#27</v>
      </c>
      <c r="B21" s="15" t="str">
        <f>PLANTILLA!B23</f>
        <v>DAV</v>
      </c>
      <c r="C21" s="121">
        <f ca="1">PLANTILLA!C23</f>
        <v>14.758928571428571</v>
      </c>
      <c r="D21" s="28" t="str">
        <f>PLANTILLA!D23</f>
        <v>Noel Fuster</v>
      </c>
      <c r="E21" s="16">
        <f>PLANTILLA!E23</f>
        <v>18</v>
      </c>
      <c r="F21" s="17">
        <f ca="1">PLANTILLA!F23</f>
        <v>27</v>
      </c>
      <c r="G21" s="18"/>
      <c r="H21" s="4">
        <f>PLANTILLA!H23</f>
        <v>4</v>
      </c>
      <c r="I21" s="27">
        <f>PLANTILLA!I23</f>
        <v>0.5</v>
      </c>
      <c r="J21" s="19">
        <f>PLANTILLA!O23</f>
        <v>4.5</v>
      </c>
      <c r="K21" s="6">
        <f t="shared" si="21"/>
        <v>8</v>
      </c>
      <c r="L21" s="6">
        <f t="shared" si="22"/>
        <v>12.5</v>
      </c>
      <c r="M21" s="21">
        <f>PLANTILLA!X23</f>
        <v>0</v>
      </c>
      <c r="N21" s="21">
        <f>PLANTILLA!Y23</f>
        <v>4</v>
      </c>
      <c r="O21" s="21">
        <f>PLANTILLA!Z23</f>
        <v>2</v>
      </c>
      <c r="P21" s="21">
        <f>PLANTILLA!AA23</f>
        <v>2</v>
      </c>
      <c r="Q21" s="21">
        <f>PLANTILLA!AB23</f>
        <v>3.0896666666666666</v>
      </c>
      <c r="R21" s="21">
        <f>PLANTILLA!AC23</f>
        <v>5.5527777777777763</v>
      </c>
      <c r="S21" s="21">
        <f>PLANTILLA!AD23</f>
        <v>2.5</v>
      </c>
      <c r="T21" s="155">
        <v>0</v>
      </c>
      <c r="U21" s="155">
        <v>0</v>
      </c>
      <c r="V21" s="155">
        <v>0</v>
      </c>
      <c r="W21" s="155">
        <v>0.5</v>
      </c>
      <c r="X21" s="155">
        <v>0</v>
      </c>
      <c r="Y21" s="155">
        <v>1</v>
      </c>
      <c r="Z21" s="155">
        <v>0</v>
      </c>
      <c r="AA21" s="153">
        <v>20</v>
      </c>
      <c r="AB21" s="154">
        <v>55</v>
      </c>
      <c r="AC21" s="25">
        <f t="shared" si="23"/>
        <v>0.5</v>
      </c>
      <c r="AD21" s="156">
        <f t="shared" si="24"/>
        <v>0</v>
      </c>
      <c r="AE21" s="156">
        <f t="shared" si="25"/>
        <v>4</v>
      </c>
      <c r="AF21" s="156">
        <f t="shared" si="26"/>
        <v>2</v>
      </c>
      <c r="AG21" s="156">
        <v>12</v>
      </c>
      <c r="AH21" s="156">
        <f t="shared" si="27"/>
        <v>3.0127435897435895</v>
      </c>
      <c r="AI21" s="156">
        <v>12</v>
      </c>
      <c r="AJ21" s="156">
        <f t="shared" si="28"/>
        <v>2.5</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PLANTILLA!A24</f>
        <v>0</v>
      </c>
      <c r="B23" s="15">
        <f>PLANTILLA!B24</f>
        <v>0</v>
      </c>
      <c r="C23" s="121">
        <f>PLANTILLA!C24</f>
        <v>0</v>
      </c>
      <c r="D23" s="28" t="str">
        <f>PLANTILLA!D24</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Duffill</vt:lpstr>
      <vt:lpstr>Añigas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2018-03-23T12:06:44Z</dcterms:modified>
</cp:coreProperties>
</file>