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B3AA7D4-0C7A-4634-8160-0A6DC24422EF}" xr6:coauthVersionLast="44" xr6:coauthVersionMax="44" xr10:uidLastSave="{00000000-0000-0000-0000-000000000000}"/>
  <bookViews>
    <workbookView xWindow="-120" yWindow="-120" windowWidth="29040" windowHeight="15840" tabRatio="500" firstSheet="12" activeTab="18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Planning_v3" sheetId="23" r:id="rId6"/>
    <sheet name="Banderas" sheetId="8" r:id="rId7"/>
    <sheet name="Economia" sheetId="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</sheets>
  <definedNames>
    <definedName name="_xlnm._FilterDatabase" localSheetId="10" hidden="1">Estudio_Conversion_TL!$L$1:$O$1</definedName>
  </definedNames>
  <calcPr calcId="191029"/>
  <pivotCaches>
    <pivotCache cacheId="0" r:id="rId24"/>
    <pivotCache cacheId="1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Q13" i="17" l="1"/>
  <c r="Q14" i="17"/>
  <c r="Q11" i="17"/>
  <c r="Q12" i="17"/>
  <c r="Q10" i="17"/>
  <c r="L14" i="17" l="1"/>
  <c r="L13" i="17"/>
  <c r="L12" i="17"/>
  <c r="L11" i="17"/>
  <c r="L10" i="17"/>
  <c r="L9" i="17"/>
  <c r="L8" i="17"/>
  <c r="L7" i="17"/>
  <c r="L6" i="17"/>
  <c r="L5" i="17"/>
  <c r="L4" i="17"/>
  <c r="C18" i="21" l="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B21" i="21"/>
  <c r="B20" i="21"/>
  <c r="B19" i="21"/>
  <c r="B18" i="2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C16" i="21"/>
  <c r="M4" i="9" l="1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M7" i="9"/>
  <c r="N7" i="9"/>
  <c r="O7" i="9"/>
  <c r="P7" i="9"/>
  <c r="M8" i="9"/>
  <c r="N8" i="9"/>
  <c r="O8" i="9"/>
  <c r="P8" i="9"/>
  <c r="M9" i="9"/>
  <c r="N9" i="9"/>
  <c r="O9" i="9"/>
  <c r="P9" i="9"/>
  <c r="M10" i="9"/>
  <c r="N10" i="9"/>
  <c r="O10" i="9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M17" i="9"/>
  <c r="N17" i="9"/>
  <c r="O17" i="9"/>
  <c r="P17" i="9"/>
  <c r="M18" i="9"/>
  <c r="N18" i="9"/>
  <c r="O18" i="9"/>
  <c r="P18" i="9"/>
  <c r="M19" i="9"/>
  <c r="N19" i="9"/>
  <c r="O19" i="9"/>
  <c r="P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A4" i="9"/>
  <c r="B4" i="9"/>
  <c r="C4" i="9"/>
  <c r="D4" i="9" s="1"/>
  <c r="A5" i="9"/>
  <c r="B5" i="9"/>
  <c r="C5" i="9"/>
  <c r="D5" i="9"/>
  <c r="E5" i="9" s="1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B20" i="9"/>
  <c r="C20" i="9"/>
  <c r="D20" i="9" s="1"/>
  <c r="A21" i="9"/>
  <c r="B21" i="9"/>
  <c r="C21" i="9"/>
  <c r="D21" i="9"/>
  <c r="E21" i="9" s="1"/>
  <c r="A22" i="9"/>
  <c r="B22" i="9"/>
  <c r="C22" i="9"/>
  <c r="D22" i="9"/>
  <c r="E22" i="9"/>
  <c r="F22" i="9"/>
  <c r="A23" i="9"/>
  <c r="B23" i="9"/>
  <c r="C23" i="9"/>
  <c r="D23" i="9"/>
  <c r="E23" i="9"/>
  <c r="F23" i="9"/>
  <c r="E20" i="9" l="1"/>
  <c r="F20" i="9"/>
  <c r="F4" i="9"/>
  <c r="E4" i="9"/>
  <c r="F21" i="9"/>
  <c r="F5" i="9"/>
  <c r="Z14" i="2"/>
  <c r="Z16" i="2"/>
  <c r="Z18" i="2"/>
  <c r="Z19" i="2"/>
  <c r="Z17" i="2"/>
  <c r="Z15" i="2"/>
  <c r="AS10" i="2"/>
  <c r="Z10" i="2"/>
  <c r="Z9" i="2"/>
  <c r="AS13" i="2"/>
  <c r="Z13" i="2"/>
  <c r="Z11" i="2"/>
  <c r="AS12" i="2"/>
  <c r="Z12" i="2"/>
  <c r="V17" i="22" l="1"/>
  <c r="V18" i="22"/>
  <c r="W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W34" i="22"/>
  <c r="T12" i="23" l="1"/>
  <c r="I12" i="23"/>
  <c r="T15" i="23"/>
  <c r="T13" i="23"/>
  <c r="I13" i="23"/>
  <c r="AB7" i="23"/>
  <c r="AB8" i="23" s="1"/>
  <c r="P5" i="23"/>
  <c r="R5" i="23"/>
  <c r="S5" i="23"/>
  <c r="U5" i="23"/>
  <c r="V5" i="23"/>
  <c r="W5" i="23"/>
  <c r="X5" i="23"/>
  <c r="Y5" i="23"/>
  <c r="R6" i="23"/>
  <c r="S6" i="23"/>
  <c r="U6" i="23"/>
  <c r="V6" i="23"/>
  <c r="W6" i="23"/>
  <c r="X6" i="23"/>
  <c r="Y6" i="23"/>
  <c r="R7" i="23"/>
  <c r="S7" i="23"/>
  <c r="U7" i="23"/>
  <c r="V7" i="23"/>
  <c r="W7" i="23"/>
  <c r="X7" i="23"/>
  <c r="Y7" i="23"/>
  <c r="P8" i="23"/>
  <c r="R8" i="23"/>
  <c r="S8" i="23"/>
  <c r="U8" i="23"/>
  <c r="V8" i="23"/>
  <c r="W8" i="23"/>
  <c r="X8" i="23"/>
  <c r="Y8" i="23"/>
  <c r="R9" i="23"/>
  <c r="S9" i="23"/>
  <c r="U9" i="23"/>
  <c r="V9" i="23"/>
  <c r="W9" i="23"/>
  <c r="X9" i="23"/>
  <c r="P10" i="23"/>
  <c r="R10" i="23"/>
  <c r="S10" i="23"/>
  <c r="U10" i="23"/>
  <c r="V10" i="23"/>
  <c r="W10" i="23"/>
  <c r="X10" i="23"/>
  <c r="Y10" i="23"/>
  <c r="R11" i="23"/>
  <c r="S11" i="23"/>
  <c r="U11" i="23"/>
  <c r="V11" i="23"/>
  <c r="W11" i="23"/>
  <c r="X11" i="23"/>
  <c r="R12" i="23"/>
  <c r="S12" i="23"/>
  <c r="U12" i="23"/>
  <c r="V12" i="23"/>
  <c r="W12" i="23"/>
  <c r="X12" i="23"/>
  <c r="Y12" i="23"/>
  <c r="R13" i="23"/>
  <c r="S13" i="23"/>
  <c r="U13" i="23"/>
  <c r="V13" i="23"/>
  <c r="W13" i="23"/>
  <c r="X13" i="23"/>
  <c r="Y13" i="23"/>
  <c r="P14" i="23"/>
  <c r="R14" i="23"/>
  <c r="S14" i="23"/>
  <c r="U14" i="23"/>
  <c r="V14" i="23"/>
  <c r="W14" i="23"/>
  <c r="X14" i="23"/>
  <c r="Y14" i="23"/>
  <c r="R15" i="23"/>
  <c r="S15" i="23"/>
  <c r="U15" i="23"/>
  <c r="V15" i="23"/>
  <c r="W15" i="23"/>
  <c r="X15" i="23"/>
  <c r="Y4" i="23"/>
  <c r="S4" i="23"/>
  <c r="T4" i="23"/>
  <c r="U4" i="23"/>
  <c r="V4" i="23"/>
  <c r="W4" i="23"/>
  <c r="X4" i="23"/>
  <c r="R4" i="23"/>
  <c r="P4" i="23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M4" i="23"/>
  <c r="L4" i="23"/>
  <c r="K4" i="23"/>
  <c r="J4" i="23"/>
  <c r="I4" i="23"/>
  <c r="H4" i="23"/>
  <c r="G4" i="23"/>
  <c r="E4" i="23"/>
  <c r="D4" i="23"/>
  <c r="C4" i="23"/>
  <c r="C15" i="23"/>
  <c r="D15" i="23"/>
  <c r="E15" i="23"/>
  <c r="G15" i="23"/>
  <c r="H15" i="23"/>
  <c r="I15" i="23"/>
  <c r="J15" i="23"/>
  <c r="K15" i="23"/>
  <c r="L15" i="23"/>
  <c r="M15" i="23"/>
  <c r="N15" i="23"/>
  <c r="Y15" i="23" s="1"/>
  <c r="C14" i="23"/>
  <c r="D14" i="23"/>
  <c r="E14" i="23"/>
  <c r="G14" i="23"/>
  <c r="H14" i="23"/>
  <c r="I14" i="23"/>
  <c r="J14" i="23"/>
  <c r="K14" i="23"/>
  <c r="L14" i="23"/>
  <c r="M14" i="23"/>
  <c r="N14" i="23"/>
  <c r="C6" i="23"/>
  <c r="D6" i="23"/>
  <c r="E6" i="23"/>
  <c r="G6" i="23"/>
  <c r="H6" i="23"/>
  <c r="I6" i="23"/>
  <c r="T6" i="23" s="1"/>
  <c r="J6" i="23"/>
  <c r="K6" i="23"/>
  <c r="L6" i="23"/>
  <c r="M6" i="23"/>
  <c r="N6" i="23"/>
  <c r="C7" i="23"/>
  <c r="D7" i="23"/>
  <c r="E7" i="23"/>
  <c r="G7" i="23"/>
  <c r="H7" i="23"/>
  <c r="I7" i="23"/>
  <c r="T7" i="23" s="1"/>
  <c r="J7" i="23"/>
  <c r="K7" i="23"/>
  <c r="L7" i="23"/>
  <c r="M7" i="23"/>
  <c r="N7" i="23"/>
  <c r="C8" i="23"/>
  <c r="D8" i="23"/>
  <c r="E8" i="23"/>
  <c r="G8" i="23"/>
  <c r="H8" i="23"/>
  <c r="I8" i="23"/>
  <c r="T8" i="23" s="1"/>
  <c r="J8" i="23"/>
  <c r="K8" i="23"/>
  <c r="L8" i="23"/>
  <c r="M8" i="23"/>
  <c r="N8" i="23"/>
  <c r="C9" i="23"/>
  <c r="D9" i="23"/>
  <c r="E9" i="23"/>
  <c r="G9" i="23"/>
  <c r="H9" i="23"/>
  <c r="I9" i="23"/>
  <c r="T9" i="23" s="1"/>
  <c r="J9" i="23"/>
  <c r="K9" i="23"/>
  <c r="L9" i="23"/>
  <c r="M9" i="23"/>
  <c r="N9" i="23"/>
  <c r="Y9" i="23" s="1"/>
  <c r="C10" i="23"/>
  <c r="D10" i="23"/>
  <c r="E10" i="23"/>
  <c r="G10" i="23"/>
  <c r="H10" i="23"/>
  <c r="I10" i="23"/>
  <c r="T10" i="23" s="1"/>
  <c r="J10" i="23"/>
  <c r="K10" i="23"/>
  <c r="L10" i="23"/>
  <c r="M10" i="23"/>
  <c r="N10" i="23"/>
  <c r="C11" i="23"/>
  <c r="D11" i="23"/>
  <c r="E11" i="23"/>
  <c r="G11" i="23"/>
  <c r="H11" i="23"/>
  <c r="I11" i="23"/>
  <c r="T11" i="23" s="1"/>
  <c r="J11" i="23"/>
  <c r="K11" i="23"/>
  <c r="L11" i="23"/>
  <c r="M11" i="23"/>
  <c r="N11" i="23"/>
  <c r="Y11" i="23" s="1"/>
  <c r="C12" i="23"/>
  <c r="D12" i="23"/>
  <c r="E12" i="23"/>
  <c r="G12" i="23"/>
  <c r="H12" i="23"/>
  <c r="J12" i="23"/>
  <c r="K12" i="23"/>
  <c r="L12" i="23"/>
  <c r="M12" i="23"/>
  <c r="N12" i="23"/>
  <c r="C13" i="23"/>
  <c r="D13" i="23"/>
  <c r="E13" i="23"/>
  <c r="G13" i="23"/>
  <c r="H13" i="23"/>
  <c r="J13" i="23"/>
  <c r="K13" i="23"/>
  <c r="L13" i="23"/>
  <c r="M13" i="23"/>
  <c r="N13" i="23"/>
  <c r="C5" i="23"/>
  <c r="D5" i="23"/>
  <c r="E5" i="23"/>
  <c r="G5" i="23"/>
  <c r="H5" i="23"/>
  <c r="I5" i="23"/>
  <c r="T5" i="23" s="1"/>
  <c r="J5" i="23"/>
  <c r="K5" i="23"/>
  <c r="L5" i="23"/>
  <c r="M5" i="23"/>
  <c r="N5" i="23"/>
  <c r="N4" i="5"/>
  <c r="H4" i="5"/>
  <c r="I4" i="5"/>
  <c r="J4" i="5"/>
  <c r="K4" i="5"/>
  <c r="L4" i="5"/>
  <c r="M4" i="5"/>
  <c r="G4" i="5"/>
  <c r="E4" i="5"/>
  <c r="D4" i="5"/>
  <c r="C4" i="5"/>
  <c r="AD14" i="2"/>
  <c r="AC14" i="2"/>
  <c r="AD16" i="2"/>
  <c r="AC16" i="2"/>
  <c r="AD18" i="2"/>
  <c r="AC18" i="2"/>
  <c r="AD19" i="2"/>
  <c r="AC19" i="2"/>
  <c r="AD17" i="2"/>
  <c r="AC17" i="2"/>
  <c r="AD15" i="2"/>
  <c r="AC15" i="2"/>
  <c r="AD10" i="2"/>
  <c r="AC10" i="2"/>
  <c r="AD9" i="2"/>
  <c r="AC9" i="2"/>
  <c r="AD13" i="2"/>
  <c r="AC13" i="2"/>
  <c r="AD11" i="2"/>
  <c r="AC11" i="2"/>
  <c r="AC12" i="2"/>
  <c r="AD12" i="2"/>
  <c r="AC5" i="2"/>
  <c r="N2" i="23" l="1"/>
  <c r="L13" i="20"/>
  <c r="L12" i="20"/>
  <c r="AD21" i="2"/>
  <c r="L8" i="20"/>
  <c r="L10" i="20"/>
  <c r="AD8" i="2"/>
  <c r="AD5" i="2"/>
  <c r="F10" i="21" l="1"/>
  <c r="F11" i="21"/>
  <c r="F12" i="21"/>
  <c r="F9" i="21"/>
  <c r="X16" i="16" l="1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V16" i="22" l="1"/>
  <c r="V15" i="22"/>
  <c r="AB2" i="22"/>
  <c r="W3" i="22" s="1"/>
  <c r="V3" i="22" l="1"/>
  <c r="Z3" i="22"/>
  <c r="Y3" i="22"/>
  <c r="X3" i="22"/>
  <c r="U20" i="2"/>
  <c r="AQ20" i="2"/>
  <c r="W20" i="2"/>
  <c r="R20" i="2"/>
  <c r="S20" i="2"/>
  <c r="P20" i="2"/>
  <c r="N20" i="2"/>
  <c r="J20" i="2"/>
  <c r="K20" i="2"/>
  <c r="L20" i="2"/>
  <c r="AF20" i="2" l="1"/>
  <c r="B18" i="9"/>
  <c r="C18" i="9"/>
  <c r="AN20" i="2"/>
  <c r="AM20" i="2"/>
  <c r="AL20" i="2"/>
  <c r="T18" i="9" s="1"/>
  <c r="AK20" i="2"/>
  <c r="S18" i="9" s="1"/>
  <c r="AJ20" i="2"/>
  <c r="R18" i="9" s="1"/>
  <c r="AI20" i="2"/>
  <c r="AH20" i="2"/>
  <c r="AG20" i="2"/>
  <c r="W31" i="22" l="1"/>
  <c r="Q18" i="9"/>
  <c r="D18" i="9"/>
  <c r="B25" i="21"/>
  <c r="C23" i="21"/>
  <c r="C27" i="21" s="1"/>
  <c r="B23" i="21"/>
  <c r="B22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V8" i="19"/>
  <c r="U8" i="19"/>
  <c r="T8" i="19"/>
  <c r="S8" i="19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T13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V23" i="12"/>
  <c r="AC23" i="12" s="1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R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AR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D26" i="10"/>
  <c r="E26" i="10" s="1"/>
  <c r="F26" i="10" s="1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Y9" i="9"/>
  <c r="W9" i="9"/>
  <c r="Z10" i="9"/>
  <c r="Y10" i="9"/>
  <c r="W10" i="9"/>
  <c r="Y8" i="9"/>
  <c r="W8" i="9"/>
  <c r="Z6" i="9"/>
  <c r="Y6" i="9"/>
  <c r="W6" i="9"/>
  <c r="Y11" i="9"/>
  <c r="W11" i="9"/>
  <c r="Y7" i="9"/>
  <c r="W7" i="9"/>
  <c r="Y3" i="9"/>
  <c r="Z5" i="9"/>
  <c r="W5" i="9"/>
  <c r="Y4" i="9"/>
  <c r="W4" i="9"/>
  <c r="A30" i="9"/>
  <c r="G30" i="9" s="1"/>
  <c r="Y2" i="9"/>
  <c r="W2" i="9"/>
  <c r="A29" i="9"/>
  <c r="G29" i="9" s="1"/>
  <c r="A27" i="9"/>
  <c r="G27" i="9" s="1"/>
  <c r="Y5" i="9"/>
  <c r="A31" i="9"/>
  <c r="A28" i="9"/>
  <c r="G28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Q6" i="7"/>
  <c r="P6" i="7"/>
  <c r="O6" i="7"/>
  <c r="N6" i="7"/>
  <c r="M6" i="7"/>
  <c r="L6" i="7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L21" i="5" s="1"/>
  <c r="AA21" i="5" s="1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N12" i="4"/>
  <c r="O12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4" i="2"/>
  <c r="T24" i="2"/>
  <c r="AQ23" i="2"/>
  <c r="AN23" i="2"/>
  <c r="AM23" i="2"/>
  <c r="W23" i="2"/>
  <c r="U23" i="2"/>
  <c r="S23" i="2"/>
  <c r="R23" i="2"/>
  <c r="N23" i="2"/>
  <c r="L23" i="2"/>
  <c r="K23" i="2"/>
  <c r="J23" i="2"/>
  <c r="AG23" i="2" s="1"/>
  <c r="AQ22" i="2"/>
  <c r="AN22" i="2"/>
  <c r="AM22" i="2"/>
  <c r="W22" i="2"/>
  <c r="U22" i="2"/>
  <c r="S22" i="2"/>
  <c r="R22" i="2"/>
  <c r="N22" i="2"/>
  <c r="L22" i="2"/>
  <c r="K22" i="2"/>
  <c r="J22" i="2"/>
  <c r="AG22" i="2" s="1"/>
  <c r="BI21" i="2"/>
  <c r="AQ21" i="2"/>
  <c r="W21" i="2"/>
  <c r="U21" i="2"/>
  <c r="S21" i="2"/>
  <c r="R21" i="2"/>
  <c r="P21" i="2"/>
  <c r="N21" i="2"/>
  <c r="L21" i="2"/>
  <c r="K21" i="2"/>
  <c r="J21" i="2"/>
  <c r="BI19" i="2"/>
  <c r="BF19" i="2"/>
  <c r="BE19" i="2"/>
  <c r="BD19" i="2"/>
  <c r="BC19" i="2"/>
  <c r="BB19" i="2"/>
  <c r="BA19" i="2"/>
  <c r="AZ19" i="2"/>
  <c r="AY19" i="2"/>
  <c r="AX19" i="2"/>
  <c r="AW19" i="2"/>
  <c r="AV19" i="2"/>
  <c r="AQ19" i="2"/>
  <c r="W19" i="2"/>
  <c r="U19" i="2"/>
  <c r="S19" i="2"/>
  <c r="R19" i="2"/>
  <c r="P19" i="2"/>
  <c r="N19" i="2"/>
  <c r="L19" i="2"/>
  <c r="K19" i="2"/>
  <c r="J19" i="2"/>
  <c r="BI18" i="2"/>
  <c r="AQ18" i="2"/>
  <c r="M14" i="4"/>
  <c r="AB14" i="4" s="1"/>
  <c r="M31" i="4" s="1"/>
  <c r="W18" i="2"/>
  <c r="U18" i="2"/>
  <c r="S18" i="2"/>
  <c r="R18" i="2"/>
  <c r="P18" i="2"/>
  <c r="N18" i="2"/>
  <c r="L18" i="2"/>
  <c r="K18" i="2"/>
  <c r="J18" i="2"/>
  <c r="BE17" i="2"/>
  <c r="AQ17" i="2"/>
  <c r="W17" i="2"/>
  <c r="U17" i="2"/>
  <c r="S17" i="2"/>
  <c r="R17" i="2"/>
  <c r="P17" i="2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Q17" i="7"/>
  <c r="W16" i="2"/>
  <c r="U16" i="2"/>
  <c r="S16" i="2"/>
  <c r="R16" i="2"/>
  <c r="P16" i="2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W15" i="2"/>
  <c r="U15" i="2"/>
  <c r="S15" i="2"/>
  <c r="R15" i="2"/>
  <c r="P15" i="2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M10" i="4"/>
  <c r="AB10" i="4" s="1"/>
  <c r="M27" i="4" s="1"/>
  <c r="W14" i="2"/>
  <c r="U14" i="2"/>
  <c r="S14" i="2"/>
  <c r="R14" i="2"/>
  <c r="P14" i="2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N10" i="2"/>
  <c r="L10" i="2"/>
  <c r="K10" i="2"/>
  <c r="J10" i="2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N9" i="2"/>
  <c r="L9" i="2"/>
  <c r="K9" i="2"/>
  <c r="J9" i="2"/>
  <c r="AQ8" i="2"/>
  <c r="W8" i="2"/>
  <c r="U8" i="2"/>
  <c r="S8" i="2"/>
  <c r="R8" i="2"/>
  <c r="P8" i="2"/>
  <c r="N8" i="2"/>
  <c r="L8" i="2"/>
  <c r="K8" i="2"/>
  <c r="J8" i="2"/>
  <c r="AQ7" i="2"/>
  <c r="AN7" i="2"/>
  <c r="AM7" i="2"/>
  <c r="W7" i="2"/>
  <c r="U7" i="2"/>
  <c r="S7" i="2"/>
  <c r="R7" i="2"/>
  <c r="N7" i="2"/>
  <c r="L7" i="2"/>
  <c r="K7" i="2"/>
  <c r="J7" i="2"/>
  <c r="AL7" i="2" s="1"/>
  <c r="AQ6" i="2"/>
  <c r="AN6" i="2"/>
  <c r="AM6" i="2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15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I3" i="7" l="1"/>
  <c r="BM3" i="7" s="1"/>
  <c r="AN5" i="2"/>
  <c r="I10" i="7"/>
  <c r="CC10" i="7" s="1"/>
  <c r="B7" i="9"/>
  <c r="C7" i="9"/>
  <c r="B10" i="9"/>
  <c r="C10" i="9"/>
  <c r="C15" i="9"/>
  <c r="B15" i="9"/>
  <c r="B13" i="9"/>
  <c r="C13" i="9"/>
  <c r="B16" i="9"/>
  <c r="C16" i="9"/>
  <c r="I9" i="7"/>
  <c r="CK9" i="7" s="1"/>
  <c r="C6" i="9"/>
  <c r="B6" i="9"/>
  <c r="I11" i="7"/>
  <c r="CC11" i="7" s="1"/>
  <c r="C8" i="9"/>
  <c r="B8" i="9"/>
  <c r="AN14" i="2"/>
  <c r="C12" i="9"/>
  <c r="B12" i="9"/>
  <c r="I12" i="7"/>
  <c r="BA12" i="7" s="1"/>
  <c r="C9" i="9"/>
  <c r="B9" i="9"/>
  <c r="B19" i="9"/>
  <c r="C19" i="9"/>
  <c r="B14" i="9"/>
  <c r="C14" i="9"/>
  <c r="C11" i="9"/>
  <c r="B11" i="9"/>
  <c r="I20" i="7"/>
  <c r="AT20" i="7" s="1"/>
  <c r="C17" i="9"/>
  <c r="B17" i="9"/>
  <c r="F18" i="9"/>
  <c r="E18" i="9"/>
  <c r="F6" i="2"/>
  <c r="F13" i="2"/>
  <c r="F9" i="23" s="1"/>
  <c r="Q9" i="23" s="1"/>
  <c r="F12" i="2"/>
  <c r="F19" i="2"/>
  <c r="F15" i="23" s="1"/>
  <c r="Q15" i="23" s="1"/>
  <c r="M9" i="17"/>
  <c r="S11" i="17"/>
  <c r="H3" i="7"/>
  <c r="V6" i="7"/>
  <c r="J26" i="10"/>
  <c r="AS6" i="12"/>
  <c r="R19" i="7"/>
  <c r="AV17" i="2"/>
  <c r="AL21" i="2"/>
  <c r="T19" i="9" s="1"/>
  <c r="BG7" i="7"/>
  <c r="AX17" i="2"/>
  <c r="AH16" i="2"/>
  <c r="R14" i="7"/>
  <c r="F20" i="2"/>
  <c r="C20" i="2" s="1"/>
  <c r="F7" i="2"/>
  <c r="N8" i="17"/>
  <c r="U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7" i="2"/>
  <c r="Q15" i="9" s="1"/>
  <c r="R15" i="7"/>
  <c r="AH7" i="2"/>
  <c r="AI7" i="2"/>
  <c r="AI23" i="2"/>
  <c r="O57" i="7"/>
  <c r="AL6" i="2"/>
  <c r="S14" i="5"/>
  <c r="W5" i="7"/>
  <c r="AH15" i="2"/>
  <c r="R4" i="7"/>
  <c r="AX5" i="7"/>
  <c r="AZ5" i="7" s="1"/>
  <c r="BR8" i="7"/>
  <c r="X7" i="20"/>
  <c r="C9" i="21"/>
  <c r="C10" i="21"/>
  <c r="B30" i="21"/>
  <c r="B31" i="21" s="1"/>
  <c r="B32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F11" i="10"/>
  <c r="J11" i="10" s="1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Y5" i="7"/>
  <c r="BF7" i="7"/>
  <c r="T20" i="7"/>
  <c r="R10" i="7"/>
  <c r="S13" i="5"/>
  <c r="T3" i="7"/>
  <c r="V2" i="15" s="1"/>
  <c r="AF5" i="7"/>
  <c r="BK6" i="7"/>
  <c r="F21" i="2"/>
  <c r="F5" i="2"/>
  <c r="G6" i="7"/>
  <c r="H6" i="7"/>
  <c r="E14" i="3"/>
  <c r="E7" i="3"/>
  <c r="E18" i="3"/>
  <c r="E8" i="3"/>
  <c r="C21" i="3"/>
  <c r="F22" i="2"/>
  <c r="D20" i="17" s="1"/>
  <c r="E13" i="3"/>
  <c r="E20" i="3"/>
  <c r="E9" i="3"/>
  <c r="E19" i="3"/>
  <c r="G12" i="7"/>
  <c r="C8" i="3"/>
  <c r="E6" i="3"/>
  <c r="C9" i="3"/>
  <c r="C7" i="3"/>
  <c r="W24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X3" i="10" s="1"/>
  <c r="J24" i="10"/>
  <c r="AW17" i="2"/>
  <c r="AH23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AK6" i="2"/>
  <c r="AJ7" i="2"/>
  <c r="BB17" i="2"/>
  <c r="AK22" i="2"/>
  <c r="AJ23" i="2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F7" i="10"/>
  <c r="Q4" i="10" s="1"/>
  <c r="X4" i="10" s="1"/>
  <c r="AN9" i="12"/>
  <c r="AN23" i="12" s="1"/>
  <c r="Y7" i="19"/>
  <c r="X9" i="20"/>
  <c r="AL22" i="2"/>
  <c r="AK23" i="2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I13" i="2"/>
  <c r="AL23" i="2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4" i="2"/>
  <c r="R2" i="2"/>
  <c r="AL12" i="2"/>
  <c r="T10" i="9" s="1"/>
  <c r="AM6" i="7"/>
  <c r="AI7" i="7"/>
  <c r="BK7" i="7"/>
  <c r="BJ8" i="7"/>
  <c r="T22" i="7"/>
  <c r="Y7" i="18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S12" i="4"/>
  <c r="V7" i="7"/>
  <c r="AN7" i="7"/>
  <c r="O4" i="15" s="1"/>
  <c r="BO7" i="7"/>
  <c r="V20" i="7"/>
  <c r="W20" i="7" s="1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5" i="2"/>
  <c r="R13" i="9" s="1"/>
  <c r="AH17" i="2"/>
  <c r="AM15" i="2"/>
  <c r="AL16" i="2"/>
  <c r="T14" i="9" s="1"/>
  <c r="F4" i="2"/>
  <c r="AL8" i="2"/>
  <c r="T6" i="9" s="1"/>
  <c r="AJ8" i="2"/>
  <c r="R6" i="9" s="1"/>
  <c r="AI9" i="2"/>
  <c r="AH5" i="2"/>
  <c r="AK9" i="2"/>
  <c r="S7" i="9" s="1"/>
  <c r="AG5" i="2"/>
  <c r="F8" i="2"/>
  <c r="AM4" i="2"/>
  <c r="AI10" i="2"/>
  <c r="AN12" i="2"/>
  <c r="F11" i="23"/>
  <c r="Q11" i="23" s="1"/>
  <c r="AJ19" i="2"/>
  <c r="R17" i="9" s="1"/>
  <c r="AE109" i="3"/>
  <c r="AN4" i="2"/>
  <c r="AK8" i="2"/>
  <c r="S6" i="9" s="1"/>
  <c r="AJ10" i="2"/>
  <c r="R8" i="9" s="1"/>
  <c r="AH11" i="2"/>
  <c r="AF12" i="2"/>
  <c r="AK16" i="2"/>
  <c r="S14" i="9" s="1"/>
  <c r="AG17" i="2"/>
  <c r="AK19" i="2"/>
  <c r="S17" i="9" s="1"/>
  <c r="C28" i="3"/>
  <c r="AK10" i="2"/>
  <c r="S8" i="9" s="1"/>
  <c r="AH12" i="2"/>
  <c r="AG13" i="2"/>
  <c r="AF18" i="2"/>
  <c r="AL19" i="2"/>
  <c r="T17" i="9" s="1"/>
  <c r="C23" i="3"/>
  <c r="F9" i="2"/>
  <c r="AM19" i="2"/>
  <c r="C26" i="3"/>
  <c r="AK15" i="2"/>
  <c r="S13" i="9" s="1"/>
  <c r="AN19" i="2"/>
  <c r="AI21" i="2"/>
  <c r="C29" i="3"/>
  <c r="AN9" i="2"/>
  <c r="F10" i="2"/>
  <c r="AL15" i="2"/>
  <c r="T13" i="9" s="1"/>
  <c r="C24" i="3"/>
  <c r="A9" i="11"/>
  <c r="A10" i="11" s="1"/>
  <c r="AI4" i="2"/>
  <c r="AL10" i="2"/>
  <c r="T8" i="9" s="1"/>
  <c r="F16" i="2"/>
  <c r="F12" i="23" s="1"/>
  <c r="Q12" i="23" s="1"/>
  <c r="AL4" i="2"/>
  <c r="T2" i="9" s="1"/>
  <c r="AI8" i="2"/>
  <c r="AN15" i="2"/>
  <c r="AI16" i="2"/>
  <c r="AF19" i="2"/>
  <c r="AD19" i="4"/>
  <c r="AJ11" i="2"/>
  <c r="R9" i="9" s="1"/>
  <c r="AZ18" i="2"/>
  <c r="N27" i="4"/>
  <c r="N30" i="4"/>
  <c r="N26" i="5"/>
  <c r="O26" i="5" s="1"/>
  <c r="G4" i="15"/>
  <c r="K41" i="7"/>
  <c r="BH7" i="7"/>
  <c r="CE7" i="7"/>
  <c r="CG7" i="7" s="1"/>
  <c r="BW7" i="7"/>
  <c r="BM7" i="7"/>
  <c r="BR7" i="7"/>
  <c r="AL7" i="7"/>
  <c r="CB7" i="7"/>
  <c r="Q54" i="7"/>
  <c r="AJ12" i="2"/>
  <c r="R10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J42" i="7"/>
  <c r="BG8" i="7"/>
  <c r="CD8" i="7"/>
  <c r="BV8" i="7"/>
  <c r="AH8" i="7"/>
  <c r="CK8" i="7"/>
  <c r="BL8" i="7"/>
  <c r="BQ8" i="7"/>
  <c r="AT8" i="7"/>
  <c r="CA8" i="7"/>
  <c r="AK8" i="7"/>
  <c r="D8" i="15"/>
  <c r="E9" i="14"/>
  <c r="H47" i="7"/>
  <c r="Z11" i="6"/>
  <c r="Z3" i="6"/>
  <c r="AH13" i="2"/>
  <c r="I21" i="7"/>
  <c r="BI21" i="7" s="1"/>
  <c r="AG21" i="2"/>
  <c r="AN21" i="2"/>
  <c r="AF21" i="2"/>
  <c r="AK21" i="2"/>
  <c r="S19" i="9" s="1"/>
  <c r="AG4" i="2"/>
  <c r="AJ13" i="2"/>
  <c r="R11" i="9" s="1"/>
  <c r="AH4" i="2"/>
  <c r="AK5" i="2"/>
  <c r="AK7" i="2"/>
  <c r="K20" i="19"/>
  <c r="K21" i="16"/>
  <c r="K20" i="20"/>
  <c r="K18" i="17"/>
  <c r="K21" i="18"/>
  <c r="O22" i="12"/>
  <c r="Y22" i="12" s="1"/>
  <c r="AF22" i="12" s="1"/>
  <c r="AR20" i="12" s="1"/>
  <c r="Z2" i="9"/>
  <c r="Q9" i="7"/>
  <c r="AM8" i="2"/>
  <c r="AG9" i="2"/>
  <c r="K4" i="19"/>
  <c r="Y4" i="19" s="1"/>
  <c r="K4" i="20"/>
  <c r="X4" i="20" s="1"/>
  <c r="K11" i="17"/>
  <c r="K4" i="18"/>
  <c r="Z4" i="18" s="1"/>
  <c r="K8" i="16"/>
  <c r="Z4" i="9"/>
  <c r="O20" i="12"/>
  <c r="Y20" i="12" s="1"/>
  <c r="AF20" i="12" s="1"/>
  <c r="AR13" i="12" s="1"/>
  <c r="AR27" i="12" s="1"/>
  <c r="Q11" i="7"/>
  <c r="M9" i="5"/>
  <c r="AB9" i="5" s="1"/>
  <c r="M26" i="5" s="1"/>
  <c r="AM10" i="2"/>
  <c r="F11" i="2"/>
  <c r="AL11" i="2"/>
  <c r="T9" i="9" s="1"/>
  <c r="AK12" i="2"/>
  <c r="S10" i="9" s="1"/>
  <c r="AL13" i="2"/>
  <c r="T11" i="9" s="1"/>
  <c r="X7" i="9"/>
  <c r="AI14" i="2"/>
  <c r="X11" i="9"/>
  <c r="AI15" i="2"/>
  <c r="N51" i="7"/>
  <c r="S51" i="7" s="1"/>
  <c r="V17" i="7"/>
  <c r="W17" i="7" s="1"/>
  <c r="U17" i="7"/>
  <c r="I18" i="7"/>
  <c r="BI18" i="7" s="1"/>
  <c r="AN17" i="2"/>
  <c r="AF17" i="2"/>
  <c r="AM17" i="2"/>
  <c r="AL17" i="2"/>
  <c r="T15" i="9" s="1"/>
  <c r="AJ17" i="2"/>
  <c r="R15" i="9" s="1"/>
  <c r="BC17" i="2"/>
  <c r="I19" i="7"/>
  <c r="AP19" i="7" s="1"/>
  <c r="AK18" i="2"/>
  <c r="S16" i="9" s="1"/>
  <c r="AG18" i="2"/>
  <c r="AL18" i="2"/>
  <c r="T16" i="9" s="1"/>
  <c r="BC18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G44" i="7"/>
  <c r="F9" i="14"/>
  <c r="E8" i="15"/>
  <c r="I47" i="7"/>
  <c r="I15" i="7"/>
  <c r="BG15" i="7" s="1"/>
  <c r="AK14" i="2"/>
  <c r="S12" i="9" s="1"/>
  <c r="B5" i="15"/>
  <c r="C4" i="14"/>
  <c r="A40" i="7"/>
  <c r="I9" i="15"/>
  <c r="J7" i="14"/>
  <c r="M46" i="7"/>
  <c r="T12" i="7"/>
  <c r="K10" i="18"/>
  <c r="K10" i="19"/>
  <c r="Y10" i="19" s="1"/>
  <c r="K6" i="17"/>
  <c r="K14" i="16"/>
  <c r="K13" i="20"/>
  <c r="X13" i="20" s="1"/>
  <c r="O21" i="12"/>
  <c r="Y21" i="12" s="1"/>
  <c r="AF21" i="12" s="1"/>
  <c r="Z8" i="9"/>
  <c r="Q19" i="7"/>
  <c r="M14" i="5"/>
  <c r="AB14" i="5" s="1"/>
  <c r="M31" i="5" s="1"/>
  <c r="AJ18" i="2"/>
  <c r="R16" i="9" s="1"/>
  <c r="AJ21" i="2"/>
  <c r="R19" i="9" s="1"/>
  <c r="K6" i="19"/>
  <c r="Y6" i="19" s="1"/>
  <c r="K10" i="17"/>
  <c r="K7" i="16"/>
  <c r="K6" i="18"/>
  <c r="Y6" i="18" s="1"/>
  <c r="K8" i="20"/>
  <c r="X8" i="20" s="1"/>
  <c r="O6" i="12"/>
  <c r="Y6" i="12" s="1"/>
  <c r="AF6" i="12" s="1"/>
  <c r="Q10" i="7"/>
  <c r="T10" i="7" s="1"/>
  <c r="AI12" i="2"/>
  <c r="AF6" i="2"/>
  <c r="AF9" i="2"/>
  <c r="AL5" i="2"/>
  <c r="AH6" i="2"/>
  <c r="AF8" i="2"/>
  <c r="AN8" i="2"/>
  <c r="AH9" i="2"/>
  <c r="AF10" i="2"/>
  <c r="AN10" i="2"/>
  <c r="X5" i="9"/>
  <c r="AM11" i="2"/>
  <c r="AN13" i="2"/>
  <c r="K4" i="17"/>
  <c r="K9" i="18"/>
  <c r="Z9" i="18" s="1"/>
  <c r="K11" i="20"/>
  <c r="K11" i="19"/>
  <c r="Y11" i="19" s="1"/>
  <c r="K12" i="16"/>
  <c r="O13" i="12"/>
  <c r="Y13" i="12" s="1"/>
  <c r="AF13" i="12" s="1"/>
  <c r="AR9" i="12" s="1"/>
  <c r="AR23" i="12" s="1"/>
  <c r="Z7" i="9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AR11" i="12" s="1"/>
  <c r="AR25" i="12" s="1"/>
  <c r="K14" i="18"/>
  <c r="Y14" i="18" s="1"/>
  <c r="Z11" i="9"/>
  <c r="M11" i="5"/>
  <c r="AB11" i="5" s="1"/>
  <c r="M28" i="5" s="1"/>
  <c r="Q16" i="7"/>
  <c r="V16" i="7" s="1"/>
  <c r="M11" i="4"/>
  <c r="AB11" i="4" s="1"/>
  <c r="M28" i="4" s="1"/>
  <c r="AK17" i="2"/>
  <c r="S15" i="9" s="1"/>
  <c r="BD17" i="2"/>
  <c r="AM18" i="2"/>
  <c r="X9" i="9"/>
  <c r="O11" i="4"/>
  <c r="O2" i="4" s="1"/>
  <c r="N2" i="4"/>
  <c r="AD11" i="4"/>
  <c r="O28" i="4" s="1"/>
  <c r="E42" i="7"/>
  <c r="S42" i="7" s="1"/>
  <c r="V8" i="7"/>
  <c r="W8" i="7" s="1"/>
  <c r="G6" i="14"/>
  <c r="F3" i="15"/>
  <c r="J43" i="7"/>
  <c r="BF18" i="2"/>
  <c r="AX18" i="2"/>
  <c r="BE18" i="2"/>
  <c r="AW18" i="2"/>
  <c r="BD18" i="2"/>
  <c r="AV18" i="2"/>
  <c r="BB18" i="2"/>
  <c r="D49" i="7"/>
  <c r="N2" i="9"/>
  <c r="C2" i="9"/>
  <c r="B2" i="9"/>
  <c r="AY18" i="2"/>
  <c r="Q13" i="6"/>
  <c r="P14" i="6"/>
  <c r="O25" i="6"/>
  <c r="P18" i="6"/>
  <c r="AF4" i="2"/>
  <c r="AI5" i="2"/>
  <c r="AM9" i="2"/>
  <c r="I13" i="7"/>
  <c r="AF13" i="7" s="1"/>
  <c r="AG12" i="2"/>
  <c r="AL14" i="2"/>
  <c r="T12" i="9" s="1"/>
  <c r="AJ5" i="2"/>
  <c r="X4" i="9"/>
  <c r="AK11" i="2"/>
  <c r="S9" i="9" s="1"/>
  <c r="U2" i="2"/>
  <c r="AD2" i="2"/>
  <c r="AJ4" i="2"/>
  <c r="R2" i="9" s="1"/>
  <c r="N3" i="9"/>
  <c r="C3" i="9"/>
  <c r="B3" i="9"/>
  <c r="AM5" i="2"/>
  <c r="AI6" i="2"/>
  <c r="W17" i="22" s="1"/>
  <c r="AG8" i="2"/>
  <c r="AG10" i="2"/>
  <c r="AF11" i="2"/>
  <c r="AN11" i="2"/>
  <c r="X3" i="9"/>
  <c r="AF14" i="2"/>
  <c r="AF15" i="2"/>
  <c r="AN18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K43" i="7"/>
  <c r="AH14" i="2"/>
  <c r="X8" i="9"/>
  <c r="AI18" i="2"/>
  <c r="F3" i="14"/>
  <c r="E2" i="15"/>
  <c r="I37" i="7"/>
  <c r="BE3" i="7"/>
  <c r="BT3" i="7"/>
  <c r="BK3" i="7"/>
  <c r="BJ3" i="7"/>
  <c r="BY3" i="7"/>
  <c r="U3" i="7"/>
  <c r="BP3" i="7"/>
  <c r="AX3" i="7"/>
  <c r="AZ3" i="7" s="1"/>
  <c r="AR3" i="7"/>
  <c r="AL9" i="2"/>
  <c r="T7" i="9" s="1"/>
  <c r="AI11" i="2"/>
  <c r="I14" i="7"/>
  <c r="AP14" i="7" s="1"/>
  <c r="AK13" i="2"/>
  <c r="S11" i="9" s="1"/>
  <c r="AJ14" i="2"/>
  <c r="R12" i="9" s="1"/>
  <c r="E49" i="7"/>
  <c r="X2" i="9"/>
  <c r="AM14" i="2"/>
  <c r="AH18" i="2"/>
  <c r="BA18" i="2"/>
  <c r="F18" i="2"/>
  <c r="F14" i="23" s="1"/>
  <c r="Q14" i="23" s="1"/>
  <c r="F14" i="2"/>
  <c r="F10" i="23" s="1"/>
  <c r="Q10" i="23" s="1"/>
  <c r="F23" i="2"/>
  <c r="F17" i="2"/>
  <c r="F13" i="23" s="1"/>
  <c r="Q13" i="23" s="1"/>
  <c r="AK4" i="2"/>
  <c r="S2" i="9" s="1"/>
  <c r="AF5" i="2"/>
  <c r="AJ6" i="2"/>
  <c r="AF7" i="2"/>
  <c r="AH8" i="2"/>
  <c r="AJ9" i="2"/>
  <c r="R7" i="9" s="1"/>
  <c r="AH10" i="2"/>
  <c r="AG11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Z3" i="9"/>
  <c r="Q13" i="7"/>
  <c r="U13" i="7" s="1"/>
  <c r="AM12" i="2"/>
  <c r="AF13" i="2"/>
  <c r="AG14" i="2"/>
  <c r="AG16" i="2"/>
  <c r="AN16" i="2"/>
  <c r="AF16" i="2"/>
  <c r="I17" i="7"/>
  <c r="AO17" i="7" s="1"/>
  <c r="AJ16" i="2"/>
  <c r="R14" i="9" s="1"/>
  <c r="BA17" i="2"/>
  <c r="AZ17" i="2"/>
  <c r="BI17" i="2"/>
  <c r="AY17" i="2"/>
  <c r="BF17" i="2"/>
  <c r="AH21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B10" i="15"/>
  <c r="C11" i="14"/>
  <c r="A44" i="7"/>
  <c r="F8" i="15"/>
  <c r="G9" i="14"/>
  <c r="J47" i="7"/>
  <c r="X10" i="9"/>
  <c r="AF22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M50" i="7"/>
  <c r="T16" i="7"/>
  <c r="N32" i="5"/>
  <c r="O32" i="5" s="1"/>
  <c r="I3" i="14"/>
  <c r="H2" i="15"/>
  <c r="L37" i="7"/>
  <c r="CC3" i="7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H14" i="7"/>
  <c r="G14" i="7"/>
  <c r="V5" i="14"/>
  <c r="I16" i="7"/>
  <c r="CH16" i="7" s="1"/>
  <c r="CJ16" i="7" s="1"/>
  <c r="G53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5" i="2"/>
  <c r="K6" i="20"/>
  <c r="X6" i="20" s="1"/>
  <c r="K13" i="18"/>
  <c r="Y13" i="18" s="1"/>
  <c r="K12" i="19"/>
  <c r="K13" i="16"/>
  <c r="O15" i="12"/>
  <c r="Y15" i="12" s="1"/>
  <c r="AF15" i="12" s="1"/>
  <c r="AQ6" i="12" s="1"/>
  <c r="K7" i="17"/>
  <c r="AM16" i="2"/>
  <c r="AG19" i="2"/>
  <c r="K21" i="20"/>
  <c r="K22" i="18"/>
  <c r="K21" i="19"/>
  <c r="O23" i="12"/>
  <c r="Y23" i="12" s="1"/>
  <c r="AF23" i="12" s="1"/>
  <c r="K22" i="16"/>
  <c r="K19" i="17"/>
  <c r="Z9" i="9"/>
  <c r="Q21" i="7"/>
  <c r="U21" i="7" s="1"/>
  <c r="AM21" i="2"/>
  <c r="AH22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G48" i="7"/>
  <c r="E55" i="7"/>
  <c r="X6" i="9"/>
  <c r="AH19" i="2"/>
  <c r="AI22" i="2"/>
  <c r="W33" i="22" s="1"/>
  <c r="S9" i="5"/>
  <c r="Q16" i="6"/>
  <c r="BX3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Q14" i="7"/>
  <c r="W14" i="7" s="1"/>
  <c r="AM13" i="2"/>
  <c r="AI19" i="2"/>
  <c r="AJ22" i="2"/>
  <c r="AF23" i="2"/>
  <c r="S10" i="4"/>
  <c r="R3" i="7"/>
  <c r="AP3" i="7" s="1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V12" i="7"/>
  <c r="W12" i="7" s="1"/>
  <c r="I7" i="14"/>
  <c r="H9" i="15"/>
  <c r="L46" i="7"/>
  <c r="R12" i="7"/>
  <c r="G8" i="14"/>
  <c r="J49" i="7"/>
  <c r="I12" i="14"/>
  <c r="L52" i="7"/>
  <c r="R18" i="7"/>
  <c r="B12" i="15"/>
  <c r="C13" i="14"/>
  <c r="A53" i="7"/>
  <c r="BF22" i="7"/>
  <c r="AF42" i="7"/>
  <c r="F2" i="15"/>
  <c r="G3" i="14"/>
  <c r="AK3" i="7"/>
  <c r="BA3" i="7"/>
  <c r="BQ3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G11" i="15"/>
  <c r="K45" i="7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R57" i="7" s="1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J44" i="7"/>
  <c r="H11" i="15"/>
  <c r="L45" i="7"/>
  <c r="R11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AB57" i="7" s="1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C12" i="14"/>
  <c r="A52" i="7"/>
  <c r="H19" i="7"/>
  <c r="H12" i="15"/>
  <c r="I13" i="14"/>
  <c r="L53" i="7"/>
  <c r="I54" i="7"/>
  <c r="R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D7" i="14"/>
  <c r="C9" i="15"/>
  <c r="D46" i="7"/>
  <c r="F9" i="15"/>
  <c r="G7" i="14"/>
  <c r="J46" i="7"/>
  <c r="G13" i="7"/>
  <c r="E8" i="14"/>
  <c r="H49" i="7"/>
  <c r="W18" i="7"/>
  <c r="G19" i="7"/>
  <c r="J54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T17" i="7"/>
  <c r="D54" i="7"/>
  <c r="AO23" i="7"/>
  <c r="J37" i="7"/>
  <c r="I46" i="7"/>
  <c r="P9" i="10"/>
  <c r="W9" i="10" s="1"/>
  <c r="F15" i="10"/>
  <c r="Q9" i="10" s="1"/>
  <c r="X9" i="10" s="1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H22" i="7"/>
  <c r="W22" i="7"/>
  <c r="G22" i="7"/>
  <c r="BX22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G15" i="7"/>
  <c r="I8" i="14"/>
  <c r="L49" i="7"/>
  <c r="D12" i="14"/>
  <c r="D52" i="7"/>
  <c r="F12" i="14"/>
  <c r="I52" i="7"/>
  <c r="H55" i="7"/>
  <c r="AD22" i="7"/>
  <c r="CA57" i="7"/>
  <c r="CC57" i="7" s="1"/>
  <c r="K51" i="7"/>
  <c r="K52" i="7"/>
  <c r="H9" i="10"/>
  <c r="J9" i="10" s="1"/>
  <c r="I9" i="10"/>
  <c r="E11" i="15"/>
  <c r="I45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J55" i="7"/>
  <c r="H56" i="7"/>
  <c r="Y22" i="7"/>
  <c r="X22" i="7"/>
  <c r="Z22" i="7" s="1"/>
  <c r="K53" i="7"/>
  <c r="K54" i="7"/>
  <c r="I12" i="15"/>
  <c r="J13" i="14"/>
  <c r="M53" i="7"/>
  <c r="AK22" i="7"/>
  <c r="BA22" i="7"/>
  <c r="BI22" i="7"/>
  <c r="BQ22" i="7"/>
  <c r="BP57" i="7"/>
  <c r="AJ57" i="7"/>
  <c r="BG57" i="7"/>
  <c r="AI57" i="7"/>
  <c r="AA57" i="7"/>
  <c r="AC57" i="7" s="1"/>
  <c r="BF57" i="7"/>
  <c r="BU57" i="7"/>
  <c r="AN57" i="7"/>
  <c r="AF57" i="7"/>
  <c r="X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AR57" i="7"/>
  <c r="CE57" i="7"/>
  <c r="AY57" i="7"/>
  <c r="CD57" i="7"/>
  <c r="CF57" i="7" s="1"/>
  <c r="Q57" i="7"/>
  <c r="AF23" i="7"/>
  <c r="AN23" i="7"/>
  <c r="AV23" i="7"/>
  <c r="BL23" i="7"/>
  <c r="BT23" i="7"/>
  <c r="CB23" i="7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Z10" i="18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X13" i="18"/>
  <c r="Y12" i="19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X10" i="18" s="1"/>
  <c r="Y5" i="19"/>
  <c r="Z25" i="13"/>
  <c r="X9" i="16"/>
  <c r="X11" i="17"/>
  <c r="Y10" i="18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Z14" i="18" s="1"/>
  <c r="C22" i="21"/>
  <c r="C26" i="21" s="1"/>
  <c r="Y13" i="19"/>
  <c r="M13" i="16"/>
  <c r="S10" i="17"/>
  <c r="X10" i="17" s="1"/>
  <c r="M7" i="17"/>
  <c r="M14" i="17"/>
  <c r="S12" i="17"/>
  <c r="X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11" i="20"/>
  <c r="X5" i="20"/>
  <c r="J8" i="21"/>
  <c r="B24" i="21"/>
  <c r="C17" i="21"/>
  <c r="X8" i="17" l="1"/>
  <c r="CF3" i="7"/>
  <c r="AA3" i="7"/>
  <c r="AC3" i="7" s="1"/>
  <c r="AN3" i="7"/>
  <c r="BF3" i="7"/>
  <c r="AY9" i="7"/>
  <c r="AN9" i="7"/>
  <c r="BW3" i="7"/>
  <c r="BQ9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AP20" i="7"/>
  <c r="BS20" i="7"/>
  <c r="CK20" i="7"/>
  <c r="BL20" i="7"/>
  <c r="S20" i="7"/>
  <c r="CD20" i="7"/>
  <c r="AR20" i="7"/>
  <c r="BF20" i="7"/>
  <c r="X20" i="7"/>
  <c r="Z20" i="7" s="1"/>
  <c r="AB9" i="7"/>
  <c r="AU9" i="7"/>
  <c r="AW9" i="7" s="1"/>
  <c r="AL9" i="7"/>
  <c r="R3" i="15" s="1"/>
  <c r="CF9" i="7"/>
  <c r="BI9" i="7"/>
  <c r="AJ9" i="7"/>
  <c r="O3" i="15" s="1"/>
  <c r="F43" i="7"/>
  <c r="U43" i="7" s="1"/>
  <c r="BH9" i="7"/>
  <c r="CA9" i="7"/>
  <c r="CD9" i="7"/>
  <c r="BT9" i="7"/>
  <c r="CI20" i="7"/>
  <c r="BP20" i="7"/>
  <c r="BM10" i="7"/>
  <c r="BX10" i="7"/>
  <c r="S10" i="15" s="1"/>
  <c r="BM20" i="7"/>
  <c r="BA20" i="7"/>
  <c r="AX20" i="7"/>
  <c r="AZ20" i="7" s="1"/>
  <c r="BH20" i="7"/>
  <c r="AK20" i="7"/>
  <c r="BW20" i="7"/>
  <c r="BG20" i="7"/>
  <c r="BI20" i="7"/>
  <c r="D10" i="9"/>
  <c r="E10" i="9" s="1"/>
  <c r="F54" i="7"/>
  <c r="CE54" i="7" s="1"/>
  <c r="BC20" i="7"/>
  <c r="BZ20" i="7"/>
  <c r="AM10" i="7"/>
  <c r="BR10" i="7"/>
  <c r="BE10" i="7"/>
  <c r="AX10" i="7"/>
  <c r="AZ10" i="7" s="1"/>
  <c r="D16" i="9"/>
  <c r="F16" i="9" s="1"/>
  <c r="D7" i="9"/>
  <c r="E7" i="9" s="1"/>
  <c r="C30" i="9" s="1"/>
  <c r="I30" i="9" s="1"/>
  <c r="BP10" i="7"/>
  <c r="CF10" i="7"/>
  <c r="AQ10" i="7"/>
  <c r="AS10" i="7" s="1"/>
  <c r="AA10" i="7"/>
  <c r="AC10" i="7" s="1"/>
  <c r="CB10" i="7"/>
  <c r="AU10" i="7"/>
  <c r="AW10" i="7" s="1"/>
  <c r="CE10" i="7"/>
  <c r="CG10" i="7" s="1"/>
  <c r="BU10" i="7"/>
  <c r="O10" i="15" s="1"/>
  <c r="BJ10" i="7"/>
  <c r="AK10" i="7"/>
  <c r="D15" i="20"/>
  <c r="CI10" i="7"/>
  <c r="AN10" i="7"/>
  <c r="F7" i="23"/>
  <c r="Q7" i="23" s="1"/>
  <c r="AR10" i="7"/>
  <c r="AL10" i="7"/>
  <c r="BT10" i="7"/>
  <c r="N10" i="15" s="1"/>
  <c r="BF10" i="7"/>
  <c r="AJ10" i="7"/>
  <c r="BG10" i="7"/>
  <c r="AF10" i="7"/>
  <c r="AV10" i="7"/>
  <c r="BC10" i="7"/>
  <c r="BQ10" i="7"/>
  <c r="F6" i="23"/>
  <c r="Q6" i="23" s="1"/>
  <c r="AB10" i="7"/>
  <c r="AY10" i="7"/>
  <c r="BW10" i="7"/>
  <c r="U11" i="14" s="1"/>
  <c r="BY10" i="7"/>
  <c r="CH10" i="7"/>
  <c r="CJ10" i="7" s="1"/>
  <c r="F8" i="23"/>
  <c r="Q8" i="23" s="1"/>
  <c r="BA10" i="7"/>
  <c r="X10" i="7"/>
  <c r="Z10" i="7" s="1"/>
  <c r="BH10" i="7"/>
  <c r="AI10" i="7"/>
  <c r="BO10" i="7"/>
  <c r="BI10" i="7"/>
  <c r="AT10" i="7"/>
  <c r="C6" i="2"/>
  <c r="BW12" i="7"/>
  <c r="CD12" i="7"/>
  <c r="AA12" i="7"/>
  <c r="AC12" i="7" s="1"/>
  <c r="BN12" i="7"/>
  <c r="AD12" i="7"/>
  <c r="AT12" i="7"/>
  <c r="BR12" i="7"/>
  <c r="AD10" i="7"/>
  <c r="BV10" i="7"/>
  <c r="Q10" i="15" s="1"/>
  <c r="CK10" i="7"/>
  <c r="BK10" i="7"/>
  <c r="BN10" i="7"/>
  <c r="X12" i="7"/>
  <c r="Z12" i="7" s="1"/>
  <c r="BK12" i="7"/>
  <c r="BM12" i="7"/>
  <c r="S9" i="7"/>
  <c r="BV12" i="7"/>
  <c r="BF12" i="7"/>
  <c r="O9" i="15" s="1"/>
  <c r="BX9" i="7"/>
  <c r="AP12" i="7"/>
  <c r="BJ9" i="7"/>
  <c r="BZ9" i="7"/>
  <c r="CI9" i="7"/>
  <c r="BL12" i="7"/>
  <c r="CA12" i="7"/>
  <c r="BG9" i="7"/>
  <c r="BA9" i="7"/>
  <c r="BC12" i="7"/>
  <c r="AE9" i="7"/>
  <c r="AG9" i="7" s="1"/>
  <c r="BG12" i="7"/>
  <c r="Q9" i="15" s="1"/>
  <c r="BP12" i="7"/>
  <c r="BT12" i="7"/>
  <c r="AQ12" i="7"/>
  <c r="AS12" i="7" s="1"/>
  <c r="AE12" i="7"/>
  <c r="AG12" i="7" s="1"/>
  <c r="BS12" i="7"/>
  <c r="BK9" i="7"/>
  <c r="AR9" i="7"/>
  <c r="BS9" i="7"/>
  <c r="BR9" i="7"/>
  <c r="AM12" i="7"/>
  <c r="F46" i="7"/>
  <c r="AK46" i="7" s="1"/>
  <c r="AH9" i="7"/>
  <c r="AV12" i="7"/>
  <c r="BF9" i="7"/>
  <c r="BJ12" i="7"/>
  <c r="AJ12" i="7"/>
  <c r="AY12" i="7"/>
  <c r="Y12" i="7"/>
  <c r="AU12" i="7"/>
  <c r="AW12" i="7" s="1"/>
  <c r="BU9" i="7"/>
  <c r="BP9" i="7"/>
  <c r="AV9" i="7"/>
  <c r="CB9" i="7"/>
  <c r="BQ12" i="7"/>
  <c r="BL9" i="7"/>
  <c r="CI12" i="7"/>
  <c r="BO9" i="7"/>
  <c r="BB12" i="7"/>
  <c r="BD12" i="7" s="1"/>
  <c r="CB12" i="7"/>
  <c r="CF12" i="7"/>
  <c r="CH12" i="7"/>
  <c r="CJ12" i="7" s="1"/>
  <c r="BY12" i="7"/>
  <c r="AK12" i="7"/>
  <c r="BE12" i="7"/>
  <c r="P9" i="15" s="1"/>
  <c r="BO12" i="7"/>
  <c r="BI12" i="7"/>
  <c r="S9" i="15" s="1"/>
  <c r="AQ9" i="7"/>
  <c r="AS9" i="7" s="1"/>
  <c r="BY9" i="7"/>
  <c r="BH12" i="7"/>
  <c r="S7" i="14" s="1"/>
  <c r="CE9" i="7"/>
  <c r="CG9" i="7" s="1"/>
  <c r="Y9" i="7"/>
  <c r="CH9" i="7"/>
  <c r="CJ9" i="7" s="1"/>
  <c r="AN12" i="7"/>
  <c r="BV9" i="7"/>
  <c r="S12" i="7"/>
  <c r="BE9" i="7"/>
  <c r="CK12" i="7"/>
  <c r="BU12" i="7"/>
  <c r="BX12" i="7"/>
  <c r="AF9" i="7"/>
  <c r="AI9" i="7"/>
  <c r="Q6" i="14" s="1"/>
  <c r="BB9" i="7"/>
  <c r="BD9" i="7" s="1"/>
  <c r="BM9" i="7"/>
  <c r="BZ12" i="7"/>
  <c r="AK9" i="7"/>
  <c r="R6" i="14" s="1"/>
  <c r="AD9" i="7"/>
  <c r="AO12" i="7"/>
  <c r="AI12" i="7"/>
  <c r="CE12" i="7"/>
  <c r="CG12" i="7" s="1"/>
  <c r="AL12" i="7"/>
  <c r="BN9" i="7"/>
  <c r="AH12" i="7"/>
  <c r="AX12" i="7"/>
  <c r="AZ12" i="7" s="1"/>
  <c r="CC12" i="7"/>
  <c r="AX9" i="7"/>
  <c r="AZ9" i="7" s="1"/>
  <c r="AA9" i="7"/>
  <c r="AC9" i="7" s="1"/>
  <c r="X9" i="7"/>
  <c r="Z9" i="7" s="1"/>
  <c r="AF12" i="7"/>
  <c r="AM9" i="7"/>
  <c r="BC9" i="7"/>
  <c r="BW9" i="7"/>
  <c r="AB12" i="7"/>
  <c r="AR12" i="7"/>
  <c r="CC9" i="7"/>
  <c r="AT9" i="7"/>
  <c r="AU20" i="7"/>
  <c r="AW20" i="7" s="1"/>
  <c r="AD20" i="7"/>
  <c r="AF20" i="7"/>
  <c r="AA20" i="7"/>
  <c r="AC20" i="7" s="1"/>
  <c r="BT20" i="7"/>
  <c r="Y20" i="7"/>
  <c r="AJ20" i="7"/>
  <c r="BQ20" i="7"/>
  <c r="BE20" i="7"/>
  <c r="AI20" i="7"/>
  <c r="BB20" i="7"/>
  <c r="BD20" i="7" s="1"/>
  <c r="D17" i="9"/>
  <c r="F17" i="9" s="1"/>
  <c r="BJ20" i="7"/>
  <c r="CA20" i="7"/>
  <c r="BY20" i="7"/>
  <c r="AE20" i="7"/>
  <c r="AG20" i="7" s="1"/>
  <c r="AQ20" i="7"/>
  <c r="AS20" i="7" s="1"/>
  <c r="CC20" i="7"/>
  <c r="BR20" i="7"/>
  <c r="CB20" i="7"/>
  <c r="AO20" i="7"/>
  <c r="AL20" i="7"/>
  <c r="CE20" i="7"/>
  <c r="CG20" i="7" s="1"/>
  <c r="AH20" i="7"/>
  <c r="AB20" i="7"/>
  <c r="AM20" i="7"/>
  <c r="AY20" i="7"/>
  <c r="AV20" i="7"/>
  <c r="CF20" i="7"/>
  <c r="BV20" i="7"/>
  <c r="AN20" i="7"/>
  <c r="BK20" i="7"/>
  <c r="BO20" i="7"/>
  <c r="CH20" i="7"/>
  <c r="CJ20" i="7" s="1"/>
  <c r="BN20" i="7"/>
  <c r="D19" i="9"/>
  <c r="E19" i="9" s="1"/>
  <c r="D13" i="9"/>
  <c r="F13" i="9" s="1"/>
  <c r="CD10" i="7"/>
  <c r="BS10" i="7"/>
  <c r="AH10" i="7"/>
  <c r="CA10" i="7"/>
  <c r="W24" i="22"/>
  <c r="Q11" i="9"/>
  <c r="W22" i="22"/>
  <c r="Q9" i="9"/>
  <c r="W20" i="22"/>
  <c r="U27" i="22" s="1"/>
  <c r="Q7" i="9"/>
  <c r="W26" i="22"/>
  <c r="U19" i="22" s="1"/>
  <c r="Q13" i="9"/>
  <c r="AK11" i="7"/>
  <c r="BJ11" i="7"/>
  <c r="AE10" i="7"/>
  <c r="AG10" i="7" s="1"/>
  <c r="BB10" i="7"/>
  <c r="BD10" i="7" s="1"/>
  <c r="BZ10" i="7"/>
  <c r="F44" i="7"/>
  <c r="AE44" i="7" s="1"/>
  <c r="W25" i="22"/>
  <c r="U23" i="22" s="1"/>
  <c r="Q12" i="9"/>
  <c r="W27" i="22"/>
  <c r="Q14" i="9"/>
  <c r="AH11" i="7"/>
  <c r="Y11" i="7"/>
  <c r="BL10" i="7"/>
  <c r="Y10" i="7"/>
  <c r="BX20" i="7"/>
  <c r="W21" i="22"/>
  <c r="Q8" i="9"/>
  <c r="BR11" i="7"/>
  <c r="W30" i="22"/>
  <c r="U25" i="22" s="1"/>
  <c r="Q17" i="9"/>
  <c r="BE11" i="7"/>
  <c r="W29" i="22"/>
  <c r="U18" i="22" s="1"/>
  <c r="Q16" i="9"/>
  <c r="W19" i="22"/>
  <c r="U29" i="22" s="1"/>
  <c r="Q6" i="9"/>
  <c r="D14" i="9"/>
  <c r="E14" i="9" s="1"/>
  <c r="W32" i="22"/>
  <c r="Q19" i="9"/>
  <c r="W23" i="22"/>
  <c r="U16" i="22" s="1"/>
  <c r="Q10" i="9"/>
  <c r="CF11" i="7"/>
  <c r="BH11" i="7"/>
  <c r="AT11" i="7"/>
  <c r="AV11" i="7"/>
  <c r="X11" i="7"/>
  <c r="Z11" i="7" s="1"/>
  <c r="F45" i="7"/>
  <c r="CA45" i="7" s="1"/>
  <c r="CC45" i="7" s="1"/>
  <c r="AF11" i="7"/>
  <c r="D8" i="9"/>
  <c r="CE11" i="7"/>
  <c r="CG11" i="7" s="1"/>
  <c r="BA11" i="7"/>
  <c r="BV11" i="7"/>
  <c r="Q11" i="15" s="1"/>
  <c r="BK11" i="7"/>
  <c r="AM11" i="7"/>
  <c r="BS11" i="7"/>
  <c r="D9" i="9"/>
  <c r="D15" i="9"/>
  <c r="AY11" i="7"/>
  <c r="BM11" i="7"/>
  <c r="BL11" i="7"/>
  <c r="CD11" i="7"/>
  <c r="BT11" i="7"/>
  <c r="P11" i="15" s="1"/>
  <c r="BZ11" i="7"/>
  <c r="BU20" i="7"/>
  <c r="D6" i="9"/>
  <c r="BP11" i="7"/>
  <c r="AQ11" i="7"/>
  <c r="AS11" i="7" s="1"/>
  <c r="BB11" i="7"/>
  <c r="BD11" i="7" s="1"/>
  <c r="CK11" i="7"/>
  <c r="BG11" i="7"/>
  <c r="AL11" i="7"/>
  <c r="AN11" i="7"/>
  <c r="CH11" i="7"/>
  <c r="CJ11" i="7" s="1"/>
  <c r="AP10" i="7"/>
  <c r="D11" i="9"/>
  <c r="BC11" i="7"/>
  <c r="AP11" i="7"/>
  <c r="CA11" i="7"/>
  <c r="BO11" i="7"/>
  <c r="BU11" i="7"/>
  <c r="O11" i="15" s="1"/>
  <c r="CB11" i="7"/>
  <c r="D12" i="9"/>
  <c r="CI11" i="7"/>
  <c r="AR11" i="7"/>
  <c r="AI11" i="7"/>
  <c r="AJ11" i="7"/>
  <c r="AA11" i="7"/>
  <c r="AC11" i="7" s="1"/>
  <c r="AX11" i="7"/>
  <c r="AZ11" i="7" s="1"/>
  <c r="BN11" i="7"/>
  <c r="AD11" i="7"/>
  <c r="AU11" i="7"/>
  <c r="AW11" i="7" s="1"/>
  <c r="AE11" i="7"/>
  <c r="AG11" i="7" s="1"/>
  <c r="BF11" i="7"/>
  <c r="AB11" i="7"/>
  <c r="BX11" i="7"/>
  <c r="S11" i="15" s="1"/>
  <c r="BW11" i="7"/>
  <c r="T11" i="15" s="1"/>
  <c r="BQ11" i="7"/>
  <c r="BI11" i="7"/>
  <c r="BY11" i="7"/>
  <c r="W28" i="22"/>
  <c r="U26" i="22" s="1"/>
  <c r="R3" i="9"/>
  <c r="S3" i="9"/>
  <c r="T3" i="9"/>
  <c r="Y2" i="23"/>
  <c r="F4" i="5"/>
  <c r="F4" i="23"/>
  <c r="Q4" i="23" s="1"/>
  <c r="D16" i="16"/>
  <c r="D7" i="16"/>
  <c r="F5" i="23"/>
  <c r="Q5" i="23" s="1"/>
  <c r="C8" i="2"/>
  <c r="C10" i="2"/>
  <c r="C16" i="2"/>
  <c r="C15" i="2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AP5" i="7"/>
  <c r="T6" i="15" s="1"/>
  <c r="T13" i="15" s="1"/>
  <c r="T14" i="15" s="1"/>
  <c r="U30" i="22"/>
  <c r="C37" i="21"/>
  <c r="C38" i="21"/>
  <c r="C39" i="21"/>
  <c r="X15" i="16"/>
  <c r="X6" i="17"/>
  <c r="X4" i="17"/>
  <c r="X12" i="16"/>
  <c r="X10" i="19"/>
  <c r="X12" i="19"/>
  <c r="X11" i="19"/>
  <c r="X2" i="19" s="1"/>
  <c r="Y4" i="18"/>
  <c r="X5" i="17"/>
  <c r="X9" i="17"/>
  <c r="U17" i="22"/>
  <c r="Q3" i="9"/>
  <c r="W16" i="22"/>
  <c r="Q2" i="9"/>
  <c r="W15" i="22"/>
  <c r="D23" i="18"/>
  <c r="AQ13" i="12"/>
  <c r="AQ27" i="12" s="1"/>
  <c r="T19" i="7"/>
  <c r="V12" i="15" s="1"/>
  <c r="W10" i="7"/>
  <c r="AL57" i="7"/>
  <c r="S38" i="7"/>
  <c r="C31" i="9"/>
  <c r="V19" i="7"/>
  <c r="W19" i="7" s="1"/>
  <c r="W21" i="7"/>
  <c r="CA40" i="7"/>
  <c r="CC40" i="7" s="1"/>
  <c r="J7" i="10"/>
  <c r="AL9" i="12"/>
  <c r="AL24" i="12" s="1"/>
  <c r="AL16" i="12" s="1"/>
  <c r="R51" i="7"/>
  <c r="S10" i="7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C22" i="2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AR19" i="7"/>
  <c r="AF19" i="7"/>
  <c r="AT19" i="7"/>
  <c r="BN19" i="7"/>
  <c r="CH19" i="7"/>
  <c r="CJ19" i="7" s="1"/>
  <c r="AB19" i="7"/>
  <c r="AY19" i="7"/>
  <c r="AK19" i="7"/>
  <c r="BS19" i="7"/>
  <c r="Q5" i="10"/>
  <c r="X5" i="10" s="1"/>
  <c r="J14" i="10"/>
  <c r="AQ19" i="7"/>
  <c r="AS19" i="7" s="1"/>
  <c r="AL19" i="7"/>
  <c r="BL19" i="7"/>
  <c r="AU19" i="7"/>
  <c r="AW19" i="7" s="1"/>
  <c r="AH19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C9" i="2"/>
  <c r="AE4" i="7"/>
  <c r="AG4" i="7" s="1"/>
  <c r="BY4" i="7"/>
  <c r="AB4" i="7"/>
  <c r="D20" i="20"/>
  <c r="D10" i="17"/>
  <c r="E9" i="12"/>
  <c r="Q9" i="12" s="1"/>
  <c r="D21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BS17" i="7"/>
  <c r="BH17" i="7"/>
  <c r="BK14" i="7"/>
  <c r="D21" i="18"/>
  <c r="D15" i="19"/>
  <c r="D21" i="16"/>
  <c r="D15" i="17"/>
  <c r="F12" i="5"/>
  <c r="U12" i="5" s="1"/>
  <c r="F29" i="5" s="1"/>
  <c r="U29" i="5" s="1"/>
  <c r="D18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Y14" i="7"/>
  <c r="AY13" i="7"/>
  <c r="D17" i="19"/>
  <c r="D13" i="16"/>
  <c r="D19" i="18"/>
  <c r="D7" i="17"/>
  <c r="D19" i="16"/>
  <c r="AQ13" i="7"/>
  <c r="AS13" i="7" s="1"/>
  <c r="D24" i="16"/>
  <c r="D6" i="20"/>
  <c r="CK14" i="7"/>
  <c r="AF16" i="7"/>
  <c r="X17" i="7"/>
  <c r="Z17" i="7" s="1"/>
  <c r="BT13" i="7"/>
  <c r="D17" i="20"/>
  <c r="D13" i="18"/>
  <c r="AP17" i="7"/>
  <c r="C7" i="7"/>
  <c r="C41" i="7" s="1"/>
  <c r="C17" i="7"/>
  <c r="C51" i="7" s="1"/>
  <c r="J6" i="10"/>
  <c r="Q7" i="10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R46" i="7"/>
  <c r="AX16" i="7"/>
  <c r="AZ16" i="7" s="1"/>
  <c r="T41" i="7"/>
  <c r="V41" i="7" s="1"/>
  <c r="U41" i="7"/>
  <c r="R54" i="7"/>
  <c r="AR16" i="7"/>
  <c r="BL14" i="7"/>
  <c r="AQ16" i="7"/>
  <c r="AS16" i="7" s="1"/>
  <c r="AM14" i="7"/>
  <c r="X14" i="7"/>
  <c r="Z14" i="7" s="1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9" i="2"/>
  <c r="F15" i="5"/>
  <c r="U15" i="5" s="1"/>
  <c r="F32" i="5" s="1"/>
  <c r="U32" i="5" s="1"/>
  <c r="AQ21" i="12"/>
  <c r="AQ2" i="12"/>
  <c r="AQ19" i="12"/>
  <c r="D23" i="20"/>
  <c r="D23" i="19"/>
  <c r="D25" i="16"/>
  <c r="D24" i="18"/>
  <c r="D22" i="17"/>
  <c r="E27" i="12"/>
  <c r="Q27" i="12" s="1"/>
  <c r="C23" i="7"/>
  <c r="C57" i="7" s="1"/>
  <c r="C23" i="2"/>
  <c r="J12" i="15"/>
  <c r="K13" i="14"/>
  <c r="U19" i="7"/>
  <c r="AO19" i="7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S12" i="10"/>
  <c r="Z12" i="10" s="1"/>
  <c r="J20" i="10"/>
  <c r="AD16" i="7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W9" i="15"/>
  <c r="X7" i="14"/>
  <c r="O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N55" i="7"/>
  <c r="S55" i="7" s="1"/>
  <c r="AO21" i="7"/>
  <c r="T21" i="7"/>
  <c r="O37" i="7"/>
  <c r="AR41" i="7"/>
  <c r="CE41" i="7"/>
  <c r="AY41" i="7"/>
  <c r="P41" i="7"/>
  <c r="CD41" i="7"/>
  <c r="CF41" i="7" s="1"/>
  <c r="Q41" i="7"/>
  <c r="D13" i="20"/>
  <c r="D10" i="19"/>
  <c r="D6" i="17"/>
  <c r="D14" i="16"/>
  <c r="E21" i="12"/>
  <c r="Q21" i="12" s="1"/>
  <c r="D10" i="18"/>
  <c r="C19" i="7"/>
  <c r="C53" i="7" s="1"/>
  <c r="C18" i="2"/>
  <c r="F14" i="5"/>
  <c r="U14" i="5" s="1"/>
  <c r="F31" i="5" s="1"/>
  <c r="U31" i="5" s="1"/>
  <c r="AP4" i="7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4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V11" i="7"/>
  <c r="W11" i="7" s="1"/>
  <c r="B33" i="21"/>
  <c r="BR56" i="7"/>
  <c r="X13" i="17"/>
  <c r="AK25" i="12"/>
  <c r="AK16" i="12" s="1"/>
  <c r="AK2" i="12"/>
  <c r="J19" i="10"/>
  <c r="S13" i="10"/>
  <c r="Z13" i="10" s="1"/>
  <c r="AY56" i="7"/>
  <c r="BY56" i="7"/>
  <c r="BZ56" i="7"/>
  <c r="O54" i="7"/>
  <c r="BY14" i="7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U40" i="7"/>
  <c r="T40" i="7"/>
  <c r="V40" i="7" s="1"/>
  <c r="O38" i="7"/>
  <c r="BD56" i="7"/>
  <c r="BS56" i="7"/>
  <c r="BI56" i="7"/>
  <c r="BX56" i="7"/>
  <c r="AH56" i="7"/>
  <c r="BN56" i="7"/>
  <c r="AN14" i="7"/>
  <c r="O43" i="7"/>
  <c r="AY42" i="7"/>
  <c r="O46" i="7"/>
  <c r="V5" i="15"/>
  <c r="W4" i="14"/>
  <c r="U5" i="15"/>
  <c r="V4" i="14"/>
  <c r="V14" i="14" s="1"/>
  <c r="AP6" i="7"/>
  <c r="R16" i="6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M24" i="6"/>
  <c r="D3" i="9"/>
  <c r="P25" i="6"/>
  <c r="Q18" i="6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S16" i="7"/>
  <c r="B27" i="9"/>
  <c r="C27" i="9"/>
  <c r="D27" i="9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CD42" i="7"/>
  <c r="CF42" i="7" s="1"/>
  <c r="U39" i="7"/>
  <c r="T39" i="7"/>
  <c r="V39" i="7" s="1"/>
  <c r="O52" i="7"/>
  <c r="V7" i="6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28" i="9"/>
  <c r="H28" i="9" s="1"/>
  <c r="D28" i="9"/>
  <c r="J28" i="9" s="1"/>
  <c r="C28" i="9"/>
  <c r="I28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S4" i="7"/>
  <c r="D21" i="20"/>
  <c r="D22" i="16"/>
  <c r="D21" i="19"/>
  <c r="E23" i="12"/>
  <c r="Q23" i="12" s="1"/>
  <c r="D19" i="17"/>
  <c r="D22" i="18"/>
  <c r="C21" i="7"/>
  <c r="C55" i="7" s="1"/>
  <c r="C21" i="2"/>
  <c r="AM37" i="7"/>
  <c r="AO37" i="7" s="1"/>
  <c r="R37" i="7"/>
  <c r="BW14" i="7"/>
  <c r="D20" i="18"/>
  <c r="D19" i="20"/>
  <c r="D19" i="19"/>
  <c r="D20" i="16"/>
  <c r="E10" i="12"/>
  <c r="Q10" i="12" s="1"/>
  <c r="C8" i="7"/>
  <c r="C42" i="7" s="1"/>
  <c r="BH43" i="7"/>
  <c r="D9" i="19"/>
  <c r="D4" i="16"/>
  <c r="D8" i="18"/>
  <c r="D14" i="17"/>
  <c r="D14" i="20"/>
  <c r="E19" i="12"/>
  <c r="Q19" i="12" s="1"/>
  <c r="C13" i="7"/>
  <c r="C47" i="7" s="1"/>
  <c r="C12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BT56" i="7"/>
  <c r="Z56" i="7"/>
  <c r="AW56" i="7"/>
  <c r="BQ16" i="7"/>
  <c r="AS21" i="12"/>
  <c r="AS16" i="12" s="1"/>
  <c r="AS2" i="12"/>
  <c r="J15" i="10"/>
  <c r="S9" i="10"/>
  <c r="Z9" i="10" s="1"/>
  <c r="BO14" i="7"/>
  <c r="AT16" i="7"/>
  <c r="U3" i="15"/>
  <c r="U13" i="15" s="1"/>
  <c r="V6" i="14"/>
  <c r="AP9" i="7"/>
  <c r="Q37" i="7"/>
  <c r="O53" i="7"/>
  <c r="BU16" i="7"/>
  <c r="BK16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CA39" i="7"/>
  <c r="CC39" i="7" s="1"/>
  <c r="AK57" i="7"/>
  <c r="BK57" i="7"/>
  <c r="BJ57" i="7"/>
  <c r="BI57" i="7"/>
  <c r="BP16" i="7"/>
  <c r="U14" i="7"/>
  <c r="X5" i="14" s="1"/>
  <c r="BU14" i="7"/>
  <c r="AR42" i="7"/>
  <c r="O25" i="5"/>
  <c r="O19" i="5" s="1"/>
  <c r="N19" i="5"/>
  <c r="BC16" i="7"/>
  <c r="X4" i="7"/>
  <c r="Z4" i="7" s="1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3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1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CB56" i="7"/>
  <c r="BW56" i="7"/>
  <c r="BM56" i="7"/>
  <c r="O51" i="7"/>
  <c r="BS16" i="7"/>
  <c r="P16" i="10"/>
  <c r="P17" i="10" s="1"/>
  <c r="P21" i="10" s="1"/>
  <c r="R52" i="7"/>
  <c r="BR16" i="7"/>
  <c r="BI16" i="7"/>
  <c r="Q51" i="7"/>
  <c r="AB14" i="7"/>
  <c r="P5" i="14" s="1"/>
  <c r="CA42" i="7"/>
  <c r="CC42" i="7" s="1"/>
  <c r="S15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CI16" i="7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1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7" i="2"/>
  <c r="D18" i="19"/>
  <c r="D18" i="20"/>
  <c r="D18" i="18"/>
  <c r="D17" i="17"/>
  <c r="E8" i="12"/>
  <c r="Q8" i="12" s="1"/>
  <c r="C6" i="7"/>
  <c r="C40" i="7" s="1"/>
  <c r="D18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AJ37" i="7" l="1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F10" i="9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F7" i="9"/>
  <c r="D30" i="9" s="1"/>
  <c r="J30" i="9" s="1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E16" i="9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E13" i="9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F19" i="9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E17" i="9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F14" i="9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E11" i="9"/>
  <c r="F11" i="9"/>
  <c r="E12" i="9"/>
  <c r="F12" i="9"/>
  <c r="F6" i="9"/>
  <c r="D29" i="9" s="1"/>
  <c r="J29" i="9" s="1"/>
  <c r="E6" i="9"/>
  <c r="C29" i="9" s="1"/>
  <c r="I29" i="9" s="1"/>
  <c r="E15" i="9"/>
  <c r="F15" i="9"/>
  <c r="F8" i="9"/>
  <c r="E8" i="9"/>
  <c r="E9" i="9"/>
  <c r="F9" i="9"/>
  <c r="U22" i="22"/>
  <c r="U28" i="22"/>
  <c r="U21" i="22"/>
  <c r="U24" i="22"/>
  <c r="U20" i="22"/>
  <c r="W13" i="14"/>
  <c r="Y2" i="18"/>
  <c r="R45" i="7"/>
  <c r="D31" i="9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CG19" i="7"/>
  <c r="R12" i="15"/>
  <c r="T12" i="15" s="1"/>
  <c r="BK52" i="7"/>
  <c r="BB52" i="7"/>
  <c r="U38" i="7"/>
  <c r="AK38" i="7"/>
  <c r="AR38" i="7"/>
  <c r="B30" i="9"/>
  <c r="H30" i="9" s="1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7" i="9"/>
  <c r="BT47" i="7"/>
  <c r="R50" i="7"/>
  <c r="AQ51" i="7"/>
  <c r="AS51" i="7" s="1"/>
  <c r="AL51" i="7"/>
  <c r="T4" i="6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7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29" i="9"/>
  <c r="H29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AZ15" i="7"/>
  <c r="O8" i="14" s="1"/>
  <c r="AB11" i="6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R14" i="14" l="1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J32" i="9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U4" i="6"/>
  <c r="E23" i="21"/>
  <c r="E27" i="21" s="1"/>
  <c r="AC3" i="6"/>
  <c r="AD3" i="6" s="1"/>
  <c r="M7" i="6"/>
  <c r="S15" i="15"/>
  <c r="S16" i="15"/>
  <c r="D32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2" i="9"/>
  <c r="D33" i="21"/>
  <c r="C32" i="9"/>
  <c r="P15" i="15"/>
  <c r="P16" i="15"/>
  <c r="X14" i="10"/>
  <c r="X16" i="10"/>
  <c r="X17" i="10" s="1"/>
  <c r="X21" i="10" s="1"/>
  <c r="AB14" i="6"/>
  <c r="AC11" i="6"/>
  <c r="W14" i="14"/>
  <c r="N15" i="15" l="1"/>
  <c r="P16" i="14"/>
  <c r="T17" i="14"/>
  <c r="E40" i="2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23" i="21"/>
  <c r="K38" i="21" l="1"/>
  <c r="Z25" i="6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V30" i="21"/>
  <c r="W30" i="21" s="1"/>
  <c r="U31" i="21"/>
  <c r="AA13" i="6"/>
  <c r="Z14" i="6"/>
  <c r="Z26" i="6" s="1"/>
  <c r="AA5" i="6" s="1"/>
  <c r="L31" i="21" l="1"/>
  <c r="L32" i="21" s="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AA26" i="6"/>
  <c r="AB5" i="6" s="1"/>
  <c r="N39" i="21" l="1"/>
  <c r="N40" i="21"/>
  <c r="N38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4" i="21"/>
  <c r="Q23" i="21"/>
  <c r="Q25" i="2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23" i="21"/>
  <c r="R27" i="21" s="1"/>
  <c r="R25" i="21"/>
  <c r="R29" i="21" s="1"/>
  <c r="R24" i="2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25" i="21"/>
  <c r="S23" i="21"/>
  <c r="S24" i="21"/>
  <c r="R17" i="21"/>
  <c r="R22" i="21"/>
  <c r="R26" i="21" s="1"/>
  <c r="R31" i="21" s="1"/>
  <c r="B33" i="6"/>
  <c r="H26" i="6"/>
  <c r="S22" i="21" l="1"/>
  <c r="S17" i="21"/>
  <c r="T25" i="21"/>
  <c r="T29" i="21" s="1"/>
  <c r="T23" i="21"/>
  <c r="T27" i="21" s="1"/>
  <c r="T24" i="21"/>
  <c r="T28" i="21" s="1"/>
  <c r="H16" i="6"/>
  <c r="R32" i="21"/>
  <c r="Q33" i="21"/>
  <c r="U24" i="21" l="1"/>
  <c r="U23" i="21"/>
  <c r="U25" i="21"/>
  <c r="S32" i="21"/>
  <c r="R33" i="21"/>
  <c r="H10" i="6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24" i="21"/>
  <c r="W23" i="21"/>
  <c r="W25" i="21"/>
  <c r="I10" i="6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<sst xmlns="http://schemas.openxmlformats.org/spreadsheetml/2006/main" count="2421" uniqueCount="710">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</sst>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86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52" fillId="0" borderId="0" xfId="4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5" fillId="58" borderId="71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0" fontId="34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5" fillId="60" borderId="73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5" xfId="4" applyNumberFormat="1" applyFont="1" applyFill="1" applyBorder="1" applyAlignment="1">
      <alignment horizontal="center"/>
    </xf>
    <xf numFmtId="2" fontId="31" fillId="62" borderId="75" xfId="4" applyNumberFormat="1" applyFont="1" applyFill="1" applyBorder="1" applyAlignment="1">
      <alignment horizontal="right"/>
    </xf>
    <xf numFmtId="2" fontId="38" fillId="63" borderId="76" xfId="4" applyNumberFormat="1" applyFont="1" applyFill="1" applyBorder="1" applyAlignment="1">
      <alignment horizontal="right"/>
    </xf>
    <xf numFmtId="2" fontId="36" fillId="62" borderId="75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79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79" xfId="4" applyNumberFormat="1" applyFont="1" applyFill="1" applyBorder="1" applyAlignment="1">
      <alignment horizontal="right"/>
    </xf>
    <xf numFmtId="2" fontId="36" fillId="66" borderId="79" xfId="4" applyNumberFormat="1" applyFont="1" applyFill="1" applyBorder="1" applyAlignment="1">
      <alignment horizontal="right"/>
    </xf>
    <xf numFmtId="2" fontId="38" fillId="67" borderId="80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1" xfId="4" applyNumberFormat="1" applyFont="1" applyFill="1" applyBorder="1" applyAlignment="1">
      <alignment horizontal="right"/>
    </xf>
    <xf numFmtId="2" fontId="38" fillId="68" borderId="81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79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2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5" xfId="0" applyFont="1" applyFill="1" applyBorder="1"/>
    <xf numFmtId="176" fontId="44" fillId="72" borderId="85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6" xfId="0" applyFont="1" applyFill="1" applyBorder="1" applyAlignment="1">
      <alignment wrapText="1"/>
    </xf>
    <xf numFmtId="165" fontId="1" fillId="74" borderId="87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8" xfId="0" applyFill="1" applyBorder="1" applyAlignment="1">
      <alignment horizontal="right"/>
    </xf>
    <xf numFmtId="167" fontId="0" fillId="76" borderId="89" xfId="0" applyNumberFormat="1" applyFill="1" applyBorder="1"/>
    <xf numFmtId="0" fontId="0" fillId="77" borderId="90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1" xfId="0" applyFill="1" applyBorder="1" applyAlignment="1">
      <alignment horizontal="right"/>
    </xf>
    <xf numFmtId="167" fontId="0" fillId="79" borderId="92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3" xfId="0" applyFill="1" applyBorder="1" applyAlignment="1">
      <alignment horizontal="right"/>
    </xf>
    <xf numFmtId="167" fontId="0" fillId="81" borderId="94" xfId="0" applyNumberFormat="1" applyFill="1" applyBorder="1" applyAlignment="1">
      <alignment horizontal="right"/>
    </xf>
    <xf numFmtId="176" fontId="1" fillId="82" borderId="95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6" xfId="0" applyFill="1" applyBorder="1" applyAlignment="1">
      <alignment horizontal="right"/>
    </xf>
    <xf numFmtId="176" fontId="9" fillId="82" borderId="95" xfId="0" applyNumberFormat="1" applyFont="1" applyFill="1" applyBorder="1"/>
    <xf numFmtId="0" fontId="9" fillId="0" borderId="0" xfId="0" applyFont="1"/>
    <xf numFmtId="0" fontId="1" fillId="84" borderId="97" xfId="0" applyFont="1" applyFill="1" applyBorder="1"/>
    <xf numFmtId="165" fontId="1" fillId="82" borderId="95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8" xfId="0" applyFont="1" applyFill="1" applyBorder="1" applyAlignment="1">
      <alignment horizontal="center"/>
    </xf>
    <xf numFmtId="178" fontId="1" fillId="85" borderId="98" xfId="3" applyNumberFormat="1" applyFont="1" applyFill="1" applyBorder="1" applyAlignment="1">
      <alignment horizontal="center" wrapText="1"/>
    </xf>
    <xf numFmtId="0" fontId="1" fillId="85" borderId="98" xfId="0" applyFont="1" applyFill="1" applyBorder="1" applyAlignment="1">
      <alignment horizontal="right"/>
    </xf>
    <xf numFmtId="0" fontId="0" fillId="86" borderId="99" xfId="0" applyFill="1" applyBorder="1" applyAlignment="1">
      <alignment horizontal="right"/>
    </xf>
    <xf numFmtId="167" fontId="0" fillId="87" borderId="100" xfId="0" applyNumberFormat="1" applyFill="1" applyBorder="1"/>
    <xf numFmtId="179" fontId="1" fillId="85" borderId="98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8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1" xfId="0" applyNumberFormat="1" applyFill="1" applyBorder="1"/>
    <xf numFmtId="176" fontId="9" fillId="88" borderId="101" xfId="0" applyNumberFormat="1" applyFont="1" applyFill="1" applyBorder="1"/>
    <xf numFmtId="0" fontId="1" fillId="88" borderId="101" xfId="0" applyFont="1" applyFill="1" applyBorder="1" applyAlignment="1">
      <alignment wrapText="1"/>
    </xf>
    <xf numFmtId="0" fontId="1" fillId="88" borderId="101" xfId="0" applyFont="1" applyFill="1" applyBorder="1"/>
    <xf numFmtId="0" fontId="9" fillId="88" borderId="101" xfId="0" applyFont="1" applyFill="1" applyBorder="1" applyAlignment="1">
      <alignment wrapText="1"/>
    </xf>
    <xf numFmtId="0" fontId="9" fillId="88" borderId="101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2" xfId="0" applyFont="1" applyFill="1" applyBorder="1"/>
    <xf numFmtId="176" fontId="44" fillId="89" borderId="102" xfId="0" applyNumberFormat="1" applyFont="1" applyFill="1" applyBorder="1"/>
    <xf numFmtId="176" fontId="44" fillId="90" borderId="103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4" xfId="0" applyFill="1" applyBorder="1" applyAlignment="1">
      <alignment horizontal="right"/>
    </xf>
    <xf numFmtId="167" fontId="0" fillId="92" borderId="105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6" xfId="0" applyNumberFormat="1" applyFill="1" applyBorder="1" applyAlignment="1">
      <alignment horizontal="right"/>
    </xf>
    <xf numFmtId="167" fontId="0" fillId="93" borderId="106" xfId="0" applyNumberFormat="1" applyFill="1" applyBorder="1"/>
    <xf numFmtId="0" fontId="0" fillId="94" borderId="107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1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8" xfId="4" applyFill="1" applyBorder="1" applyAlignment="1">
      <alignment horizontal="right"/>
    </xf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0" fontId="0" fillId="0" borderId="0" xfId="0" applyAlignment="1">
      <alignment horizontal="center"/>
    </xf>
    <xf numFmtId="0" fontId="0" fillId="0" borderId="128" xfId="0" applyBorder="1"/>
    <xf numFmtId="0" fontId="11" fillId="20" borderId="128" xfId="0" applyFont="1" applyFill="1" applyBorder="1" applyAlignment="1">
      <alignment horizontal="left" vertical="center"/>
    </xf>
    <xf numFmtId="1" fontId="11" fillId="20" borderId="128" xfId="0" applyNumberFormat="1" applyFont="1" applyFill="1" applyBorder="1" applyAlignment="1">
      <alignment horizontal="left" vertical="center"/>
    </xf>
    <xf numFmtId="0" fontId="11" fillId="21" borderId="128" xfId="0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left" vertical="center"/>
    </xf>
    <xf numFmtId="2" fontId="11" fillId="21" borderId="128" xfId="0" applyNumberFormat="1" applyFont="1" applyFill="1" applyBorder="1" applyAlignment="1">
      <alignment horizontal="left" vertical="center"/>
    </xf>
    <xf numFmtId="1" fontId="11" fillId="29" borderId="128" xfId="0" applyNumberFormat="1" applyFont="1" applyFill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center" vertical="center"/>
    </xf>
    <xf numFmtId="1" fontId="11" fillId="21" borderId="128" xfId="0" applyNumberFormat="1" applyFont="1" applyFill="1" applyBorder="1" applyAlignment="1">
      <alignment horizontal="center" vertical="center"/>
    </xf>
    <xf numFmtId="181" fontId="11" fillId="21" borderId="128" xfId="0" applyNumberFormat="1" applyFont="1" applyFill="1" applyBorder="1" applyAlignment="1">
      <alignment horizontal="center" vertical="center"/>
    </xf>
    <xf numFmtId="2" fontId="11" fillId="21" borderId="128" xfId="0" applyNumberFormat="1" applyFont="1" applyFill="1" applyBorder="1" applyAlignment="1">
      <alignment horizontal="center" vertical="center"/>
    </xf>
    <xf numFmtId="9" fontId="11" fillId="21" borderId="128" xfId="2" applyFont="1" applyFill="1" applyBorder="1" applyAlignment="1">
      <alignment horizontal="center" vertical="center"/>
    </xf>
    <xf numFmtId="169" fontId="11" fillId="21" borderId="128" xfId="3" applyNumberFormat="1" applyFont="1" applyFill="1" applyBorder="1" applyAlignment="1">
      <alignment horizontal="right" vertical="center"/>
    </xf>
    <xf numFmtId="169" fontId="11" fillId="21" borderId="128" xfId="3" applyNumberFormat="1" applyFont="1" applyFill="1" applyBorder="1" applyAlignment="1">
      <alignment horizontal="left" vertical="center"/>
    </xf>
    <xf numFmtId="172" fontId="11" fillId="21" borderId="128" xfId="3" applyNumberFormat="1" applyFont="1" applyFill="1" applyBorder="1" applyAlignment="1">
      <alignment horizontal="right" vertical="center"/>
    </xf>
    <xf numFmtId="2" fontId="11" fillId="20" borderId="128" xfId="0" applyNumberFormat="1" applyFont="1" applyFill="1" applyBorder="1" applyAlignment="1">
      <alignment horizontal="left" vertical="center"/>
    </xf>
    <xf numFmtId="169" fontId="23" fillId="21" borderId="128" xfId="3" applyNumberFormat="1" applyFont="1" applyFill="1" applyBorder="1" applyAlignment="1">
      <alignment horizontal="right" vertical="center"/>
    </xf>
    <xf numFmtId="170" fontId="50" fillId="0" borderId="128" xfId="0" applyNumberFormat="1" applyFont="1" applyBorder="1"/>
    <xf numFmtId="172" fontId="11" fillId="21" borderId="128" xfId="3" applyNumberFormat="1" applyFont="1" applyFill="1" applyBorder="1" applyAlignment="1">
      <alignment horizontal="center" vertical="center"/>
    </xf>
    <xf numFmtId="169" fontId="11" fillId="53" borderId="109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29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9" fontId="0" fillId="0" borderId="132" xfId="0" applyNumberForma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0" fontId="0" fillId="0" borderId="134" xfId="0" applyNumberFormat="1" applyBorder="1" applyAlignment="1">
      <alignment horizontal="center"/>
    </xf>
    <xf numFmtId="0" fontId="1" fillId="0" borderId="129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1" xfId="0" applyFont="1" applyBorder="1" applyAlignment="1">
      <alignment horizontal="center"/>
    </xf>
    <xf numFmtId="0" fontId="1" fillId="0" borderId="131" xfId="0" applyNumberFormat="1" applyFont="1" applyBorder="1" applyAlignment="1">
      <alignment horizontal="center"/>
    </xf>
    <xf numFmtId="0" fontId="1" fillId="0" borderId="137" xfId="0" applyNumberFormat="1" applyFont="1" applyBorder="1" applyAlignment="1">
      <alignment horizontal="center"/>
    </xf>
    <xf numFmtId="9" fontId="1" fillId="0" borderId="134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5" fillId="21" borderId="24" xfId="3" applyNumberFormat="1" applyFont="1" applyFill="1" applyBorder="1" applyAlignment="1">
      <alignment horizontal="right" vertical="center"/>
    </xf>
    <xf numFmtId="169" fontId="56" fillId="21" borderId="24" xfId="3" applyNumberFormat="1" applyFont="1" applyFill="1" applyBorder="1" applyAlignment="1">
      <alignment horizontal="right" vertical="center"/>
    </xf>
    <xf numFmtId="0" fontId="52" fillId="0" borderId="64" xfId="4" applyFill="1" applyBorder="1" applyAlignment="1">
      <alignment horizontal="right"/>
    </xf>
    <xf numFmtId="0" fontId="8" fillId="0" borderId="109" xfId="0" applyFont="1" applyBorder="1"/>
    <xf numFmtId="0" fontId="0" fillId="0" borderId="109" xfId="0" applyBorder="1"/>
    <xf numFmtId="165" fontId="8" fillId="0" borderId="109" xfId="2" applyNumberFormat="1" applyFont="1" applyBorder="1"/>
    <xf numFmtId="0" fontId="1" fillId="0" borderId="109" xfId="0" applyFont="1" applyBorder="1"/>
    <xf numFmtId="0" fontId="1" fillId="56" borderId="109" xfId="0" applyFont="1" applyFill="1" applyBorder="1" applyAlignment="1">
      <alignment horizontal="center"/>
    </xf>
    <xf numFmtId="0" fontId="0" fillId="56" borderId="109" xfId="0" applyFill="1" applyBorder="1"/>
    <xf numFmtId="0" fontId="0" fillId="0" borderId="109" xfId="0" applyBorder="1" applyAlignment="1">
      <alignment horizontal="center"/>
    </xf>
    <xf numFmtId="2" fontId="0" fillId="56" borderId="109" xfId="0" applyNumberFormat="1" applyFill="1" applyBorder="1"/>
    <xf numFmtId="0" fontId="0" fillId="57" borderId="109" xfId="0" applyFill="1" applyBorder="1" applyAlignment="1">
      <alignment horizontal="center"/>
    </xf>
    <xf numFmtId="0" fontId="0" fillId="57" borderId="109" xfId="0" applyFill="1" applyBorder="1"/>
    <xf numFmtId="181" fontId="0" fillId="57" borderId="109" xfId="0" applyNumberFormat="1" applyFill="1" applyBorder="1"/>
    <xf numFmtId="0" fontId="1" fillId="57" borderId="109" xfId="0" applyFont="1" applyFill="1" applyBorder="1" applyAlignment="1">
      <alignment horizontal="center"/>
    </xf>
    <xf numFmtId="181" fontId="0" fillId="56" borderId="109" xfId="0" applyNumberFormat="1" applyFill="1" applyBorder="1"/>
    <xf numFmtId="0" fontId="0" fillId="56" borderId="109" xfId="0" applyFill="1" applyBorder="1" applyAlignment="1">
      <alignment horizontal="center"/>
    </xf>
    <xf numFmtId="0" fontId="0" fillId="55" borderId="109" xfId="0" applyFill="1" applyBorder="1" applyAlignment="1">
      <alignment horizontal="center"/>
    </xf>
    <xf numFmtId="0" fontId="0" fillId="55" borderId="109" xfId="0" applyFill="1" applyBorder="1"/>
    <xf numFmtId="181" fontId="0" fillId="55" borderId="109" xfId="0" applyNumberFormat="1" applyFill="1" applyBorder="1"/>
    <xf numFmtId="0" fontId="0" fillId="54" borderId="109" xfId="0" applyFill="1" applyBorder="1" applyAlignment="1">
      <alignment horizontal="center"/>
    </xf>
    <xf numFmtId="0" fontId="0" fillId="54" borderId="109" xfId="0" applyFill="1" applyBorder="1"/>
    <xf numFmtId="181" fontId="0" fillId="54" borderId="109" xfId="0" applyNumberFormat="1" applyFill="1" applyBorder="1"/>
    <xf numFmtId="2" fontId="0" fillId="54" borderId="109" xfId="0" applyNumberFormat="1" applyFill="1" applyBorder="1"/>
    <xf numFmtId="2" fontId="0" fillId="55" borderId="109" xfId="0" applyNumberFormat="1" applyFill="1" applyBorder="1"/>
    <xf numFmtId="0" fontId="8" fillId="55" borderId="109" xfId="0" applyFont="1" applyFill="1" applyBorder="1"/>
    <xf numFmtId="0" fontId="8" fillId="54" borderId="109" xfId="0" applyFont="1" applyFill="1" applyBorder="1"/>
    <xf numFmtId="0" fontId="8" fillId="0" borderId="109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109" xfId="0" applyFont="1" applyBorder="1" applyAlignment="1">
      <alignment horizontal="left"/>
    </xf>
    <xf numFmtId="0" fontId="1" fillId="96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09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1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15" fillId="97" borderId="110" xfId="4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7" xfId="0" applyNumberFormat="1" applyFont="1" applyFill="1" applyBorder="1" applyAlignment="1">
      <alignment horizontal="center"/>
    </xf>
    <xf numFmtId="0" fontId="1" fillId="109" borderId="122" xfId="0" applyFont="1" applyFill="1" applyBorder="1" applyAlignment="1">
      <alignment horizontal="center" vertical="top" wrapText="1"/>
    </xf>
    <xf numFmtId="0" fontId="1" fillId="110" borderId="123" xfId="0" applyFont="1" applyFill="1" applyBorder="1" applyAlignment="1">
      <alignment horizontal="center" vertical="top" wrapText="1"/>
    </xf>
    <xf numFmtId="0" fontId="1" fillId="111" borderId="124" xfId="0" applyFont="1" applyFill="1" applyBorder="1" applyAlignment="1">
      <alignment horizontal="center" vertical="top" wrapText="1"/>
    </xf>
    <xf numFmtId="0" fontId="1" fillId="112" borderId="125" xfId="0" applyFont="1" applyFill="1" applyBorder="1" applyAlignment="1">
      <alignment horizontal="center" vertical="top" wrapText="1"/>
    </xf>
    <xf numFmtId="176" fontId="9" fillId="82" borderId="95" xfId="0" applyNumberFormat="1" applyFont="1" applyFill="1" applyBorder="1" applyAlignment="1">
      <alignment horizontal="center"/>
    </xf>
    <xf numFmtId="0" fontId="43" fillId="99" borderId="112" xfId="0" applyFont="1" applyFill="1" applyBorder="1" applyAlignment="1">
      <alignment horizontal="center"/>
    </xf>
    <xf numFmtId="0" fontId="43" fillId="100" borderId="113" xfId="0" applyFont="1" applyFill="1" applyBorder="1" applyAlignment="1">
      <alignment horizontal="center"/>
    </xf>
    <xf numFmtId="0" fontId="43" fillId="101" borderId="114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5" xfId="0" applyFont="1" applyFill="1" applyBorder="1" applyAlignment="1">
      <alignment horizontal="center"/>
    </xf>
    <xf numFmtId="0" fontId="8" fillId="103" borderId="116" xfId="0" applyFont="1" applyFill="1" applyBorder="1" applyAlignment="1">
      <alignment horizontal="center"/>
    </xf>
    <xf numFmtId="0" fontId="8" fillId="104" borderId="117" xfId="0" applyFont="1" applyFill="1" applyBorder="1" applyAlignment="1">
      <alignment horizontal="center"/>
    </xf>
    <xf numFmtId="0" fontId="8" fillId="105" borderId="118" xfId="0" applyFont="1" applyFill="1" applyBorder="1" applyAlignment="1">
      <alignment horizontal="center"/>
    </xf>
    <xf numFmtId="0" fontId="1" fillId="106" borderId="119" xfId="0" applyFont="1" applyFill="1" applyBorder="1" applyAlignment="1">
      <alignment horizontal="center" vertical="top" wrapText="1"/>
    </xf>
    <xf numFmtId="0" fontId="1" fillId="107" borderId="120" xfId="0" applyFont="1" applyFill="1" applyBorder="1" applyAlignment="1">
      <alignment horizontal="center" vertical="top" wrapText="1"/>
    </xf>
    <xf numFmtId="0" fontId="1" fillId="108" borderId="121" xfId="0" applyFont="1" applyFill="1" applyBorder="1" applyAlignment="1">
      <alignment horizontal="center" vertical="top" wrapText="1"/>
    </xf>
    <xf numFmtId="181" fontId="31" fillId="69" borderId="82" xfId="0" applyNumberFormat="1" applyFont="1" applyFill="1" applyBorder="1" applyAlignment="1">
      <alignment horizontal="center"/>
    </xf>
    <xf numFmtId="0" fontId="31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6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7" xfId="0" applyFill="1" applyBorder="1" applyAlignment="1">
      <alignment horizontal="center"/>
    </xf>
    <xf numFmtId="0" fontId="0" fillId="115" borderId="128" xfId="0" applyFill="1" applyBorder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628009256" createdVersion="6" refreshedVersion="6" minRefreshableVersion="3" recordCount="97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1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965162034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17T00:00:00"/>
    </cacheField>
    <cacheField name="ID_Partido" numFmtId="0">
      <sharedItems containsString="0" containsBlank="1" containsNumber="1" containsInteger="1" minValue="17480983" maxValue="663544263"/>
    </cacheField>
    <cacheField name="Tactica" numFmtId="0">
      <sharedItems containsString="0" containsBlank="1" containsNumber="1" containsInteger="1" minValue="12" maxValue="17" count="7">
        <n v="13"/>
        <n v="12"/>
        <n v="14"/>
        <n v="15"/>
        <n v="16"/>
        <n v="17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0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2"/>
    </i>
    <i>
      <x v="10"/>
    </i>
    <i>
      <x v="7"/>
    </i>
    <i>
      <x v="13"/>
    </i>
    <i>
      <x v="15"/>
    </i>
    <i>
      <x v="6"/>
    </i>
    <i>
      <x v="8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8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8">
        <item x="1"/>
        <item x="0"/>
        <item x="2"/>
        <item h="1" x="6"/>
        <item h="1" x="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2" type="button" dataOnly="0" labelOnly="1" outline="0"/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8">
        <item x="1"/>
        <item x="0"/>
        <item x="2"/>
        <item h="1" x="6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111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1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type="all" dataOnly="0" outline="0" fieldPosition="0"/>
    </format>
    <format dxfId="107">
      <pivotArea field="2" type="button" dataOnly="0" labelOnly="1" outline="0" axis="axisRow" fieldPosition="0"/>
    </format>
    <format dxfId="106">
      <pivotArea dataOnly="0" labelOnly="1" grandRow="1" outline="0" fieldPosition="0"/>
    </format>
    <format dxfId="105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103">
      <pivotArea field="2" type="button" dataOnly="0" labelOnly="1" outline="0" axis="axisRow" fieldPosition="0"/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G5" sqref="G5:I5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0" t="s">
        <v>0</v>
      </c>
      <c r="B1" s="540"/>
      <c r="C1" s="540"/>
      <c r="E1" s="541" t="s">
        <v>1</v>
      </c>
      <c r="F1" s="541"/>
      <c r="G1" s="541"/>
      <c r="H1" s="541"/>
    </row>
    <row r="2" spans="1:21" x14ac:dyDescent="0.25">
      <c r="A2" s="542">
        <v>44035</v>
      </c>
      <c r="B2" s="542"/>
      <c r="C2" s="542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7" t="s">
        <v>6</v>
      </c>
      <c r="G3" s="74">
        <v>43258</v>
      </c>
      <c r="H3" t="s">
        <v>7</v>
      </c>
    </row>
    <row r="4" spans="1:21" s="513" customFormat="1" ht="10.5" customHeight="1" x14ac:dyDescent="0.3"/>
    <row r="5" spans="1:21" s="513" customFormat="1" ht="18.75" x14ac:dyDescent="0.3">
      <c r="B5" s="539" t="s">
        <v>8</v>
      </c>
      <c r="C5" s="539"/>
      <c r="D5" s="514"/>
      <c r="G5" s="539" t="s">
        <v>9</v>
      </c>
      <c r="H5" s="539"/>
      <c r="I5" s="539"/>
      <c r="J5" s="515"/>
      <c r="K5" s="515"/>
      <c r="L5" s="539" t="s">
        <v>10</v>
      </c>
      <c r="M5" s="539"/>
      <c r="N5" s="514"/>
      <c r="O5" s="516" t="s">
        <v>11</v>
      </c>
      <c r="S5" s="539" t="s">
        <v>12</v>
      </c>
      <c r="T5" s="539"/>
    </row>
    <row r="6" spans="1:21" s="514" customFormat="1" x14ac:dyDescent="0.25">
      <c r="A6" s="514">
        <v>1</v>
      </c>
      <c r="B6" s="517">
        <v>116</v>
      </c>
      <c r="C6" s="518" t="s">
        <v>13</v>
      </c>
      <c r="D6" s="518" t="s">
        <v>14</v>
      </c>
      <c r="F6" s="519">
        <v>1</v>
      </c>
      <c r="G6" s="517">
        <v>436</v>
      </c>
      <c r="H6" s="518" t="s">
        <v>15</v>
      </c>
      <c r="I6" s="518" t="s">
        <v>16</v>
      </c>
      <c r="K6" s="519">
        <v>1</v>
      </c>
      <c r="L6" s="517">
        <v>283</v>
      </c>
      <c r="M6" s="518" t="s">
        <v>17</v>
      </c>
      <c r="N6" s="518" t="s">
        <v>18</v>
      </c>
      <c r="O6" s="520">
        <f>L6/G9</f>
        <v>0.80857142857142861</v>
      </c>
      <c r="P6" s="518"/>
      <c r="R6" s="514">
        <v>1</v>
      </c>
      <c r="S6" s="521" t="s">
        <v>19</v>
      </c>
      <c r="T6" s="522" t="s">
        <v>20</v>
      </c>
      <c r="U6" s="523" t="s">
        <v>21</v>
      </c>
    </row>
    <row r="7" spans="1:21" s="514" customFormat="1" x14ac:dyDescent="0.25">
      <c r="A7" s="514">
        <v>2</v>
      </c>
      <c r="B7" s="524">
        <v>66</v>
      </c>
      <c r="C7" s="522" t="s">
        <v>22</v>
      </c>
      <c r="D7" s="523" t="s">
        <v>14</v>
      </c>
      <c r="F7" s="519">
        <v>2</v>
      </c>
      <c r="G7" s="517">
        <v>419</v>
      </c>
      <c r="H7" s="518" t="s">
        <v>23</v>
      </c>
      <c r="I7" s="525" t="s">
        <v>24</v>
      </c>
      <c r="K7" s="519">
        <v>2</v>
      </c>
      <c r="L7" s="517">
        <v>132</v>
      </c>
      <c r="M7" s="518" t="s">
        <v>15</v>
      </c>
      <c r="N7" s="518" t="s">
        <v>16</v>
      </c>
      <c r="O7" s="520">
        <f>L7/G6</f>
        <v>0.30275229357798167</v>
      </c>
      <c r="P7" s="518"/>
      <c r="R7" s="514">
        <v>2</v>
      </c>
      <c r="S7" s="526" t="s">
        <v>25</v>
      </c>
      <c r="T7" s="518" t="s">
        <v>13</v>
      </c>
      <c r="U7" s="518" t="s">
        <v>14</v>
      </c>
    </row>
    <row r="8" spans="1:21" s="514" customFormat="1" x14ac:dyDescent="0.25">
      <c r="A8" s="514">
        <v>3</v>
      </c>
      <c r="B8" s="521">
        <v>46</v>
      </c>
      <c r="C8" s="522" t="s">
        <v>26</v>
      </c>
      <c r="D8" s="523" t="s">
        <v>14</v>
      </c>
      <c r="F8" s="519">
        <v>3</v>
      </c>
      <c r="G8" s="517">
        <v>362</v>
      </c>
      <c r="H8" s="518" t="s">
        <v>27</v>
      </c>
      <c r="I8" s="525" t="s">
        <v>28</v>
      </c>
      <c r="K8" s="519">
        <v>3</v>
      </c>
      <c r="L8" s="517">
        <v>132</v>
      </c>
      <c r="M8" s="518" t="s">
        <v>29</v>
      </c>
      <c r="N8" s="518" t="s">
        <v>30</v>
      </c>
      <c r="O8" s="520">
        <f>L8/G10</f>
        <v>0.39169139465875369</v>
      </c>
      <c r="P8" s="518"/>
      <c r="R8" s="514">
        <v>2</v>
      </c>
      <c r="S8" s="526" t="s">
        <v>25</v>
      </c>
      <c r="T8" s="518" t="s">
        <v>15</v>
      </c>
      <c r="U8" s="518" t="s">
        <v>16</v>
      </c>
    </row>
    <row r="9" spans="1:21" s="513" customFormat="1" ht="18.75" x14ac:dyDescent="0.3">
      <c r="A9" s="514">
        <v>4</v>
      </c>
      <c r="B9" s="527">
        <v>22</v>
      </c>
      <c r="C9" s="528" t="s">
        <v>31</v>
      </c>
      <c r="D9" s="529" t="s">
        <v>14</v>
      </c>
      <c r="F9" s="519">
        <v>4</v>
      </c>
      <c r="G9" s="530">
        <v>350</v>
      </c>
      <c r="H9" s="531" t="s">
        <v>32</v>
      </c>
      <c r="I9" s="532" t="s">
        <v>18</v>
      </c>
      <c r="K9" s="519">
        <v>4</v>
      </c>
      <c r="L9" s="530">
        <v>100</v>
      </c>
      <c r="M9" s="531" t="s">
        <v>33</v>
      </c>
      <c r="N9" s="531" t="s">
        <v>28</v>
      </c>
      <c r="O9" s="533">
        <f>L9/G11</f>
        <v>0.31948881789137379</v>
      </c>
      <c r="P9" s="531"/>
      <c r="R9" s="514">
        <v>2</v>
      </c>
      <c r="S9" s="526" t="s">
        <v>25</v>
      </c>
      <c r="T9" s="518" t="s">
        <v>27</v>
      </c>
      <c r="U9" s="525" t="s">
        <v>28</v>
      </c>
    </row>
    <row r="10" spans="1:21" s="514" customFormat="1" ht="18.75" x14ac:dyDescent="0.3">
      <c r="A10" s="514">
        <v>5</v>
      </c>
      <c r="B10" s="530">
        <v>2</v>
      </c>
      <c r="C10" s="531" t="s">
        <v>34</v>
      </c>
      <c r="D10" s="531" t="s">
        <v>14</v>
      </c>
      <c r="F10" s="519">
        <v>5</v>
      </c>
      <c r="G10" s="527">
        <v>337</v>
      </c>
      <c r="H10" s="528" t="s">
        <v>29</v>
      </c>
      <c r="I10" s="528" t="s">
        <v>30</v>
      </c>
      <c r="K10" s="519">
        <v>5</v>
      </c>
      <c r="L10" s="527">
        <v>95</v>
      </c>
      <c r="M10" s="528" t="s">
        <v>27</v>
      </c>
      <c r="N10" s="529" t="s">
        <v>28</v>
      </c>
      <c r="O10" s="534">
        <f>L10/G8</f>
        <v>0.26243093922651933</v>
      </c>
      <c r="P10" s="535"/>
      <c r="R10" s="514">
        <v>2</v>
      </c>
      <c r="S10" s="521" t="s">
        <v>25</v>
      </c>
      <c r="T10" s="522" t="s">
        <v>35</v>
      </c>
      <c r="U10" s="522" t="s">
        <v>21</v>
      </c>
    </row>
    <row r="11" spans="1:21" s="514" customFormat="1" x14ac:dyDescent="0.25">
      <c r="A11" s="514">
        <v>6</v>
      </c>
      <c r="B11" s="530">
        <v>1</v>
      </c>
      <c r="C11" s="531" t="s">
        <v>36</v>
      </c>
      <c r="D11" s="531" t="s">
        <v>37</v>
      </c>
      <c r="F11" s="519">
        <v>6</v>
      </c>
      <c r="G11" s="530">
        <v>313</v>
      </c>
      <c r="H11" s="531" t="s">
        <v>33</v>
      </c>
      <c r="I11" s="532" t="s">
        <v>28</v>
      </c>
      <c r="K11" s="519">
        <v>6</v>
      </c>
      <c r="L11" s="530">
        <v>90</v>
      </c>
      <c r="M11" s="531" t="s">
        <v>20</v>
      </c>
      <c r="N11" s="531" t="s">
        <v>21</v>
      </c>
      <c r="O11" s="533">
        <f>L11/G21</f>
        <v>0.61643835616438358</v>
      </c>
      <c r="P11" s="531">
        <v>169</v>
      </c>
      <c r="R11" s="514">
        <v>2</v>
      </c>
      <c r="S11" s="521" t="s">
        <v>25</v>
      </c>
      <c r="T11" s="522" t="s">
        <v>38</v>
      </c>
      <c r="U11" s="523" t="s">
        <v>24</v>
      </c>
    </row>
    <row r="12" spans="1:21" s="514" customFormat="1" ht="18.75" x14ac:dyDescent="0.3">
      <c r="A12" s="514">
        <v>6</v>
      </c>
      <c r="B12" s="530">
        <v>1</v>
      </c>
      <c r="C12" s="531" t="s">
        <v>39</v>
      </c>
      <c r="D12" s="531" t="s">
        <v>24</v>
      </c>
      <c r="F12" s="519">
        <v>7</v>
      </c>
      <c r="G12" s="530">
        <v>312</v>
      </c>
      <c r="H12" s="531" t="s">
        <v>40</v>
      </c>
      <c r="I12" s="532" t="s">
        <v>30</v>
      </c>
      <c r="K12" s="519">
        <v>7</v>
      </c>
      <c r="L12" s="530">
        <v>85</v>
      </c>
      <c r="M12" s="531" t="s">
        <v>40</v>
      </c>
      <c r="N12" s="532" t="s">
        <v>30</v>
      </c>
      <c r="O12" s="533">
        <f>L12/G12</f>
        <v>0.27243589743589741</v>
      </c>
      <c r="P12" s="536"/>
      <c r="R12" s="514">
        <v>7</v>
      </c>
      <c r="S12" s="530" t="s">
        <v>41</v>
      </c>
      <c r="T12" s="531" t="s">
        <v>42</v>
      </c>
      <c r="U12" s="531" t="s">
        <v>37</v>
      </c>
    </row>
    <row r="13" spans="1:21" s="514" customFormat="1" ht="18.75" x14ac:dyDescent="0.3">
      <c r="B13" s="519"/>
      <c r="C13" s="519"/>
      <c r="D13" s="519"/>
      <c r="E13" s="513"/>
      <c r="F13" s="519">
        <v>8</v>
      </c>
      <c r="G13" s="530">
        <v>299</v>
      </c>
      <c r="H13" s="531" t="s">
        <v>43</v>
      </c>
      <c r="I13" s="532" t="s">
        <v>28</v>
      </c>
      <c r="J13" s="513"/>
      <c r="K13" s="519">
        <v>7</v>
      </c>
      <c r="L13" s="530">
        <v>85</v>
      </c>
      <c r="M13" s="531" t="s">
        <v>44</v>
      </c>
      <c r="N13" s="532" t="s">
        <v>28</v>
      </c>
      <c r="O13" s="533">
        <f>L13/G15</f>
        <v>0.2982456140350877</v>
      </c>
      <c r="P13" s="531"/>
      <c r="Q13" s="513"/>
      <c r="R13" s="514">
        <v>7</v>
      </c>
      <c r="S13" s="530" t="s">
        <v>41</v>
      </c>
      <c r="T13" s="531" t="s">
        <v>33</v>
      </c>
      <c r="U13" s="532" t="s">
        <v>28</v>
      </c>
    </row>
    <row r="14" spans="1:21" s="514" customFormat="1" ht="18.75" x14ac:dyDescent="0.3">
      <c r="A14" s="513"/>
      <c r="B14" s="537" t="s">
        <v>45</v>
      </c>
      <c r="C14" s="537"/>
      <c r="F14" s="519">
        <v>9</v>
      </c>
      <c r="G14" s="527">
        <v>294</v>
      </c>
      <c r="H14" s="528" t="s">
        <v>13</v>
      </c>
      <c r="I14" s="528" t="s">
        <v>14</v>
      </c>
      <c r="K14" s="519">
        <v>9</v>
      </c>
      <c r="L14" s="527">
        <v>84</v>
      </c>
      <c r="M14" s="528" t="s">
        <v>23</v>
      </c>
      <c r="N14" s="529" t="s">
        <v>24</v>
      </c>
      <c r="O14" s="534">
        <f>L14/G7</f>
        <v>0.20047732696897375</v>
      </c>
      <c r="P14" s="528"/>
      <c r="R14" s="514">
        <v>7</v>
      </c>
      <c r="S14" s="530" t="s">
        <v>41</v>
      </c>
      <c r="T14" s="531" t="s">
        <v>23</v>
      </c>
      <c r="U14" s="532" t="s">
        <v>24</v>
      </c>
    </row>
    <row r="15" spans="1:21" s="514" customFormat="1" x14ac:dyDescent="0.25">
      <c r="A15" s="514">
        <v>1</v>
      </c>
      <c r="B15" s="526">
        <v>260</v>
      </c>
      <c r="C15" s="518" t="s">
        <v>13</v>
      </c>
      <c r="D15" s="518" t="s">
        <v>14</v>
      </c>
      <c r="F15" s="519">
        <v>10</v>
      </c>
      <c r="G15" s="530">
        <v>285</v>
      </c>
      <c r="H15" s="531" t="s">
        <v>44</v>
      </c>
      <c r="I15" s="532" t="s">
        <v>28</v>
      </c>
      <c r="K15" s="519">
        <v>10</v>
      </c>
      <c r="L15" s="530">
        <v>68</v>
      </c>
      <c r="M15" s="531" t="s">
        <v>46</v>
      </c>
      <c r="N15" s="532" t="s">
        <v>24</v>
      </c>
      <c r="O15" s="533">
        <f>L15/G16</f>
        <v>0.24548736462093862</v>
      </c>
      <c r="P15" s="531"/>
      <c r="R15" s="514">
        <v>10</v>
      </c>
      <c r="S15" s="527" t="s">
        <v>47</v>
      </c>
      <c r="T15" s="528" t="s">
        <v>29</v>
      </c>
      <c r="U15" s="529" t="s">
        <v>30</v>
      </c>
    </row>
    <row r="16" spans="1:21" s="514" customFormat="1" x14ac:dyDescent="0.25">
      <c r="A16" s="514">
        <v>2</v>
      </c>
      <c r="B16" s="521">
        <v>88</v>
      </c>
      <c r="C16" s="522" t="s">
        <v>26</v>
      </c>
      <c r="D16" s="523" t="s">
        <v>14</v>
      </c>
      <c r="F16" s="519">
        <v>11</v>
      </c>
      <c r="G16" s="530">
        <v>277</v>
      </c>
      <c r="H16" s="531" t="s">
        <v>46</v>
      </c>
      <c r="I16" s="532" t="s">
        <v>24</v>
      </c>
      <c r="K16" s="519">
        <v>11</v>
      </c>
      <c r="L16" s="527">
        <v>63</v>
      </c>
      <c r="M16" s="528" t="s">
        <v>48</v>
      </c>
      <c r="N16" s="529" t="s">
        <v>18</v>
      </c>
      <c r="O16" s="534">
        <f>L16/G22</f>
        <v>0.44366197183098594</v>
      </c>
      <c r="P16" s="528"/>
      <c r="R16" s="514">
        <v>10</v>
      </c>
      <c r="S16" s="530" t="s">
        <v>47</v>
      </c>
      <c r="T16" s="531" t="s">
        <v>40</v>
      </c>
      <c r="U16" s="532" t="s">
        <v>30</v>
      </c>
    </row>
    <row r="17" spans="1:21" s="514" customFormat="1" x14ac:dyDescent="0.25">
      <c r="A17" s="514">
        <v>3</v>
      </c>
      <c r="B17" s="521">
        <v>83</v>
      </c>
      <c r="C17" s="522" t="s">
        <v>23</v>
      </c>
      <c r="D17" s="523" t="s">
        <v>24</v>
      </c>
      <c r="F17" s="519">
        <v>12</v>
      </c>
      <c r="G17" s="530">
        <v>202</v>
      </c>
      <c r="H17" s="531" t="s">
        <v>36</v>
      </c>
      <c r="I17" s="532" t="s">
        <v>24</v>
      </c>
      <c r="K17" s="519">
        <v>12</v>
      </c>
      <c r="L17" s="530">
        <v>61</v>
      </c>
      <c r="M17" s="531" t="s">
        <v>43</v>
      </c>
      <c r="N17" s="531" t="s">
        <v>28</v>
      </c>
      <c r="O17" s="533">
        <f>L17/G13</f>
        <v>0.20401337792642141</v>
      </c>
      <c r="P17" s="531"/>
      <c r="R17" s="514">
        <v>12</v>
      </c>
      <c r="S17" s="530" t="s">
        <v>49</v>
      </c>
      <c r="T17" s="531" t="s">
        <v>44</v>
      </c>
      <c r="U17" s="532" t="s">
        <v>28</v>
      </c>
    </row>
    <row r="18" spans="1:21" s="514" customFormat="1" x14ac:dyDescent="0.25">
      <c r="A18" s="514">
        <v>4</v>
      </c>
      <c r="B18" s="530">
        <v>21</v>
      </c>
      <c r="C18" s="531" t="s">
        <v>50</v>
      </c>
      <c r="D18" s="531" t="s">
        <v>30</v>
      </c>
      <c r="F18" s="519">
        <v>12</v>
      </c>
      <c r="G18" s="530">
        <v>202</v>
      </c>
      <c r="H18" s="531" t="s">
        <v>22</v>
      </c>
      <c r="I18" s="532" t="s">
        <v>14</v>
      </c>
      <c r="K18" s="519">
        <v>13</v>
      </c>
      <c r="L18" s="530">
        <v>53</v>
      </c>
      <c r="M18" s="531" t="s">
        <v>36</v>
      </c>
      <c r="N18" s="531" t="s">
        <v>37</v>
      </c>
      <c r="O18" s="533">
        <f>L18/G17</f>
        <v>0.26237623762376239</v>
      </c>
      <c r="P18" s="531"/>
      <c r="R18" s="514">
        <v>12</v>
      </c>
      <c r="S18" s="530" t="s">
        <v>49</v>
      </c>
      <c r="T18" s="531" t="s">
        <v>43</v>
      </c>
      <c r="U18" s="532" t="s">
        <v>28</v>
      </c>
    </row>
    <row r="19" spans="1:21" s="514" customFormat="1" x14ac:dyDescent="0.25">
      <c r="A19" s="514">
        <v>5</v>
      </c>
      <c r="B19" s="527">
        <v>12</v>
      </c>
      <c r="C19" s="528" t="s">
        <v>51</v>
      </c>
      <c r="D19" s="528" t="s">
        <v>28</v>
      </c>
      <c r="F19" s="519">
        <v>14</v>
      </c>
      <c r="G19" s="530">
        <v>172</v>
      </c>
      <c r="H19" s="531" t="s">
        <v>42</v>
      </c>
      <c r="I19" s="531" t="s">
        <v>37</v>
      </c>
      <c r="K19" s="519">
        <v>14</v>
      </c>
      <c r="L19" s="530">
        <v>33</v>
      </c>
      <c r="M19" s="531" t="s">
        <v>42</v>
      </c>
      <c r="N19" s="531" t="s">
        <v>37</v>
      </c>
      <c r="O19" s="533">
        <f>L19/G21</f>
        <v>0.22602739726027396</v>
      </c>
      <c r="P19" s="531">
        <v>79</v>
      </c>
      <c r="R19" s="514">
        <v>12</v>
      </c>
      <c r="S19" s="530" t="s">
        <v>49</v>
      </c>
      <c r="T19" s="531" t="s">
        <v>32</v>
      </c>
      <c r="U19" s="532" t="s">
        <v>18</v>
      </c>
    </row>
    <row r="20" spans="1:21" s="514" customFormat="1" x14ac:dyDescent="0.25">
      <c r="A20" s="514">
        <v>6</v>
      </c>
      <c r="B20" s="530">
        <v>10</v>
      </c>
      <c r="C20" s="531" t="s">
        <v>32</v>
      </c>
      <c r="D20" s="532" t="s">
        <v>18</v>
      </c>
      <c r="F20" s="519">
        <v>15</v>
      </c>
      <c r="G20" s="530">
        <v>146</v>
      </c>
      <c r="H20" s="531" t="s">
        <v>26</v>
      </c>
      <c r="I20" s="532" t="s">
        <v>14</v>
      </c>
      <c r="K20" s="519">
        <v>15</v>
      </c>
      <c r="L20" s="530">
        <v>32</v>
      </c>
      <c r="M20" s="531" t="s">
        <v>35</v>
      </c>
      <c r="N20" s="531" t="s">
        <v>21</v>
      </c>
      <c r="O20" s="533">
        <f>L20/G25</f>
        <v>0.33333333333333331</v>
      </c>
      <c r="P20" s="531">
        <v>89</v>
      </c>
      <c r="R20" s="514">
        <v>15</v>
      </c>
      <c r="S20" s="527" t="s">
        <v>52</v>
      </c>
      <c r="T20" s="528" t="s">
        <v>48</v>
      </c>
      <c r="U20" s="529" t="s">
        <v>18</v>
      </c>
    </row>
    <row r="21" spans="1:21" s="514" customFormat="1" x14ac:dyDescent="0.25">
      <c r="A21" s="514">
        <v>7</v>
      </c>
      <c r="B21" s="530">
        <v>8</v>
      </c>
      <c r="C21" s="531" t="s">
        <v>33</v>
      </c>
      <c r="D21" s="532" t="s">
        <v>28</v>
      </c>
      <c r="F21" s="519">
        <v>15</v>
      </c>
      <c r="G21" s="530">
        <v>146</v>
      </c>
      <c r="H21" s="531" t="s">
        <v>20</v>
      </c>
      <c r="I21" s="531" t="s">
        <v>21</v>
      </c>
      <c r="K21" s="519">
        <v>16</v>
      </c>
      <c r="L21" s="530">
        <v>27</v>
      </c>
      <c r="M21" s="531" t="s">
        <v>53</v>
      </c>
      <c r="N21" s="531" t="s">
        <v>28</v>
      </c>
      <c r="O21" s="533">
        <f>L21/G24</f>
        <v>0.24324324324324326</v>
      </c>
      <c r="P21" s="531"/>
      <c r="R21" s="514">
        <v>16</v>
      </c>
      <c r="S21" s="530" t="s">
        <v>54</v>
      </c>
      <c r="T21" s="531" t="s">
        <v>46</v>
      </c>
      <c r="U21" s="532" t="s">
        <v>24</v>
      </c>
    </row>
    <row r="22" spans="1:21" s="514" customFormat="1" x14ac:dyDescent="0.25">
      <c r="A22" s="514">
        <v>8</v>
      </c>
      <c r="B22" s="530">
        <v>6</v>
      </c>
      <c r="C22" s="531" t="s">
        <v>55</v>
      </c>
      <c r="D22" s="532" t="s">
        <v>28</v>
      </c>
      <c r="F22" s="519">
        <v>17</v>
      </c>
      <c r="G22" s="527">
        <v>142</v>
      </c>
      <c r="H22" s="528" t="s">
        <v>56</v>
      </c>
      <c r="I22" s="529" t="s">
        <v>18</v>
      </c>
      <c r="K22" s="519">
        <v>17</v>
      </c>
      <c r="L22" s="527">
        <v>24</v>
      </c>
      <c r="M22" s="528" t="s">
        <v>57</v>
      </c>
      <c r="N22" s="528" t="s">
        <v>37</v>
      </c>
      <c r="O22" s="534">
        <f>L22/G23</f>
        <v>0.21052631578947367</v>
      </c>
      <c r="P22" s="528"/>
      <c r="R22" s="514">
        <v>16</v>
      </c>
      <c r="S22" s="527" t="s">
        <v>54</v>
      </c>
      <c r="T22" s="528" t="s">
        <v>31</v>
      </c>
      <c r="U22" s="529" t="s">
        <v>14</v>
      </c>
    </row>
    <row r="23" spans="1:21" s="514" customFormat="1" x14ac:dyDescent="0.25">
      <c r="A23" s="514">
        <v>9</v>
      </c>
      <c r="B23" s="527">
        <v>5</v>
      </c>
      <c r="C23" s="528" t="s">
        <v>27</v>
      </c>
      <c r="D23" s="529" t="s">
        <v>28</v>
      </c>
      <c r="F23" s="519">
        <v>18</v>
      </c>
      <c r="G23" s="527">
        <v>114</v>
      </c>
      <c r="H23" s="528" t="s">
        <v>57</v>
      </c>
      <c r="I23" s="528" t="s">
        <v>24</v>
      </c>
      <c r="K23" s="519">
        <v>18</v>
      </c>
      <c r="L23" s="527">
        <v>21</v>
      </c>
      <c r="M23" s="528" t="s">
        <v>58</v>
      </c>
      <c r="N23" s="528" t="s">
        <v>28</v>
      </c>
      <c r="O23" s="534"/>
      <c r="P23" s="528"/>
      <c r="R23" s="514">
        <v>18</v>
      </c>
      <c r="S23" s="527" t="s">
        <v>59</v>
      </c>
      <c r="T23" s="528" t="s">
        <v>22</v>
      </c>
      <c r="U23" s="529" t="s">
        <v>14</v>
      </c>
    </row>
    <row r="24" spans="1:21" s="514" customFormat="1" x14ac:dyDescent="0.25">
      <c r="A24" s="514">
        <v>9</v>
      </c>
      <c r="B24" s="530">
        <v>5</v>
      </c>
      <c r="C24" s="531" t="s">
        <v>60</v>
      </c>
      <c r="D24" s="532" t="s">
        <v>28</v>
      </c>
      <c r="F24" s="519">
        <v>19</v>
      </c>
      <c r="G24" s="530">
        <v>111</v>
      </c>
      <c r="H24" s="531" t="s">
        <v>53</v>
      </c>
      <c r="I24" s="531" t="s">
        <v>28</v>
      </c>
      <c r="K24" s="519">
        <v>19</v>
      </c>
      <c r="L24" s="530">
        <v>19</v>
      </c>
      <c r="M24" s="531" t="s">
        <v>61</v>
      </c>
      <c r="N24" s="532" t="s">
        <v>62</v>
      </c>
      <c r="O24" s="533"/>
      <c r="P24" s="531"/>
      <c r="R24" s="514">
        <v>18</v>
      </c>
      <c r="S24" s="530" t="s">
        <v>59</v>
      </c>
      <c r="T24" s="531" t="s">
        <v>26</v>
      </c>
      <c r="U24" s="532" t="s">
        <v>14</v>
      </c>
    </row>
    <row r="25" spans="1:21" x14ac:dyDescent="0.25">
      <c r="A25">
        <v>11</v>
      </c>
      <c r="B25" s="253">
        <v>4</v>
      </c>
      <c r="C25" s="254" t="s">
        <v>63</v>
      </c>
      <c r="D25" s="255" t="s">
        <v>18</v>
      </c>
      <c r="F25" s="58">
        <v>20</v>
      </c>
      <c r="G25" s="253">
        <v>96</v>
      </c>
      <c r="H25" s="254" t="s">
        <v>35</v>
      </c>
      <c r="I25" s="254" t="s">
        <v>21</v>
      </c>
      <c r="K25" s="58">
        <v>20</v>
      </c>
      <c r="L25" s="257">
        <v>17</v>
      </c>
      <c r="M25" s="258" t="s">
        <v>64</v>
      </c>
      <c r="N25" s="258" t="s">
        <v>28</v>
      </c>
      <c r="O25" s="260"/>
      <c r="P25" s="258"/>
      <c r="R25">
        <v>18</v>
      </c>
      <c r="S25" s="253" t="s">
        <v>59</v>
      </c>
      <c r="T25" s="254" t="s">
        <v>53</v>
      </c>
      <c r="U25" s="254" t="s">
        <v>28</v>
      </c>
    </row>
    <row r="26" spans="1:21" x14ac:dyDescent="0.25">
      <c r="A26">
        <v>12</v>
      </c>
      <c r="B26" s="257">
        <v>3</v>
      </c>
      <c r="C26" s="258" t="s">
        <v>56</v>
      </c>
      <c r="D26" s="259" t="s">
        <v>18</v>
      </c>
      <c r="F26" s="58">
        <v>21</v>
      </c>
      <c r="G26" s="253">
        <v>89</v>
      </c>
      <c r="H26" s="254" t="s">
        <v>39</v>
      </c>
      <c r="I26" s="255" t="s">
        <v>24</v>
      </c>
      <c r="K26" s="58">
        <v>21</v>
      </c>
      <c r="L26" s="253">
        <v>15</v>
      </c>
      <c r="M26" s="254" t="s">
        <v>60</v>
      </c>
      <c r="N26" s="255" t="s">
        <v>28</v>
      </c>
      <c r="O26" s="256"/>
      <c r="P26" s="254"/>
      <c r="R26">
        <v>18</v>
      </c>
      <c r="S26" s="253" t="s">
        <v>59</v>
      </c>
      <c r="T26" s="254" t="s">
        <v>63</v>
      </c>
      <c r="U26" s="255" t="s">
        <v>18</v>
      </c>
    </row>
    <row r="27" spans="1:21" x14ac:dyDescent="0.25">
      <c r="A27">
        <v>13</v>
      </c>
      <c r="B27" s="253">
        <v>2</v>
      </c>
      <c r="C27" s="254" t="s">
        <v>22</v>
      </c>
      <c r="D27" s="255" t="s">
        <v>14</v>
      </c>
      <c r="F27" s="58">
        <v>22</v>
      </c>
      <c r="G27" s="257">
        <v>65</v>
      </c>
      <c r="H27" s="258" t="s">
        <v>58</v>
      </c>
      <c r="I27" s="258" t="s">
        <v>28</v>
      </c>
      <c r="K27" s="58">
        <v>22</v>
      </c>
      <c r="L27" s="253">
        <v>12</v>
      </c>
      <c r="M27" s="254" t="s">
        <v>65</v>
      </c>
      <c r="N27" s="255" t="s">
        <v>18</v>
      </c>
      <c r="O27" s="256"/>
      <c r="P27" s="254"/>
      <c r="R27">
        <v>18</v>
      </c>
      <c r="S27" s="257" t="s">
        <v>59</v>
      </c>
      <c r="T27" s="258" t="s">
        <v>66</v>
      </c>
      <c r="U27" s="258" t="s">
        <v>28</v>
      </c>
    </row>
    <row r="28" spans="1:21" x14ac:dyDescent="0.25">
      <c r="A28">
        <v>13</v>
      </c>
      <c r="B28" s="257">
        <v>2</v>
      </c>
      <c r="C28" s="258" t="s">
        <v>58</v>
      </c>
      <c r="D28" s="258" t="s">
        <v>28</v>
      </c>
      <c r="F28" s="58">
        <v>23</v>
      </c>
      <c r="G28" s="257">
        <v>61</v>
      </c>
      <c r="H28" s="258" t="s">
        <v>67</v>
      </c>
      <c r="I28" s="258" t="s">
        <v>28</v>
      </c>
      <c r="K28" s="58">
        <v>23</v>
      </c>
      <c r="L28" s="253">
        <v>11</v>
      </c>
      <c r="M28" s="254" t="s">
        <v>22</v>
      </c>
      <c r="N28" s="255" t="s">
        <v>14</v>
      </c>
      <c r="O28" s="256">
        <f>L28/G18</f>
        <v>5.4455445544554455E-2</v>
      </c>
      <c r="P28" s="254"/>
      <c r="R28">
        <v>18</v>
      </c>
      <c r="S28" s="257" t="s">
        <v>59</v>
      </c>
      <c r="T28" s="258" t="s">
        <v>51</v>
      </c>
      <c r="U28" s="258" t="s">
        <v>28</v>
      </c>
    </row>
    <row r="29" spans="1:21" x14ac:dyDescent="0.25">
      <c r="A29">
        <v>15</v>
      </c>
      <c r="B29" s="253">
        <v>1</v>
      </c>
      <c r="C29" s="254" t="s">
        <v>61</v>
      </c>
      <c r="D29" s="255" t="s">
        <v>18</v>
      </c>
      <c r="F29" s="58">
        <v>24</v>
      </c>
      <c r="G29" s="253">
        <v>55</v>
      </c>
      <c r="H29" s="254" t="s">
        <v>61</v>
      </c>
      <c r="I29" s="255" t="s">
        <v>18</v>
      </c>
      <c r="K29" s="58">
        <v>23</v>
      </c>
      <c r="L29" s="257">
        <v>11</v>
      </c>
      <c r="M29" s="258" t="s">
        <v>68</v>
      </c>
      <c r="N29" s="258" t="s">
        <v>28</v>
      </c>
      <c r="O29" s="260"/>
      <c r="P29" s="258"/>
      <c r="S29" s="58"/>
      <c r="U29" s="74"/>
    </row>
    <row r="30" spans="1:21" x14ac:dyDescent="0.25">
      <c r="A30">
        <v>15</v>
      </c>
      <c r="B30" s="253">
        <v>1</v>
      </c>
      <c r="C30" s="254" t="s">
        <v>36</v>
      </c>
      <c r="D30" s="254" t="s">
        <v>37</v>
      </c>
      <c r="F30" s="58">
        <v>25</v>
      </c>
      <c r="G30" s="257">
        <v>53</v>
      </c>
      <c r="H30" s="258" t="s">
        <v>66</v>
      </c>
      <c r="I30" s="258" t="s">
        <v>28</v>
      </c>
      <c r="K30" s="58">
        <v>25</v>
      </c>
      <c r="L30" s="253">
        <v>10</v>
      </c>
      <c r="M30" s="254" t="s">
        <v>39</v>
      </c>
      <c r="N30" s="255" t="s">
        <v>24</v>
      </c>
      <c r="O30" s="256"/>
      <c r="P30" s="254"/>
      <c r="S30" s="58"/>
    </row>
    <row r="31" spans="1:21" x14ac:dyDescent="0.25">
      <c r="A31">
        <v>15</v>
      </c>
      <c r="B31" s="253">
        <v>1</v>
      </c>
      <c r="C31" s="254" t="s">
        <v>40</v>
      </c>
      <c r="D31" s="255" t="s">
        <v>30</v>
      </c>
      <c r="F31" s="58">
        <v>26</v>
      </c>
      <c r="G31" s="257">
        <v>51</v>
      </c>
      <c r="H31" s="258" t="s">
        <v>68</v>
      </c>
      <c r="I31" s="258" t="s">
        <v>28</v>
      </c>
      <c r="K31" s="58">
        <v>25</v>
      </c>
      <c r="L31" s="253">
        <v>10</v>
      </c>
      <c r="M31" s="254" t="s">
        <v>69</v>
      </c>
      <c r="N31" s="255" t="s">
        <v>18</v>
      </c>
      <c r="O31" s="256"/>
      <c r="P31" s="254"/>
      <c r="S31" s="58"/>
    </row>
    <row r="32" spans="1:21" x14ac:dyDescent="0.25">
      <c r="A32">
        <v>15</v>
      </c>
      <c r="B32" s="253">
        <v>1</v>
      </c>
      <c r="C32" s="254" t="s">
        <v>38</v>
      </c>
      <c r="D32" s="255" t="s">
        <v>37</v>
      </c>
      <c r="F32" s="58">
        <v>27</v>
      </c>
      <c r="G32" s="257">
        <v>50</v>
      </c>
      <c r="H32" s="258" t="s">
        <v>70</v>
      </c>
      <c r="I32" s="258" t="s">
        <v>28</v>
      </c>
      <c r="K32" s="58">
        <v>27</v>
      </c>
      <c r="L32" s="253">
        <v>9</v>
      </c>
      <c r="M32" s="254" t="s">
        <v>71</v>
      </c>
      <c r="N32" s="254" t="s">
        <v>18</v>
      </c>
      <c r="O32" s="256"/>
      <c r="P32" s="254"/>
      <c r="S32" s="58"/>
    </row>
    <row r="33" spans="2:21" x14ac:dyDescent="0.25">
      <c r="B33" s="230">
        <f>SUM(B15:B32)</f>
        <v>513</v>
      </c>
      <c r="G33"/>
      <c r="K33" s="58">
        <v>27</v>
      </c>
      <c r="L33" s="253">
        <v>9</v>
      </c>
      <c r="M33" s="254" t="s">
        <v>72</v>
      </c>
      <c r="N33" s="254" t="s">
        <v>18</v>
      </c>
      <c r="O33" s="256"/>
      <c r="P33" s="254"/>
      <c r="S33" s="58"/>
      <c r="U33" s="74"/>
    </row>
    <row r="34" spans="2:21" x14ac:dyDescent="0.25">
      <c r="B34" s="58"/>
      <c r="G34"/>
      <c r="K34" s="58">
        <v>27</v>
      </c>
      <c r="L34" s="257">
        <v>9</v>
      </c>
      <c r="M34" s="258" t="s">
        <v>70</v>
      </c>
      <c r="N34" s="258" t="s">
        <v>28</v>
      </c>
      <c r="O34" s="260"/>
      <c r="P34" s="258"/>
      <c r="S34" s="58"/>
    </row>
    <row r="35" spans="2:21" x14ac:dyDescent="0.25">
      <c r="B35" s="58"/>
      <c r="G35"/>
      <c r="K35" s="58">
        <v>30</v>
      </c>
      <c r="L35" s="253">
        <v>8</v>
      </c>
      <c r="M35" s="254" t="s">
        <v>73</v>
      </c>
      <c r="N35" s="254" t="s">
        <v>24</v>
      </c>
      <c r="O35" s="256"/>
      <c r="P35" s="254"/>
    </row>
    <row r="36" spans="2:21" x14ac:dyDescent="0.25">
      <c r="B36" s="58"/>
      <c r="G36"/>
      <c r="K36" s="58">
        <v>31</v>
      </c>
      <c r="L36" s="257">
        <v>7</v>
      </c>
      <c r="M36" s="258" t="s">
        <v>74</v>
      </c>
      <c r="N36" s="258" t="s">
        <v>28</v>
      </c>
      <c r="O36" s="260"/>
      <c r="P36" s="258"/>
    </row>
    <row r="37" spans="2:21" x14ac:dyDescent="0.25">
      <c r="B37" s="58"/>
      <c r="G37"/>
      <c r="K37" s="58">
        <v>32</v>
      </c>
      <c r="L37" s="253">
        <v>6</v>
      </c>
      <c r="M37" s="254" t="s">
        <v>26</v>
      </c>
      <c r="N37" s="255" t="s">
        <v>14</v>
      </c>
      <c r="O37" s="256"/>
      <c r="P37" s="254"/>
    </row>
    <row r="38" spans="2:21" x14ac:dyDescent="0.25">
      <c r="B38" s="58"/>
      <c r="G38"/>
      <c r="K38" s="58">
        <v>32</v>
      </c>
      <c r="L38" s="257">
        <v>6</v>
      </c>
      <c r="M38" s="258" t="s">
        <v>66</v>
      </c>
      <c r="N38" s="258" t="s">
        <v>28</v>
      </c>
      <c r="O38" s="260"/>
      <c r="P38" s="258"/>
    </row>
    <row r="39" spans="2:21" x14ac:dyDescent="0.25">
      <c r="B39" s="58"/>
      <c r="G39"/>
      <c r="K39" s="58">
        <v>34</v>
      </c>
      <c r="L39" s="253">
        <v>5</v>
      </c>
      <c r="M39" s="254" t="s">
        <v>75</v>
      </c>
      <c r="N39" s="254" t="s">
        <v>30</v>
      </c>
      <c r="O39" s="256"/>
      <c r="P39" s="254"/>
    </row>
    <row r="40" spans="2:21" x14ac:dyDescent="0.25">
      <c r="B40" s="58"/>
      <c r="G40"/>
      <c r="K40" s="58">
        <v>34</v>
      </c>
      <c r="L40" s="257">
        <v>5</v>
      </c>
      <c r="M40" s="258" t="s">
        <v>76</v>
      </c>
      <c r="N40" s="258" t="s">
        <v>37</v>
      </c>
      <c r="O40" s="260"/>
      <c r="P40" s="258"/>
    </row>
    <row r="41" spans="2:21" x14ac:dyDescent="0.25">
      <c r="B41" s="58"/>
      <c r="G41"/>
      <c r="K41" s="58">
        <v>36</v>
      </c>
      <c r="L41" s="253">
        <v>3</v>
      </c>
      <c r="M41" s="254" t="s">
        <v>77</v>
      </c>
      <c r="N41" s="254" t="s">
        <v>21</v>
      </c>
      <c r="O41" s="256"/>
      <c r="P41" s="254"/>
    </row>
    <row r="42" spans="2:21" x14ac:dyDescent="0.25">
      <c r="B42" s="58"/>
      <c r="G42"/>
      <c r="K42" s="58">
        <v>36</v>
      </c>
      <c r="L42" s="253">
        <v>3</v>
      </c>
      <c r="M42" s="254" t="s">
        <v>78</v>
      </c>
      <c r="N42" s="254" t="s">
        <v>28</v>
      </c>
      <c r="O42" s="256"/>
      <c r="P42" s="254"/>
    </row>
    <row r="43" spans="2:21" x14ac:dyDescent="0.25">
      <c r="B43" s="58"/>
      <c r="G43"/>
      <c r="K43" s="58">
        <v>36</v>
      </c>
      <c r="L43" s="253">
        <v>3</v>
      </c>
      <c r="M43" s="254" t="s">
        <v>38</v>
      </c>
      <c r="N43" s="254" t="s">
        <v>24</v>
      </c>
      <c r="O43" s="256"/>
      <c r="P43" s="254">
        <v>49</v>
      </c>
    </row>
    <row r="44" spans="2:21" x14ac:dyDescent="0.25">
      <c r="B44" s="58"/>
      <c r="G44"/>
      <c r="K44" s="58">
        <v>36</v>
      </c>
      <c r="L44" s="257">
        <v>3</v>
      </c>
      <c r="M44" s="258" t="s">
        <v>51</v>
      </c>
      <c r="N44" s="258" t="s">
        <v>28</v>
      </c>
      <c r="O44" s="260"/>
      <c r="P44" s="258"/>
    </row>
    <row r="45" spans="2:21" x14ac:dyDescent="0.25">
      <c r="B45" s="58"/>
      <c r="G45"/>
      <c r="K45" s="58">
        <v>36</v>
      </c>
      <c r="L45" s="257">
        <v>3</v>
      </c>
      <c r="M45" s="258" t="s">
        <v>79</v>
      </c>
      <c r="N45" s="258" t="s">
        <v>37</v>
      </c>
      <c r="O45" s="260"/>
      <c r="P45" s="258"/>
    </row>
    <row r="46" spans="2:21" x14ac:dyDescent="0.25">
      <c r="B46" s="58"/>
      <c r="K46" s="58">
        <v>36</v>
      </c>
      <c r="L46" s="257">
        <v>3</v>
      </c>
      <c r="M46" s="258" t="s">
        <v>80</v>
      </c>
      <c r="N46" s="258" t="s">
        <v>37</v>
      </c>
      <c r="O46" s="260"/>
      <c r="P46" s="258"/>
    </row>
    <row r="47" spans="2:21" x14ac:dyDescent="0.25">
      <c r="B47" s="58"/>
      <c r="K47" s="58">
        <v>42</v>
      </c>
      <c r="L47" s="257">
        <v>2</v>
      </c>
      <c r="M47" s="258" t="s">
        <v>81</v>
      </c>
      <c r="N47" s="258" t="s">
        <v>37</v>
      </c>
      <c r="O47" s="260"/>
      <c r="P47" s="258"/>
    </row>
    <row r="48" spans="2:21" x14ac:dyDescent="0.25">
      <c r="B48" s="58"/>
      <c r="K48" s="58">
        <v>42</v>
      </c>
      <c r="L48" s="257">
        <v>2</v>
      </c>
      <c r="M48" s="258" t="s">
        <v>13</v>
      </c>
      <c r="N48" s="258" t="s">
        <v>14</v>
      </c>
      <c r="O48" s="260">
        <f>L48/G14</f>
        <v>6.8027210884353739E-3</v>
      </c>
      <c r="P48" s="258">
        <v>3</v>
      </c>
    </row>
    <row r="49" spans="2:16" x14ac:dyDescent="0.25">
      <c r="B49" s="58"/>
      <c r="K49" s="58">
        <v>44</v>
      </c>
      <c r="L49" s="257">
        <v>1</v>
      </c>
      <c r="M49" s="258" t="s">
        <v>82</v>
      </c>
      <c r="N49" s="258" t="s">
        <v>30</v>
      </c>
      <c r="O49" s="260"/>
      <c r="P49" s="258"/>
    </row>
    <row r="50" spans="2:16" x14ac:dyDescent="0.25">
      <c r="B50" s="58"/>
      <c r="K50" s="58">
        <v>44</v>
      </c>
      <c r="L50" s="257">
        <v>1</v>
      </c>
      <c r="M50" s="258" t="s">
        <v>83</v>
      </c>
      <c r="N50" s="258" t="s">
        <v>30</v>
      </c>
      <c r="O50" s="260"/>
      <c r="P50" s="258"/>
    </row>
    <row r="51" spans="2:16" x14ac:dyDescent="0.25">
      <c r="B51" s="58"/>
      <c r="L51" s="231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5" t="s">
        <v>87</v>
      </c>
      <c r="B1" s="115" t="s">
        <v>37</v>
      </c>
      <c r="C1" s="115" t="s">
        <v>196</v>
      </c>
      <c r="D1" s="95" t="s">
        <v>494</v>
      </c>
      <c r="E1" s="95" t="s">
        <v>495</v>
      </c>
      <c r="F1" s="95" t="s">
        <v>496</v>
      </c>
      <c r="M1" s="188" t="str">
        <f>PLANTILLA!D3</f>
        <v>Jugador</v>
      </c>
      <c r="N1" s="188" t="s">
        <v>93</v>
      </c>
      <c r="O1" s="188" t="str">
        <f>PLANTILLA!AC3</f>
        <v>An</v>
      </c>
      <c r="P1" s="188" t="str">
        <f>PLANTILLA!AD3</f>
        <v>PA</v>
      </c>
      <c r="Q1" s="188" t="str">
        <f>PLANTILLA!AI3</f>
        <v>TL</v>
      </c>
      <c r="R1" s="188" t="str">
        <f>PLANTILLA!AJ3</f>
        <v>PEN</v>
      </c>
      <c r="S1" s="188" t="str">
        <f>PLANTILLA!AK3</f>
        <v>BPiA</v>
      </c>
      <c r="T1" s="188" t="str">
        <f>PLANTILLA!AL3</f>
        <v>BPiD</v>
      </c>
      <c r="W1" s="574" t="s">
        <v>497</v>
      </c>
      <c r="X1" s="574"/>
      <c r="Y1" s="574"/>
      <c r="Z1" s="574"/>
      <c r="AA1" s="574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8">
        <f t="shared" ref="D2:D3" ca="1" si="0">(C2*2+B2)/8</f>
        <v>2.2053729369684039</v>
      </c>
      <c r="E2" s="72">
        <f ca="1">D2*PLANTILLA!R4</f>
        <v>2.0417785925397722</v>
      </c>
      <c r="F2" s="72">
        <f ca="1">D2*PLANTILLA!S4</f>
        <v>2.2037971075875049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72">
        <f ca="1">PLANTILLA!AI4</f>
        <v>8.0327217942837894</v>
      </c>
      <c r="R2" s="48">
        <f ca="1">PLANTILLA!AJ4</f>
        <v>14.315642502760054</v>
      </c>
      <c r="S2" s="48">
        <f ca="1">PLANTILLA!AK4</f>
        <v>0.77031289321992613</v>
      </c>
      <c r="T2" s="48">
        <f ca="1">PLANTILLA!AL4</f>
        <v>1.0993362815674352</v>
      </c>
      <c r="W2" t="str">
        <f>M6</f>
        <v>L. Tutorić</v>
      </c>
      <c r="X2" s="116">
        <f>N6</f>
        <v>1.110011883608315</v>
      </c>
      <c r="Y2" s="116">
        <f>O6</f>
        <v>7</v>
      </c>
      <c r="Z2" s="116">
        <f>P6</f>
        <v>16</v>
      </c>
      <c r="AA2" s="116"/>
    </row>
    <row r="3" spans="1:27" x14ac:dyDescent="0.25">
      <c r="A3" t="str">
        <f>PLANTILLA!D5</f>
        <v>L. Guangwei</v>
      </c>
      <c r="B3" s="72">
        <f ca="1">PLANTILLA!Y5++PLANTILLA!J5+PLANTILLA!P5</f>
        <v>6.8594844116974212</v>
      </c>
      <c r="C3" s="72">
        <f ca="1">PLANTILLA!AB5+PLANTILLA!J5+PLANTILLA!P5</f>
        <v>6.8594844116974212</v>
      </c>
      <c r="D3" s="108">
        <f t="shared" ca="1" si="0"/>
        <v>2.5723066543865327</v>
      </c>
      <c r="E3" s="72">
        <f ca="1">D3*PLANTILLA!R5</f>
        <v>1.9444810580866683</v>
      </c>
      <c r="F3" s="72">
        <f ca="1">D3*PLANTILLA!S5</f>
        <v>2.1718208294215176</v>
      </c>
      <c r="M3" t="str">
        <f>PLANTILLA!D5</f>
        <v>L. Guangwei</v>
      </c>
      <c r="N3" s="48">
        <f>PLANTILLA!J5</f>
        <v>0.87095001836712493</v>
      </c>
      <c r="O3" s="72">
        <f>PLANTILLA!AC5</f>
        <v>3.1428571428571428</v>
      </c>
      <c r="P3" s="72">
        <f>PLANTILLA!AD5</f>
        <v>20.125</v>
      </c>
      <c r="Q3" s="72">
        <f ca="1">PLANTILLA!AI5</f>
        <v>9.6723780148827352</v>
      </c>
      <c r="R3" s="48">
        <f ca="1">PLANTILLA!AJ5</f>
        <v>12.767520124753124</v>
      </c>
      <c r="S3" s="48">
        <f ca="1">PLANTILLA!AK5</f>
        <v>0.90965161007865092</v>
      </c>
      <c r="T3" s="48">
        <f ca="1">PLANTILLA!AL5</f>
        <v>0.93391390881881953</v>
      </c>
      <c r="W3" t="str">
        <f>M10</f>
        <v>S. Embe</v>
      </c>
      <c r="X3" s="116">
        <f>N10</f>
        <v>0.80274665510394982</v>
      </c>
      <c r="Y3" s="116">
        <f>O10</f>
        <v>6.2</v>
      </c>
      <c r="Z3" s="116">
        <f>P10</f>
        <v>18.2</v>
      </c>
      <c r="AA3" s="116"/>
    </row>
    <row r="4" spans="1:27" x14ac:dyDescent="0.25">
      <c r="A4" t="str">
        <f>PLANTILLA!D6</f>
        <v>E. Toney</v>
      </c>
      <c r="B4" s="72">
        <f>PLANTILLA!Y6++PLANTILLA!J6+PLANTILLA!P6</f>
        <v>10.987594743227319</v>
      </c>
      <c r="C4" s="72">
        <f>PLANTILLA!AB6+PLANTILLA!J6+PLANTILLA!P6</f>
        <v>7.1875947432273186</v>
      </c>
      <c r="D4" s="108">
        <f t="shared" ref="D4:D23" si="1">(C4*2+B4)/8</f>
        <v>3.1703480287102446</v>
      </c>
      <c r="E4" s="72">
        <f>D4*PLANTILLA!R6</f>
        <v>2.0754799744169605</v>
      </c>
      <c r="F4" s="72">
        <f>D4*PLANTILLA!S6</f>
        <v>2.3935602718949345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72">
        <f>PLANTILLA!AI6</f>
        <v>5.1096271412103249</v>
      </c>
      <c r="R4" s="48">
        <f>PLANTILLA!AJ6</f>
        <v>8.9933668253523731</v>
      </c>
      <c r="S4" s="48">
        <f>PLANTILLA!AK6</f>
        <v>0.70900757945818549</v>
      </c>
      <c r="T4" s="48">
        <f>PLANTILLA!AL6</f>
        <v>0.98663163202591231</v>
      </c>
      <c r="W4" t="str">
        <f t="shared" ref="W4:Z5" si="2">M8</f>
        <v>A. Grimaud</v>
      </c>
      <c r="X4" s="116">
        <f t="shared" si="2"/>
        <v>1.0078331408966552</v>
      </c>
      <c r="Y4" s="116">
        <f t="shared" si="2"/>
        <v>5.25</v>
      </c>
      <c r="Z4" s="116">
        <f t="shared" si="2"/>
        <v>15.666666666666666</v>
      </c>
      <c r="AA4" s="116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8">
        <f t="shared" si="1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72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2"/>
        <v>V. Gardner</v>
      </c>
      <c r="X5" s="116">
        <f t="shared" si="2"/>
        <v>0.8961304772476234</v>
      </c>
      <c r="Y5" s="116">
        <f t="shared" si="2"/>
        <v>6.2</v>
      </c>
      <c r="Z5" s="116">
        <f t="shared" si="2"/>
        <v>17.25</v>
      </c>
      <c r="AA5" s="116"/>
    </row>
    <row r="6" spans="1:27" x14ac:dyDescent="0.25">
      <c r="A6" t="str">
        <f>PLANTILLA!D8</f>
        <v>L. Tutorić</v>
      </c>
      <c r="B6" s="72">
        <f ca="1">PLANTILLA!Y8++PLANTILLA!J8+PLANTILLA!P8</f>
        <v>14.885852056452226</v>
      </c>
      <c r="C6" s="72">
        <f ca="1">PLANTILLA!AB8+PLANTILLA!J8+PLANTILLA!P8</f>
        <v>2.885852056452225</v>
      </c>
      <c r="D6" s="108">
        <f t="shared" ca="1" si="1"/>
        <v>2.5821945211695843</v>
      </c>
      <c r="E6" s="72">
        <f ca="1">D6*PLANTILLA!R8</f>
        <v>2.3906475892213601</v>
      </c>
      <c r="F6" s="72">
        <f ca="1">D6*PLANTILLA!S8</f>
        <v>2.5803494373175768</v>
      </c>
      <c r="M6" t="str">
        <f>PLANTILLA!D8</f>
        <v>L. Tutorić</v>
      </c>
      <c r="N6" s="48">
        <f>PLANTILLA!J8</f>
        <v>1.110011883608315</v>
      </c>
      <c r="O6" s="72">
        <f>PLANTILLA!AC8</f>
        <v>7</v>
      </c>
      <c r="P6" s="72">
        <f>PLANTILLA!AD8</f>
        <v>16</v>
      </c>
      <c r="Q6" s="72">
        <f ca="1">PLANTILLA!AI8</f>
        <v>15.727584702408631</v>
      </c>
      <c r="R6" s="48">
        <f ca="1">PLANTILLA!AJ8</f>
        <v>14.059367066035804</v>
      </c>
      <c r="S6" s="48">
        <f ca="1">PLANTILLA!AK8</f>
        <v>0.98086816451617798</v>
      </c>
      <c r="T6" s="48">
        <f ca="1">PLANTILLA!AL8</f>
        <v>1.1320096439516558</v>
      </c>
      <c r="W6" t="str">
        <f>M15</f>
        <v>M. Bondarewski</v>
      </c>
      <c r="X6" s="116">
        <f>N15</f>
        <v>0.93196000578135851</v>
      </c>
      <c r="Y6" s="116">
        <f>O15</f>
        <v>8.1666666666666661</v>
      </c>
      <c r="Z6" s="116">
        <f>P15</f>
        <v>18.166666666666668</v>
      </c>
      <c r="AA6" s="116"/>
    </row>
    <row r="7" spans="1:27" x14ac:dyDescent="0.25">
      <c r="A7" t="str">
        <f>PLANTILLA!D9</f>
        <v>S. Swärdborn</v>
      </c>
      <c r="B7" s="72">
        <f ca="1">PLANTILLA!Y9++PLANTILLA!J9+PLANTILLA!P9</f>
        <v>13.984826628890943</v>
      </c>
      <c r="C7" s="72">
        <f ca="1">PLANTILLA!AB9+PLANTILLA!J9+PLANTILLA!P9</f>
        <v>4.9848266288909411</v>
      </c>
      <c r="D7" s="108">
        <f t="shared" ca="1" si="1"/>
        <v>2.9943099858341031</v>
      </c>
      <c r="E7" s="72">
        <f ca="1">D7*PLANTILLA!R9</f>
        <v>2.7721923698348765</v>
      </c>
      <c r="F7" s="72">
        <f ca="1">D7*PLANTILLA!S9</f>
        <v>2.9921704285863924</v>
      </c>
      <c r="H7" s="48"/>
      <c r="M7" t="str">
        <f>PLANTILLA!D9</f>
        <v>S. Swärdborn</v>
      </c>
      <c r="N7" s="48">
        <f>PLANTILLA!J9</f>
        <v>1.0078331408966552</v>
      </c>
      <c r="O7" s="72">
        <f>PLANTILLA!AC9</f>
        <v>6.2</v>
      </c>
      <c r="P7" s="72">
        <f>PLANTILLA!AD9</f>
        <v>16.5</v>
      </c>
      <c r="Q7" s="72">
        <f ca="1">PLANTILLA!AI9</f>
        <v>14.955204290599786</v>
      </c>
      <c r="R7" s="48">
        <f ca="1">PLANTILLA!AJ9</f>
        <v>14.252839925540941</v>
      </c>
      <c r="S7" s="48">
        <f ca="1">PLANTILLA!AK9</f>
        <v>0.96378613031127536</v>
      </c>
      <c r="T7" s="48">
        <f ca="1">PLANTILLA!AL9</f>
        <v>1.1139378640223658</v>
      </c>
      <c r="W7" t="str">
        <f>M12</f>
        <v>I. Vanags</v>
      </c>
      <c r="X7" s="116">
        <f>N12</f>
        <v>0.74173666768971636</v>
      </c>
      <c r="Y7" s="116">
        <f>O12</f>
        <v>7.2</v>
      </c>
      <c r="Z7" s="116">
        <f>P12</f>
        <v>17.666666666666668</v>
      </c>
      <c r="AA7" s="116"/>
    </row>
    <row r="8" spans="1:27" x14ac:dyDescent="0.25">
      <c r="A8" t="str">
        <f>PLANTILLA!D10</f>
        <v>A. Grimaud</v>
      </c>
      <c r="B8" s="72">
        <f ca="1">PLANTILLA!Y10++PLANTILLA!J10+PLANTILLA!P10</f>
        <v>14.007833140896656</v>
      </c>
      <c r="C8" s="72">
        <f ca="1">PLANTILLA!AB10+PLANTILLA!J10+PLANTILLA!P10</f>
        <v>5.007833140896655</v>
      </c>
      <c r="D8" s="108">
        <f t="shared" ca="1" si="1"/>
        <v>3.0029374278362457</v>
      </c>
      <c r="E8" s="72">
        <f ca="1">D8*PLANTILLA!R10</f>
        <v>2.7801798290500819</v>
      </c>
      <c r="F8" s="72">
        <f ca="1">D8*PLANTILLA!S10</f>
        <v>3.0007917059275107</v>
      </c>
      <c r="M8" t="str">
        <f>PLANTILLA!D10</f>
        <v>A. Grimaud</v>
      </c>
      <c r="N8" s="48">
        <f>PLANTILLA!J10</f>
        <v>1.0078331408966552</v>
      </c>
      <c r="O8" s="72">
        <f>PLANTILLA!AC10</f>
        <v>5.25</v>
      </c>
      <c r="P8" s="72">
        <f>PLANTILLA!AD10</f>
        <v>15.666666666666666</v>
      </c>
      <c r="Q8" s="72">
        <f ca="1">PLANTILLA!AI10</f>
        <v>13.117924540504331</v>
      </c>
      <c r="R8" s="48">
        <f ca="1">PLANTILLA!AJ10</f>
        <v>13.470219363478993</v>
      </c>
      <c r="S8" s="48">
        <f ca="1">PLANTILLA!AK10</f>
        <v>0.89312665127173241</v>
      </c>
      <c r="T8" s="48">
        <f ca="1">PLANTILLA!AL10</f>
        <v>1.0905483198627659</v>
      </c>
      <c r="W8" t="str">
        <f>M16</f>
        <v>P. Tuderek</v>
      </c>
      <c r="X8" s="116">
        <f>N16</f>
        <v>0.80274665510394982</v>
      </c>
      <c r="Y8" s="116">
        <f>O16</f>
        <v>6.2</v>
      </c>
      <c r="Z8" s="116">
        <f>P16</f>
        <v>18.399999999999999</v>
      </c>
      <c r="AA8" s="116"/>
    </row>
    <row r="9" spans="1:27" x14ac:dyDescent="0.25">
      <c r="A9" t="str">
        <f>PLANTILLA!D11</f>
        <v>V. Gardner</v>
      </c>
      <c r="B9" s="72">
        <f ca="1">PLANTILLA!Y11++PLANTILLA!J11+PLANTILLA!P11</f>
        <v>13.896130477247624</v>
      </c>
      <c r="C9" s="72">
        <f ca="1">PLANTILLA!AB11+PLANTILLA!J11+PLANTILLA!P11</f>
        <v>6.8961304772476231</v>
      </c>
      <c r="D9" s="108">
        <f t="shared" ca="1" si="1"/>
        <v>3.461048928967859</v>
      </c>
      <c r="E9" s="72">
        <f ca="1">D9*PLANTILLA!R11</f>
        <v>3.2043086647347052</v>
      </c>
      <c r="F9" s="72">
        <f ca="1">D9*PLANTILLA!S11</f>
        <v>3.458575867609587</v>
      </c>
      <c r="M9" t="str">
        <f>PLANTILLA!D11</f>
        <v>V. Gardner</v>
      </c>
      <c r="N9" s="48">
        <f>PLANTILLA!J11</f>
        <v>0.8961304772476234</v>
      </c>
      <c r="O9" s="72">
        <f>PLANTILLA!AC11</f>
        <v>6.2</v>
      </c>
      <c r="P9" s="72">
        <f>PLANTILLA!AD11</f>
        <v>17.25</v>
      </c>
      <c r="Q9" s="72">
        <f ca="1">PLANTILLA!AI11</f>
        <v>15.155627219035834</v>
      </c>
      <c r="R9" s="48">
        <f ca="1">PLANTILLA!AJ11</f>
        <v>14.656778797957674</v>
      </c>
      <c r="S9" s="48">
        <f ca="1">PLANTILLA!AK11</f>
        <v>0.97919043817980977</v>
      </c>
      <c r="T9" s="48">
        <f ca="1">PLANTILLA!AL11</f>
        <v>1.1302291334073338</v>
      </c>
      <c r="W9" t="str">
        <f>M18</f>
        <v>S. Botam</v>
      </c>
      <c r="X9" s="116">
        <f>N18</f>
        <v>1.2975038047995981</v>
      </c>
      <c r="Y9" s="116">
        <f>O18</f>
        <v>9</v>
      </c>
      <c r="Z9" s="116">
        <f>P18</f>
        <v>16</v>
      </c>
      <c r="AA9" s="116"/>
    </row>
    <row r="10" spans="1:27" x14ac:dyDescent="0.25">
      <c r="A10" t="str">
        <f>PLANTILLA!D12</f>
        <v>S. Embe</v>
      </c>
      <c r="B10" s="72">
        <f ca="1">PLANTILLA!Y12++PLANTILLA!J12+PLANTILLA!P12</f>
        <v>12.708800598001597</v>
      </c>
      <c r="C10" s="72">
        <f ca="1">PLANTILLA!AB12+PLANTILLA!J12+PLANTILLA!P12</f>
        <v>6.7088005980015959</v>
      </c>
      <c r="D10" s="108">
        <f t="shared" ca="1" si="1"/>
        <v>3.2658002242505986</v>
      </c>
      <c r="E10" s="72">
        <f ca="1">D10*PLANTILLA!R12</f>
        <v>2.7601049546187371</v>
      </c>
      <c r="F10" s="72">
        <f ca="1">D10*PLANTILLA!S12</f>
        <v>3.0210228191610962</v>
      </c>
      <c r="M10" t="str">
        <f>PLANTILLA!D12</f>
        <v>S. Embe</v>
      </c>
      <c r="N10" s="48">
        <f>PLANTILLA!J12</f>
        <v>0.80274665510394982</v>
      </c>
      <c r="O10" s="72">
        <f>PLANTILLA!AC12</f>
        <v>6.2</v>
      </c>
      <c r="P10" s="72">
        <f>PLANTILLA!AD12</f>
        <v>18.2</v>
      </c>
      <c r="Q10" s="72">
        <f ca="1">PLANTILLA!AI12</f>
        <v>13.926831555464554</v>
      </c>
      <c r="R10" s="48">
        <f ca="1">PLANTILLA!AJ12</f>
        <v>13.783452214920022</v>
      </c>
      <c r="S10" s="48">
        <f ca="1">PLANTILLA!AK12</f>
        <v>0.99270404784012756</v>
      </c>
      <c r="T10" s="48">
        <f ca="1">PLANTILLA!AL12</f>
        <v>1.1056160418601118</v>
      </c>
      <c r="W10" t="str">
        <f>M17</f>
        <v>R. Forsyth</v>
      </c>
      <c r="X10" s="116">
        <f>N17</f>
        <v>0.93196000578135851</v>
      </c>
      <c r="Y10" s="116">
        <f>O17</f>
        <v>6.2</v>
      </c>
      <c r="Z10" s="116">
        <f>P17</f>
        <v>16.25</v>
      </c>
      <c r="AA10" s="116"/>
    </row>
    <row r="11" spans="1:27" x14ac:dyDescent="0.25">
      <c r="A11" t="str">
        <f>PLANTILLA!D13</f>
        <v>E. Deus</v>
      </c>
      <c r="B11" s="72">
        <f ca="1">PLANTILLA!Y13++PLANTILLA!J13+PLANTILLA!P13</f>
        <v>12.881721037120093</v>
      </c>
      <c r="C11" s="72">
        <f ca="1">PLANTILLA!AB13+PLANTILLA!J13+PLANTILLA!P13</f>
        <v>7.8817210371200943</v>
      </c>
      <c r="D11" s="108">
        <f t="shared" ca="1" si="1"/>
        <v>3.5806453889200354</v>
      </c>
      <c r="E11" s="72">
        <f ca="1">D11*PLANTILLA!R13</f>
        <v>3.0261976851198118</v>
      </c>
      <c r="F11" s="72">
        <f ca="1">D11*PLANTILLA!S13</f>
        <v>3.3122697913138901</v>
      </c>
      <c r="M11" t="str">
        <f>PLANTILLA!D13</f>
        <v>E. Deus</v>
      </c>
      <c r="N11" s="48">
        <f>PLANTILLA!J13</f>
        <v>0.93196000578135851</v>
      </c>
      <c r="O11" s="72">
        <f>PLANTILLA!AC13</f>
        <v>5.25</v>
      </c>
      <c r="P11" s="72">
        <f>PLANTILLA!AD13</f>
        <v>16.75</v>
      </c>
      <c r="Q11" s="72">
        <f ca="1">PLANTILLA!AI13</f>
        <v>12.242992000731345</v>
      </c>
      <c r="R11" s="48">
        <f ca="1">PLANTILLA!AJ13</f>
        <v>12.830896128623474</v>
      </c>
      <c r="S11" s="48">
        <f ca="1">PLANTILLA!AK13</f>
        <v>0.91553768296960736</v>
      </c>
      <c r="T11" s="48">
        <f ca="1">PLANTILLA!AL13</f>
        <v>1.0742204725984066</v>
      </c>
      <c r="W11" t="str">
        <f>M13</f>
        <v>I. Stone</v>
      </c>
      <c r="X11" s="116">
        <f>N13</f>
        <v>0.93196000578135851</v>
      </c>
      <c r="Y11" s="116">
        <f>O13</f>
        <v>9.1428571428571423</v>
      </c>
      <c r="Z11" s="116">
        <f>P13</f>
        <v>16.5</v>
      </c>
      <c r="AA11" s="116"/>
    </row>
    <row r="12" spans="1:27" x14ac:dyDescent="0.25">
      <c r="A12" t="str">
        <f>PLANTILLA!D14</f>
        <v>I. Vanags</v>
      </c>
      <c r="B12" s="72">
        <f ca="1">PLANTILLA!Y14++PLANTILLA!J14+PLANTILLA!P14</f>
        <v>5.7417366676897164</v>
      </c>
      <c r="C12" s="72">
        <f ca="1">PLANTILLA!AB14+PLANTILLA!J14+PLANTILLA!P14</f>
        <v>5.7417366676897164</v>
      </c>
      <c r="D12" s="108">
        <f t="shared" ca="1" si="1"/>
        <v>2.1531512503836439</v>
      </c>
      <c r="E12" s="72">
        <f ca="1">D12*PLANTILLA!R14</f>
        <v>1.9934307054555791</v>
      </c>
      <c r="F12" s="72">
        <f ca="1">D12*PLANTILLA!S14</f>
        <v>2.1516127355388313</v>
      </c>
      <c r="M12" t="str">
        <f>PLANTILLA!D14</f>
        <v>I. Vanags</v>
      </c>
      <c r="N12" s="48">
        <f>PLANTILLA!J14</f>
        <v>0.74173666768971636</v>
      </c>
      <c r="O12" s="72">
        <f>PLANTILLA!AC14</f>
        <v>7.2</v>
      </c>
      <c r="P12" s="72">
        <f>PLANTILLA!AD14</f>
        <v>17.666666666666668</v>
      </c>
      <c r="Q12" s="72">
        <f ca="1">PLANTILLA!AI14</f>
        <v>16.588756319162293</v>
      </c>
      <c r="R12" s="48">
        <f ca="1">PLANTILLA!AJ14</f>
        <v>15.061614798153936</v>
      </c>
      <c r="S12" s="48">
        <f ca="1">PLANTILLA!AK14</f>
        <v>1.0293389334151772</v>
      </c>
      <c r="T12" s="48">
        <f ca="1">PLANTILLA!AL14</f>
        <v>0.8119215667382802</v>
      </c>
      <c r="Y12" s="189">
        <f>AVERAGE(Y2:Y11)</f>
        <v>7.0559523809523812</v>
      </c>
      <c r="Z12" s="189">
        <f>AVERAGE(Z2:Z11)</f>
        <v>17.010000000000002</v>
      </c>
      <c r="AA12" s="190">
        <f>1.66*(Y12+1.5)+0.55*(Z12+1.5)-7.6</f>
        <v>16.783380952380952</v>
      </c>
    </row>
    <row r="13" spans="1:27" x14ac:dyDescent="0.25">
      <c r="A13" t="str">
        <f>PLANTILLA!D15</f>
        <v>I. Stone</v>
      </c>
      <c r="B13" s="72">
        <f ca="1">PLANTILLA!Y15++PLANTILLA!J15+PLANTILLA!P15</f>
        <v>4.9319600057813586</v>
      </c>
      <c r="C13" s="72">
        <f ca="1">PLANTILLA!AB15+PLANTILLA!J15+PLANTILLA!P15</f>
        <v>7.9319600057813586</v>
      </c>
      <c r="D13" s="108">
        <f t="shared" ca="1" si="1"/>
        <v>2.5994850021680094</v>
      </c>
      <c r="E13" s="72">
        <f ca="1">D13*PLANTILLA!R15</f>
        <v>2.4066554640644373</v>
      </c>
      <c r="F13" s="72">
        <f ca="1">D13*PLANTILLA!S15</f>
        <v>2.5976275635584414</v>
      </c>
      <c r="M13" t="str">
        <f>PLANTILLA!D15</f>
        <v>I. Stone</v>
      </c>
      <c r="N13" s="48">
        <f>PLANTILLA!J15</f>
        <v>0.93196000578135851</v>
      </c>
      <c r="O13" s="72">
        <f>PLANTILLA!AC15</f>
        <v>9.1428571428571423</v>
      </c>
      <c r="P13" s="72">
        <f>PLANTILLA!AD15</f>
        <v>16.5</v>
      </c>
      <c r="Q13" s="72">
        <f ca="1">PLANTILLA!AI15</f>
        <v>19.369799327159832</v>
      </c>
      <c r="R13" s="48">
        <f ca="1">PLANTILLA!AJ15</f>
        <v>15.021261831343899</v>
      </c>
      <c r="S13" s="48">
        <f ca="1">PLANTILLA!AK15</f>
        <v>1.1066996576053658</v>
      </c>
      <c r="T13" s="48">
        <f ca="1">PLANTILLA!AL15</f>
        <v>0.7502372004046951</v>
      </c>
    </row>
    <row r="14" spans="1:27" x14ac:dyDescent="0.25">
      <c r="A14" t="str">
        <f>PLANTILLA!D16</f>
        <v>G. Piscaer</v>
      </c>
      <c r="B14" s="72">
        <f ca="1">PLANTILLA!Y16++PLANTILLA!J16+PLANTILLA!P16</f>
        <v>5.8961304772476231</v>
      </c>
      <c r="C14" s="72">
        <f ca="1">PLANTILLA!AB16+PLANTILLA!J16+PLANTILLA!P16</f>
        <v>3.8961304772476235</v>
      </c>
      <c r="D14" s="108">
        <f t="shared" ca="1" si="1"/>
        <v>1.7110489289678588</v>
      </c>
      <c r="E14" s="72">
        <f ca="1">D14*PLANTILLA!R16</f>
        <v>1.7110489289678588</v>
      </c>
      <c r="F14" s="72">
        <f ca="1">D14*PLANTILLA!S16</f>
        <v>1.7110489289678588</v>
      </c>
      <c r="M14" t="str">
        <f>PLANTILLA!D16</f>
        <v>G. Piscaer</v>
      </c>
      <c r="N14" s="48">
        <f>PLANTILLA!J16</f>
        <v>0.8961304772476234</v>
      </c>
      <c r="O14" s="72">
        <f>PLANTILLA!AC16</f>
        <v>8.1666666666666661</v>
      </c>
      <c r="P14" s="72">
        <f>PLANTILLA!AD16</f>
        <v>15.666666666666666</v>
      </c>
      <c r="Q14" s="72">
        <f ca="1">PLANTILLA!AI16</f>
        <v>18.763781688050578</v>
      </c>
      <c r="R14" s="48">
        <f ca="1">PLANTILLA!AJ16</f>
        <v>15.312797143914288</v>
      </c>
      <c r="S14" s="48">
        <f ca="1">PLANTILLA!AK16</f>
        <v>1.0300237715131431</v>
      </c>
      <c r="T14" s="48">
        <f ca="1">PLANTILLA!AL16</f>
        <v>0.76272913340733361</v>
      </c>
    </row>
    <row r="15" spans="1:27" x14ac:dyDescent="0.25">
      <c r="A15" t="str">
        <f>PLANTILLA!D17</f>
        <v>M. Bondarewski</v>
      </c>
      <c r="B15" s="72">
        <f ca="1">PLANTILLA!Y17++PLANTILLA!J17+PLANTILLA!P17</f>
        <v>3.9319600057813586</v>
      </c>
      <c r="C15" s="72">
        <f ca="1">PLANTILLA!AB17+PLANTILLA!J17+PLANTILLA!P17</f>
        <v>5.9319600057813586</v>
      </c>
      <c r="D15" s="108">
        <f t="shared" ca="1" si="1"/>
        <v>1.9744850021680094</v>
      </c>
      <c r="E15" s="72">
        <f ca="1">D15*PLANTILLA!R17</f>
        <v>1.6687444004799374</v>
      </c>
      <c r="F15" s="72">
        <f ca="1">D15*PLANTILLA!S17</f>
        <v>1.8264939181972406</v>
      </c>
      <c r="M15" t="str">
        <f>PLANTILLA!D17</f>
        <v>M. Bondarewski</v>
      </c>
      <c r="N15" s="48">
        <f>PLANTILLA!J17</f>
        <v>0.93196000578135851</v>
      </c>
      <c r="O15" s="72">
        <f>PLANTILLA!AC17</f>
        <v>8.1666666666666661</v>
      </c>
      <c r="P15" s="72">
        <f>PLANTILLA!AD17</f>
        <v>18.166666666666668</v>
      </c>
      <c r="Q15" s="72">
        <f ca="1">PLANTILLA!AI17</f>
        <v>17.087299096156986</v>
      </c>
      <c r="R15" s="48">
        <f ca="1">PLANTILLA!AJ17</f>
        <v>14.450977082233948</v>
      </c>
      <c r="S15" s="48">
        <f ca="1">PLANTILLA!AK17</f>
        <v>1.107890133795842</v>
      </c>
      <c r="T15" s="48">
        <f ca="1">PLANTILLA!AL17</f>
        <v>0.76023720040469511</v>
      </c>
    </row>
    <row r="16" spans="1:27" x14ac:dyDescent="0.25">
      <c r="A16" t="str">
        <f>PLANTILLA!D18</f>
        <v>P. Tuderek</v>
      </c>
      <c r="B16" s="72">
        <f ca="1">PLANTILLA!Y18++PLANTILLA!J18+PLANTILLA!P18</f>
        <v>7.8027466551039497</v>
      </c>
      <c r="C16" s="72">
        <f ca="1">PLANTILLA!AB18+PLANTILLA!J18+PLANTILLA!P18</f>
        <v>4.8027466551039497</v>
      </c>
      <c r="D16" s="108">
        <f t="shared" ca="1" si="1"/>
        <v>2.1760299956639813</v>
      </c>
      <c r="E16" s="72">
        <f ca="1">D16*PLANTILLA!R18</f>
        <v>2.0146123076936919</v>
      </c>
      <c r="F16" s="72">
        <f ca="1">D16*PLANTILLA!S18</f>
        <v>2.1744751330176673</v>
      </c>
      <c r="M16" t="str">
        <f>PLANTILLA!D18</f>
        <v>P. Tuderek</v>
      </c>
      <c r="N16" s="48">
        <f>PLANTILLA!J18</f>
        <v>0.80274665510394982</v>
      </c>
      <c r="O16" s="72">
        <f>PLANTILLA!AC18</f>
        <v>6.2</v>
      </c>
      <c r="P16" s="72">
        <f>PLANTILLA!AD18</f>
        <v>18.399999999999999</v>
      </c>
      <c r="Q16" s="72">
        <f ca="1">PLANTILLA!AI18</f>
        <v>15.550139302971395</v>
      </c>
      <c r="R16" s="48">
        <f ca="1">PLANTILLA!AJ18</f>
        <v>15.315607358740378</v>
      </c>
      <c r="S16" s="48">
        <f ca="1">PLANTILLA!AK18</f>
        <v>1.0062197324083157</v>
      </c>
      <c r="T16" s="48">
        <f ca="1">PLANTILLA!AL18</f>
        <v>0.91819226585727642</v>
      </c>
    </row>
    <row r="17" spans="1:20" x14ac:dyDescent="0.25">
      <c r="A17" t="str">
        <f>PLANTILLA!D19</f>
        <v>R. Forsyth</v>
      </c>
      <c r="B17" s="72">
        <f ca="1">PLANTILLA!Y19++PLANTILLA!J19+PLANTILLA!P19</f>
        <v>8.9319600057813595</v>
      </c>
      <c r="C17" s="72">
        <f ca="1">PLANTILLA!AB19+PLANTILLA!J19+PLANTILLA!P19</f>
        <v>5.9319600057813586</v>
      </c>
      <c r="D17" s="108">
        <f t="shared" ca="1" si="1"/>
        <v>2.5994850021680094</v>
      </c>
      <c r="E17" s="72">
        <f ca="1">D17*PLANTILLA!R19</f>
        <v>2.1969658096852602</v>
      </c>
      <c r="F17" s="72">
        <f ca="1">D17*PLANTILLA!S19</f>
        <v>2.4046490815030293</v>
      </c>
      <c r="M17" t="str">
        <f>PLANTILLA!D19</f>
        <v>R. Forsyth</v>
      </c>
      <c r="N17" s="48">
        <f>PLANTILLA!J19</f>
        <v>0.93196000578135851</v>
      </c>
      <c r="O17" s="72">
        <f>PLANTILLA!AC19</f>
        <v>6.2</v>
      </c>
      <c r="P17" s="72">
        <f>PLANTILLA!AD19</f>
        <v>16.25</v>
      </c>
      <c r="Q17" s="72">
        <f ca="1">PLANTILLA!AI19</f>
        <v>13.437218729026977</v>
      </c>
      <c r="R17" s="48">
        <f ca="1">PLANTILLA!AJ19</f>
        <v>12.818420780183361</v>
      </c>
      <c r="S17" s="48">
        <f ca="1">PLANTILLA!AK19</f>
        <v>0.95205680046250873</v>
      </c>
      <c r="T17" s="48">
        <f ca="1">PLANTILLA!AL19</f>
        <v>0.90273720040469507</v>
      </c>
    </row>
    <row r="18" spans="1:20" x14ac:dyDescent="0.25">
      <c r="A18" t="str">
        <f>PLANTILLA!D20</f>
        <v>S. Botam</v>
      </c>
      <c r="B18" s="72">
        <f ca="1">PLANTILLA!Y20++PLANTILLA!J20+PLANTILLA!P20</f>
        <v>11.929395903971868</v>
      </c>
      <c r="C18" s="72">
        <f ca="1">PLANTILLA!AB20+PLANTILLA!J20+PLANTILLA!P20</f>
        <v>5.9293959039718676</v>
      </c>
      <c r="D18" s="108">
        <f t="shared" ca="1" si="1"/>
        <v>2.9735234639894506</v>
      </c>
      <c r="E18" s="72">
        <f ca="1">D18*PLANTILLA!R20</f>
        <v>2.7529477901067358</v>
      </c>
      <c r="F18" s="72">
        <f ca="1">D18*PLANTILLA!S20</f>
        <v>2.9713987595638183</v>
      </c>
      <c r="M18" t="str">
        <f>PLANTILLA!D20</f>
        <v>S. Botam</v>
      </c>
      <c r="N18" s="48">
        <f>PLANTILLA!J20</f>
        <v>1.2975038047995981</v>
      </c>
      <c r="O18" s="72">
        <f>PLANTILLA!AC20</f>
        <v>9</v>
      </c>
      <c r="P18" s="72">
        <f>PLANTILLA!AD20</f>
        <v>16</v>
      </c>
      <c r="Q18" s="72">
        <f ca="1">PLANTILLA!AI20</f>
        <v>18.890400863707313</v>
      </c>
      <c r="R18" s="48">
        <f ca="1">PLANTILLA!AJ20</f>
        <v>14.655172895154449</v>
      </c>
      <c r="S18" s="48">
        <f ca="1">PLANTILLA!AK20</f>
        <v>1.0843516723177493</v>
      </c>
      <c r="T18" s="48">
        <f ca="1">PLANTILLA!AL20</f>
        <v>1.0150577132780305</v>
      </c>
    </row>
    <row r="19" spans="1:20" x14ac:dyDescent="0.25">
      <c r="A19" t="str">
        <f>PLANTILLA!D21</f>
        <v>J-P. Kechele</v>
      </c>
      <c r="B19" s="72">
        <f ca="1">PLANTILLA!Y21++PLANTILLA!J21+PLANTILLA!P21</f>
        <v>6.0218381078353342</v>
      </c>
      <c r="C19" s="72">
        <f ca="1">PLANTILLA!AB21+PLANTILLA!J21+PLANTILLA!P21</f>
        <v>11.021838107835334</v>
      </c>
      <c r="D19" s="108">
        <f t="shared" ca="1" si="1"/>
        <v>3.5081892904382501</v>
      </c>
      <c r="E19" s="72">
        <f ca="1">D19*PLANTILLA!R21</f>
        <v>2.9649611052069025</v>
      </c>
      <c r="F19" s="72">
        <f ca="1">D19*PLANTILLA!S21</f>
        <v>3.2452444033935111</v>
      </c>
      <c r="M19" t="str">
        <f>PLANTILLA!D21</f>
        <v>J-P. Kechele</v>
      </c>
      <c r="N19" s="48">
        <f>PLANTILLA!J21</f>
        <v>1.2459979349914234</v>
      </c>
      <c r="O19" s="72">
        <f>PLANTILLA!AC21</f>
        <v>8</v>
      </c>
      <c r="P19" s="72">
        <f>PLANTILLA!AD21</f>
        <v>19.5</v>
      </c>
      <c r="Q19" s="72">
        <f ca="1">PLANTILLA!AI21</f>
        <v>17.641126373873835</v>
      </c>
      <c r="R19" s="48">
        <f ca="1">PLANTILLA!AJ21</f>
        <v>15.273490867601977</v>
      </c>
      <c r="S19" s="48">
        <f ca="1">PLANTILLA!AK21</f>
        <v>1.1467470486268267</v>
      </c>
      <c r="T19" s="48">
        <f ca="1">PLANTILLA!AL21</f>
        <v>0.88652866754847337</v>
      </c>
    </row>
    <row r="20" spans="1:20" x14ac:dyDescent="0.25">
      <c r="A20" t="str">
        <f>PLANTILLA!D22</f>
        <v>S. Zobbe</v>
      </c>
      <c r="B20" s="72">
        <f>PLANTILLA!Y22++PLANTILLA!J22+PLANTILLA!P22</f>
        <v>11.0554933102079</v>
      </c>
      <c r="C20" s="72">
        <f>PLANTILLA!AB22+PLANTILLA!J22+PLANTILLA!P22</f>
        <v>12.055493310207899</v>
      </c>
      <c r="D20" s="108">
        <f t="shared" si="1"/>
        <v>4.3958099913279618</v>
      </c>
      <c r="E20" s="72">
        <f>D20*PLANTILLA!R22</f>
        <v>4.0697292447524323</v>
      </c>
      <c r="F20" s="72">
        <f>D20*PLANTILLA!S22</f>
        <v>4.3926690048666401</v>
      </c>
      <c r="M20" t="str">
        <f>PLANTILLA!D22</f>
        <v>S. Zobbe</v>
      </c>
      <c r="N20" s="48">
        <f>PLANTILLA!J22</f>
        <v>1.6054933102078996</v>
      </c>
      <c r="O20" s="72">
        <f>PLANTILLA!AC22</f>
        <v>4.95</v>
      </c>
      <c r="P20" s="72">
        <f>PLANTILLA!AD22</f>
        <v>18</v>
      </c>
      <c r="Q20" s="72">
        <f>PLANTILLA!AI22</f>
        <v>16.090883148430191</v>
      </c>
      <c r="R20" s="48">
        <f>PLANTILLA!AJ22</f>
        <v>15.915304231596055</v>
      </c>
      <c r="S20" s="48">
        <f>PLANTILLA!AK22</f>
        <v>1.035939464816632</v>
      </c>
      <c r="T20" s="48">
        <f>PLANTILLA!AL22</f>
        <v>1.0753845317145529</v>
      </c>
    </row>
    <row r="21" spans="1:20" x14ac:dyDescent="0.25">
      <c r="A21" t="str">
        <f>PLANTILLA!D23</f>
        <v>P .Trivadi</v>
      </c>
      <c r="B21" s="72">
        <f>PLANTILLA!Y23++PLANTILLA!J23+PLANTILLA!P23</f>
        <v>6.601097146827275</v>
      </c>
      <c r="C21" s="72">
        <f>PLANTILLA!AB23+PLANTILLA!J23+PLANTILLA!P23</f>
        <v>12.601097146827273</v>
      </c>
      <c r="D21" s="108">
        <f t="shared" si="1"/>
        <v>3.9754114300602277</v>
      </c>
      <c r="E21" s="72">
        <f>D21*PLANTILLA!R23</f>
        <v>3.0051285723151446</v>
      </c>
      <c r="F21" s="72">
        <f>D21*PLANTILLA!S23</f>
        <v>3.3564743669274035</v>
      </c>
      <c r="M21" t="str">
        <f>PLANTILLA!D23</f>
        <v>P .Trivadi</v>
      </c>
      <c r="N21" s="48">
        <f>PLANTILLA!J23</f>
        <v>1.1510971468272746</v>
      </c>
      <c r="O21" s="72">
        <f>PLANTILLA!AC23</f>
        <v>5.95</v>
      </c>
      <c r="P21" s="72">
        <f>PLANTILLA!AD23</f>
        <v>15.95</v>
      </c>
      <c r="Q21" s="72">
        <f>PLANTILLA!AI23</f>
        <v>12.781567658136929</v>
      </c>
      <c r="R21" s="48">
        <f>PLANTILLA!AJ23</f>
        <v>11.793320922932656</v>
      </c>
      <c r="S21" s="48">
        <f>PLANTILLA!AK23</f>
        <v>0.98808777174618201</v>
      </c>
      <c r="T21" s="48">
        <f>PLANTILLA!AL23</f>
        <v>0.82207680027790919</v>
      </c>
    </row>
    <row r="22" spans="1:20" x14ac:dyDescent="0.25">
      <c r="A22">
        <f>PLANTILLA!D24</f>
        <v>0</v>
      </c>
      <c r="B22" s="72">
        <f>PLANTILLA!Y24++PLANTILLA!J24+PLANTILLA!P24</f>
        <v>0</v>
      </c>
      <c r="C22" s="72">
        <f>PLANTILLA!AB24+PLANTILLA!J24+PLANTILLA!P24</f>
        <v>0</v>
      </c>
      <c r="D22" s="108">
        <f t="shared" si="1"/>
        <v>0</v>
      </c>
      <c r="E22" s="72">
        <f>D22*PLANTILLA!R24</f>
        <v>0</v>
      </c>
      <c r="F22" s="72">
        <f>D22*PLANTILLA!S24</f>
        <v>0</v>
      </c>
      <c r="M22">
        <f>PLANTILLA!D24</f>
        <v>0</v>
      </c>
      <c r="N22" s="48">
        <f>PLANTILLA!J24</f>
        <v>0</v>
      </c>
      <c r="O22" s="72">
        <f>PLANTILLA!AC24</f>
        <v>0</v>
      </c>
      <c r="P22" s="72">
        <f>PLANTILLA!AD24</f>
        <v>0</v>
      </c>
      <c r="Q22" s="72">
        <f>PLANTILLA!AI24</f>
        <v>0</v>
      </c>
      <c r="R22" s="48">
        <f>PLANTILLA!AJ24</f>
        <v>0</v>
      </c>
      <c r="S22" s="48">
        <f>PLANTILLA!AK24</f>
        <v>0</v>
      </c>
      <c r="T22" s="48">
        <f>PLANTILLA!AL24</f>
        <v>0</v>
      </c>
    </row>
    <row r="23" spans="1:20" x14ac:dyDescent="0.25">
      <c r="A23">
        <f>PLANTILLA!D25</f>
        <v>0</v>
      </c>
      <c r="B23" s="72">
        <f>PLANTILLA!Y25++PLANTILLA!J25+PLANTILLA!P25</f>
        <v>0</v>
      </c>
      <c r="C23" s="72">
        <f>PLANTILLA!AB25+PLANTILLA!J25+PLANTILLA!P25</f>
        <v>0</v>
      </c>
      <c r="D23" s="108">
        <f t="shared" si="1"/>
        <v>0</v>
      </c>
      <c r="E23" s="72">
        <f>D23*PLANTILLA!R25</f>
        <v>0</v>
      </c>
      <c r="F23" s="72">
        <f>D23*PLANTILLA!S25</f>
        <v>0</v>
      </c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72">
        <f>PLANTILLA!AI25</f>
        <v>0</v>
      </c>
      <c r="R23" s="48">
        <f>PLANTILLA!AJ25</f>
        <v>0</v>
      </c>
      <c r="S23" s="48">
        <f>PLANTILLA!AK25</f>
        <v>0</v>
      </c>
      <c r="T23" s="48">
        <f>PLANTILLA!AL25</f>
        <v>0</v>
      </c>
    </row>
    <row r="24" spans="1:20" x14ac:dyDescent="0.25">
      <c r="B24" s="72"/>
      <c r="C24" s="72"/>
      <c r="D24" s="108"/>
      <c r="E24" s="72"/>
      <c r="F24" s="72"/>
      <c r="Q24" s="72"/>
    </row>
    <row r="25" spans="1:20" ht="18.75" x14ac:dyDescent="0.3">
      <c r="A25" s="574" t="s">
        <v>498</v>
      </c>
      <c r="B25" s="574"/>
      <c r="C25" s="574"/>
      <c r="D25" s="574"/>
      <c r="E25" s="574"/>
      <c r="F25" s="574"/>
      <c r="G25" s="574"/>
      <c r="H25" s="574"/>
      <c r="I25" s="574"/>
      <c r="J25" s="574"/>
    </row>
    <row r="26" spans="1:20" x14ac:dyDescent="0.25">
      <c r="A26" s="115" t="s">
        <v>499</v>
      </c>
      <c r="B26" s="115" t="str">
        <f>D1</f>
        <v>N_CA</v>
      </c>
      <c r="C26" s="95" t="s">
        <v>495</v>
      </c>
      <c r="D26" s="95" t="s">
        <v>496</v>
      </c>
      <c r="G26" s="115" t="s">
        <v>499</v>
      </c>
      <c r="H26" s="115" t="str">
        <f>B26</f>
        <v>N_CA</v>
      </c>
      <c r="I26" s="95" t="s">
        <v>495</v>
      </c>
      <c r="J26" s="95" t="s">
        <v>496</v>
      </c>
    </row>
    <row r="27" spans="1:20" x14ac:dyDescent="0.25">
      <c r="A27" s="48" t="e">
        <f>#REF!</f>
        <v>#REF!</v>
      </c>
      <c r="B27" s="48" t="e">
        <f>#REF!</f>
        <v>#REF!</v>
      </c>
      <c r="C27" s="48" t="e">
        <f>#REF!</f>
        <v>#REF!</v>
      </c>
      <c r="D27" s="48" t="e">
        <f>#REF!</f>
        <v>#REF!</v>
      </c>
      <c r="G27" s="48" t="e">
        <f>A27</f>
        <v>#REF!</v>
      </c>
      <c r="H27" s="48" t="e">
        <f>B27</f>
        <v>#REF!</v>
      </c>
      <c r="I27" s="48" t="e">
        <f t="shared" ref="I27:J30" si="3">C27</f>
        <v>#REF!</v>
      </c>
      <c r="J27" s="48" t="e">
        <f t="shared" si="3"/>
        <v>#REF!</v>
      </c>
    </row>
    <row r="28" spans="1:20" x14ac:dyDescent="0.25">
      <c r="A28" s="48" t="str">
        <f>A4</f>
        <v>E. Toney</v>
      </c>
      <c r="B28" s="48">
        <f>D4</f>
        <v>3.1703480287102446</v>
      </c>
      <c r="C28" s="48">
        <f>E4</f>
        <v>2.0754799744169605</v>
      </c>
      <c r="D28" s="48">
        <f>F4</f>
        <v>2.3935602718949345</v>
      </c>
      <c r="G28" s="48" t="str">
        <f>A28</f>
        <v>E. Toney</v>
      </c>
      <c r="H28" s="48">
        <f>B28</f>
        <v>3.1703480287102446</v>
      </c>
      <c r="I28" s="48">
        <f t="shared" si="3"/>
        <v>2.0754799744169605</v>
      </c>
      <c r="J28" s="48">
        <f t="shared" si="3"/>
        <v>2.3935602718949345</v>
      </c>
    </row>
    <row r="29" spans="1:20" x14ac:dyDescent="0.25">
      <c r="A29" t="str">
        <f>A6</f>
        <v>L. Tutorić</v>
      </c>
      <c r="B29" s="48">
        <f t="shared" ref="B29:D30" ca="1" si="4">D6</f>
        <v>2.5821945211695843</v>
      </c>
      <c r="C29" s="48">
        <f t="shared" ca="1" si="4"/>
        <v>2.3906475892213601</v>
      </c>
      <c r="D29" s="48">
        <f t="shared" ca="1" si="4"/>
        <v>2.5803494373175768</v>
      </c>
      <c r="G29" s="48" t="str">
        <f>A29</f>
        <v>L. Tutorić</v>
      </c>
      <c r="H29" s="48">
        <f ca="1">B29</f>
        <v>2.5821945211695843</v>
      </c>
      <c r="I29" s="48">
        <f t="shared" ca="1" si="3"/>
        <v>2.3906475892213601</v>
      </c>
      <c r="J29" s="48">
        <f t="shared" ca="1" si="3"/>
        <v>2.5803494373175768</v>
      </c>
    </row>
    <row r="30" spans="1:20" x14ac:dyDescent="0.25">
      <c r="A30" s="48" t="str">
        <f>A7</f>
        <v>S. Swärdborn</v>
      </c>
      <c r="B30" s="48">
        <f t="shared" ca="1" si="4"/>
        <v>2.9943099858341031</v>
      </c>
      <c r="C30" s="48">
        <f t="shared" ca="1" si="4"/>
        <v>2.7721923698348765</v>
      </c>
      <c r="D30" s="48">
        <f t="shared" ca="1" si="4"/>
        <v>2.9921704285863924</v>
      </c>
      <c r="G30" s="48" t="str">
        <f>A30</f>
        <v>S. Swärdborn</v>
      </c>
      <c r="H30" s="48">
        <f ca="1">B30</f>
        <v>2.9943099858341031</v>
      </c>
      <c r="I30" s="48">
        <f t="shared" ca="1" si="3"/>
        <v>2.7721923698348765</v>
      </c>
      <c r="J30" s="48">
        <f t="shared" ca="1" si="3"/>
        <v>2.9921704285863924</v>
      </c>
    </row>
    <row r="31" spans="1:20" x14ac:dyDescent="0.25">
      <c r="A31" t="str">
        <f>A5</f>
        <v>F. Lasprilla</v>
      </c>
      <c r="B31" s="48">
        <f>D5</f>
        <v>4.1229925094393245</v>
      </c>
      <c r="C31" s="48">
        <f>E5</f>
        <v>2.6991321806059476</v>
      </c>
      <c r="D31" s="48">
        <f>F5</f>
        <v>3.1127910824128375</v>
      </c>
      <c r="H31" s="48"/>
      <c r="I31" s="72"/>
      <c r="J31" s="72"/>
    </row>
    <row r="32" spans="1:20" x14ac:dyDescent="0.25">
      <c r="B32" s="125" t="e">
        <f>SUM(B27:B31)</f>
        <v>#REF!</v>
      </c>
      <c r="C32" s="238" t="e">
        <f>SUM(C27:C31)</f>
        <v>#REF!</v>
      </c>
      <c r="D32" s="238" t="e">
        <f>SUM(D27:D31)</f>
        <v>#REF!</v>
      </c>
      <c r="E32" s="125"/>
      <c r="G32" s="125"/>
      <c r="H32" s="125" t="e">
        <f>SUM(H27:H31)</f>
        <v>#REF!</v>
      </c>
      <c r="I32" s="238" t="e">
        <f>SUM(I27:I31)</f>
        <v>#REF!</v>
      </c>
      <c r="J32" s="238" t="e">
        <f>SUM(J27:J31)</f>
        <v>#REF!</v>
      </c>
    </row>
  </sheetData>
  <mergeCells count="2">
    <mergeCell ref="W1:AA1"/>
    <mergeCell ref="A25:J25"/>
  </mergeCells>
  <conditionalFormatting sqref="Q2:Q23">
    <cfRule type="cellIs" dxfId="21" priority="1" operator="lessThan">
      <formula>12</formula>
    </cfRule>
  </conditionalFormatting>
  <conditionalFormatting sqref="Q2:Q23">
    <cfRule type="cellIs" dxfId="20" priority="2" operator="between">
      <formula>12</formula>
      <formula>17</formula>
    </cfRule>
  </conditionalFormatting>
  <conditionalFormatting sqref="Q2:Q23">
    <cfRule type="cellIs" dxfId="19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7"/>
  <sheetViews>
    <sheetView workbookViewId="0">
      <pane ySplit="1" topLeftCell="A2" activePane="bottomLeft" state="frozen"/>
      <selection pane="bottomLeft" activeCell="R11" sqref="R11"/>
    </sheetView>
  </sheetViews>
  <sheetFormatPr baseColWidth="10" defaultRowHeight="15" x14ac:dyDescent="0.25"/>
  <cols>
    <col min="1" max="1" width="10.7109375" style="461" bestFit="1" customWidth="1"/>
    <col min="2" max="2" width="10.28515625" style="461" bestFit="1" customWidth="1"/>
    <col min="3" max="3" width="7" style="461" bestFit="1" customWidth="1"/>
    <col min="4" max="4" width="10" style="461" bestFit="1" customWidth="1"/>
    <col min="5" max="5" width="2.85546875" style="461" bestFit="1" customWidth="1"/>
    <col min="6" max="6" width="3.140625" style="461" bestFit="1" customWidth="1"/>
    <col min="7" max="7" width="3.42578125" style="461" bestFit="1" customWidth="1"/>
    <col min="8" max="8" width="4" style="461" bestFit="1" customWidth="1"/>
    <col min="9" max="9" width="4.140625" style="461" bestFit="1" customWidth="1"/>
    <col min="10" max="10" width="4.85546875" style="461" bestFit="1" customWidth="1"/>
    <col min="12" max="12" width="12.7109375" style="461" customWidth="1"/>
    <col min="13" max="13" width="15.140625" style="461" bestFit="1" customWidth="1"/>
    <col min="14" max="14" width="4.140625" style="461" bestFit="1" customWidth="1"/>
    <col min="15" max="15" width="5.28515625" style="461" bestFit="1" customWidth="1"/>
    <col min="17" max="17" width="11.5703125" style="461" bestFit="1" customWidth="1"/>
    <col min="18" max="18" width="18.140625" style="461" bestFit="1" customWidth="1"/>
    <col min="19" max="19" width="10.85546875" style="461" bestFit="1" customWidth="1"/>
    <col min="20" max="20" width="14.7109375" style="461" bestFit="1" customWidth="1"/>
    <col min="21" max="21" width="12.5703125" style="461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61" bestFit="1" customWidth="1"/>
  </cols>
  <sheetData>
    <row r="1" spans="1:28" s="4" customFormat="1" x14ac:dyDescent="0.25">
      <c r="A1" s="3" t="s">
        <v>192</v>
      </c>
      <c r="B1" s="3" t="s">
        <v>690</v>
      </c>
      <c r="C1" s="3" t="s">
        <v>695</v>
      </c>
      <c r="D1" s="3" t="s">
        <v>691</v>
      </c>
      <c r="E1" s="3" t="s">
        <v>117</v>
      </c>
      <c r="F1" s="3" t="s">
        <v>16</v>
      </c>
      <c r="G1" s="3" t="s">
        <v>24</v>
      </c>
      <c r="H1" s="3" t="s">
        <v>692</v>
      </c>
      <c r="I1" s="3" t="s">
        <v>30</v>
      </c>
      <c r="J1" s="3" t="s">
        <v>21</v>
      </c>
      <c r="L1" s="3" t="s">
        <v>192</v>
      </c>
      <c r="M1" s="3" t="s">
        <v>87</v>
      </c>
      <c r="N1" s="3" t="s">
        <v>693</v>
      </c>
      <c r="O1" s="3" t="s">
        <v>694</v>
      </c>
      <c r="Q1" s="498" t="s">
        <v>695</v>
      </c>
      <c r="R1" s="484" t="s">
        <v>696</v>
      </c>
      <c r="S1" s="486" t="s">
        <v>705</v>
      </c>
      <c r="T1" s="461"/>
      <c r="U1" s="461"/>
      <c r="V1" s="484" t="s">
        <v>697</v>
      </c>
      <c r="W1" s="485" t="s">
        <v>698</v>
      </c>
      <c r="X1" s="485" t="s">
        <v>699</v>
      </c>
      <c r="Y1" s="485" t="s">
        <v>700</v>
      </c>
      <c r="Z1" s="486" t="s">
        <v>701</v>
      </c>
      <c r="AA1"/>
      <c r="AB1" s="3" t="s">
        <v>361</v>
      </c>
    </row>
    <row r="2" spans="1:28" x14ac:dyDescent="0.25">
      <c r="A2" s="483">
        <v>43969</v>
      </c>
      <c r="B2" s="461">
        <v>17480983</v>
      </c>
      <c r="C2" s="461">
        <v>13</v>
      </c>
      <c r="D2" s="461">
        <v>7</v>
      </c>
      <c r="E2" s="461">
        <v>2</v>
      </c>
      <c r="F2" s="461">
        <v>0</v>
      </c>
      <c r="G2" s="461">
        <v>1</v>
      </c>
      <c r="H2" s="461">
        <v>0</v>
      </c>
      <c r="I2" s="461">
        <v>0</v>
      </c>
      <c r="J2" s="461">
        <v>1</v>
      </c>
      <c r="L2" s="483">
        <v>43969</v>
      </c>
      <c r="M2" s="461" t="s">
        <v>167</v>
      </c>
      <c r="N2" s="461">
        <v>1</v>
      </c>
      <c r="O2" s="461">
        <v>0</v>
      </c>
      <c r="Q2" s="487">
        <v>12</v>
      </c>
      <c r="R2" s="488">
        <v>10</v>
      </c>
      <c r="S2" s="490">
        <v>0.3</v>
      </c>
      <c r="V2" s="495">
        <v>18</v>
      </c>
      <c r="W2" s="496">
        <v>15</v>
      </c>
      <c r="X2" s="496">
        <v>38</v>
      </c>
      <c r="Y2" s="496">
        <v>29</v>
      </c>
      <c r="Z2" s="497">
        <v>6</v>
      </c>
      <c r="AB2" s="461">
        <f>SUM(V2:Z2)</f>
        <v>106</v>
      </c>
    </row>
    <row r="3" spans="1:28" x14ac:dyDescent="0.25">
      <c r="A3" s="483">
        <v>43969</v>
      </c>
      <c r="B3" s="461">
        <v>17554252</v>
      </c>
      <c r="C3" s="461">
        <v>13</v>
      </c>
      <c r="D3" s="461">
        <v>7</v>
      </c>
      <c r="E3" s="461">
        <v>3</v>
      </c>
      <c r="F3" s="461">
        <v>1</v>
      </c>
      <c r="G3" s="461">
        <v>2</v>
      </c>
      <c r="H3" s="461">
        <v>0</v>
      </c>
      <c r="I3" s="461">
        <v>0</v>
      </c>
      <c r="J3" s="461">
        <v>0</v>
      </c>
      <c r="L3" s="483">
        <v>43969</v>
      </c>
      <c r="M3" s="461" t="s">
        <v>165</v>
      </c>
      <c r="N3" s="461">
        <v>1</v>
      </c>
      <c r="O3" s="461">
        <v>0</v>
      </c>
      <c r="Q3" s="491">
        <v>13</v>
      </c>
      <c r="R3" s="492">
        <v>87</v>
      </c>
      <c r="S3" s="494">
        <v>0.2413793103448276</v>
      </c>
      <c r="V3" s="499">
        <f>V2/$AB$2</f>
        <v>0.16981132075471697</v>
      </c>
      <c r="W3" s="499">
        <f t="shared" ref="W3:Z3" si="0">W2/$AB$2</f>
        <v>0.14150943396226415</v>
      </c>
      <c r="X3" s="499">
        <f t="shared" si="0"/>
        <v>0.35849056603773582</v>
      </c>
      <c r="Y3" s="499">
        <f t="shared" si="0"/>
        <v>0.27358490566037735</v>
      </c>
      <c r="Z3" s="499">
        <f t="shared" si="0"/>
        <v>5.6603773584905662E-2</v>
      </c>
    </row>
    <row r="4" spans="1:28" x14ac:dyDescent="0.25">
      <c r="A4" s="483">
        <v>43970</v>
      </c>
      <c r="B4" s="461">
        <v>17612232</v>
      </c>
      <c r="C4" s="461">
        <v>13</v>
      </c>
      <c r="D4" s="461">
        <v>5</v>
      </c>
      <c r="E4" s="461">
        <v>1</v>
      </c>
      <c r="F4" s="461">
        <v>0</v>
      </c>
      <c r="G4" s="461">
        <v>0</v>
      </c>
      <c r="H4" s="461">
        <v>1</v>
      </c>
      <c r="I4" s="461">
        <v>0</v>
      </c>
      <c r="J4" s="461">
        <v>0</v>
      </c>
      <c r="L4" s="483">
        <v>43969</v>
      </c>
      <c r="M4" s="461" t="s">
        <v>158</v>
      </c>
      <c r="N4" s="461">
        <v>0</v>
      </c>
      <c r="O4" s="461">
        <v>2</v>
      </c>
      <c r="Q4" s="491">
        <v>14</v>
      </c>
      <c r="R4" s="492">
        <v>55</v>
      </c>
      <c r="S4" s="494">
        <v>0.29090909090909089</v>
      </c>
    </row>
    <row r="5" spans="1:28" x14ac:dyDescent="0.25">
      <c r="A5" s="483">
        <v>43970</v>
      </c>
      <c r="B5" s="461">
        <v>17669494</v>
      </c>
      <c r="C5" s="461">
        <v>13</v>
      </c>
      <c r="D5" s="461">
        <v>9</v>
      </c>
      <c r="E5" s="461">
        <v>3</v>
      </c>
      <c r="F5" s="461">
        <v>0</v>
      </c>
      <c r="G5" s="461">
        <v>0</v>
      </c>
      <c r="H5" s="461">
        <v>3</v>
      </c>
      <c r="I5" s="461">
        <v>0</v>
      </c>
      <c r="J5" s="461">
        <v>0</v>
      </c>
      <c r="L5" s="483">
        <v>43969</v>
      </c>
      <c r="M5" s="461" t="s">
        <v>186</v>
      </c>
      <c r="N5" s="461">
        <v>0</v>
      </c>
      <c r="O5" s="461">
        <v>1</v>
      </c>
      <c r="Q5" s="491">
        <v>15</v>
      </c>
      <c r="R5" s="492">
        <v>131</v>
      </c>
      <c r="S5" s="494">
        <v>0.29007633587786258</v>
      </c>
    </row>
    <row r="6" spans="1:28" x14ac:dyDescent="0.25">
      <c r="A6" s="483">
        <v>43971</v>
      </c>
      <c r="B6" s="461">
        <v>17728262</v>
      </c>
      <c r="C6" s="461">
        <v>12</v>
      </c>
      <c r="D6" s="461">
        <v>5</v>
      </c>
      <c r="E6" s="461">
        <v>0</v>
      </c>
      <c r="F6" s="461">
        <v>0</v>
      </c>
      <c r="G6" s="461">
        <v>0</v>
      </c>
      <c r="H6" s="461">
        <v>0</v>
      </c>
      <c r="I6" s="461">
        <v>0</v>
      </c>
      <c r="J6" s="461">
        <v>0</v>
      </c>
      <c r="L6" s="483">
        <v>43970</v>
      </c>
      <c r="M6" s="461" t="s">
        <v>175</v>
      </c>
      <c r="N6" s="461">
        <v>1</v>
      </c>
      <c r="O6" s="461">
        <v>1</v>
      </c>
      <c r="Q6" s="491">
        <v>16</v>
      </c>
      <c r="R6" s="492">
        <v>88</v>
      </c>
      <c r="S6" s="494">
        <v>0.29545454545454547</v>
      </c>
    </row>
    <row r="7" spans="1:28" x14ac:dyDescent="0.25">
      <c r="A7" s="483">
        <v>43972</v>
      </c>
      <c r="B7" s="461">
        <v>17843216</v>
      </c>
      <c r="C7" s="461">
        <v>12</v>
      </c>
      <c r="D7" s="461">
        <v>5</v>
      </c>
      <c r="E7" s="461">
        <v>3</v>
      </c>
      <c r="F7" s="461">
        <v>1</v>
      </c>
      <c r="G7" s="461">
        <v>1</v>
      </c>
      <c r="H7" s="461">
        <v>0</v>
      </c>
      <c r="I7" s="461">
        <v>1</v>
      </c>
      <c r="J7" s="461">
        <v>0</v>
      </c>
      <c r="L7" s="483">
        <v>43970</v>
      </c>
      <c r="M7" s="461" t="s">
        <v>177</v>
      </c>
      <c r="N7" s="461">
        <v>1</v>
      </c>
      <c r="O7" s="461">
        <v>1</v>
      </c>
      <c r="Q7" s="500" t="s">
        <v>361</v>
      </c>
      <c r="R7" s="501">
        <v>371</v>
      </c>
      <c r="S7" s="503">
        <v>0.28032345013477089</v>
      </c>
    </row>
    <row r="8" spans="1:28" x14ac:dyDescent="0.25">
      <c r="A8" s="483">
        <v>43976</v>
      </c>
      <c r="B8" s="461">
        <v>17945337</v>
      </c>
      <c r="C8" s="461">
        <v>13</v>
      </c>
      <c r="D8" s="461">
        <v>3</v>
      </c>
      <c r="E8" s="461">
        <v>1</v>
      </c>
      <c r="F8" s="461">
        <v>0</v>
      </c>
      <c r="G8" s="461">
        <v>0</v>
      </c>
      <c r="H8" s="461">
        <v>1</v>
      </c>
      <c r="I8" s="461">
        <v>0</v>
      </c>
      <c r="J8" s="461">
        <v>0</v>
      </c>
      <c r="L8" s="483">
        <v>43972</v>
      </c>
      <c r="M8" s="461" t="s">
        <v>160</v>
      </c>
      <c r="N8" s="461">
        <v>1</v>
      </c>
      <c r="O8" s="461">
        <v>0</v>
      </c>
    </row>
    <row r="9" spans="1:28" x14ac:dyDescent="0.25">
      <c r="A9" s="483">
        <v>43977</v>
      </c>
      <c r="B9" s="461">
        <v>18067489</v>
      </c>
      <c r="C9" s="461">
        <v>13</v>
      </c>
      <c r="D9" s="461">
        <v>4</v>
      </c>
      <c r="E9" s="461">
        <v>1</v>
      </c>
      <c r="F9" s="461">
        <v>0</v>
      </c>
      <c r="G9" s="461">
        <v>0</v>
      </c>
      <c r="H9" s="461">
        <v>0</v>
      </c>
      <c r="I9" s="461">
        <v>1</v>
      </c>
      <c r="J9" s="461">
        <v>0</v>
      </c>
      <c r="L9" s="483">
        <v>43972</v>
      </c>
      <c r="M9" s="461" t="s">
        <v>167</v>
      </c>
      <c r="N9" s="461">
        <v>0</v>
      </c>
      <c r="O9" s="461">
        <v>1</v>
      </c>
    </row>
    <row r="10" spans="1:28" x14ac:dyDescent="0.25">
      <c r="A10" s="483">
        <v>43978</v>
      </c>
      <c r="B10" s="461">
        <v>18083815</v>
      </c>
      <c r="C10" s="461">
        <v>13</v>
      </c>
      <c r="D10" s="461">
        <v>9</v>
      </c>
      <c r="E10" s="461">
        <v>0</v>
      </c>
      <c r="F10" s="461">
        <v>0</v>
      </c>
      <c r="G10" s="461">
        <v>0</v>
      </c>
      <c r="H10" s="461">
        <v>0</v>
      </c>
      <c r="I10" s="461">
        <v>0</v>
      </c>
      <c r="J10" s="461">
        <v>0</v>
      </c>
      <c r="L10" s="483">
        <v>43972</v>
      </c>
      <c r="M10" s="461" t="s">
        <v>184</v>
      </c>
      <c r="N10" s="461">
        <v>0</v>
      </c>
      <c r="O10" s="461">
        <v>1</v>
      </c>
    </row>
    <row r="11" spans="1:28" x14ac:dyDescent="0.25">
      <c r="A11" s="483">
        <v>43978</v>
      </c>
      <c r="B11" s="461">
        <v>18102369</v>
      </c>
      <c r="C11" s="461">
        <v>13</v>
      </c>
      <c r="D11" s="461">
        <v>7</v>
      </c>
      <c r="E11" s="461">
        <v>1</v>
      </c>
      <c r="F11" s="461">
        <v>0</v>
      </c>
      <c r="G11" s="461">
        <v>0</v>
      </c>
      <c r="H11" s="461">
        <v>1</v>
      </c>
      <c r="I11" s="461">
        <v>0</v>
      </c>
      <c r="J11" s="461">
        <v>0</v>
      </c>
      <c r="L11" s="483">
        <v>43976</v>
      </c>
      <c r="M11" s="461" t="s">
        <v>175</v>
      </c>
      <c r="N11" s="461">
        <v>0</v>
      </c>
      <c r="O11" s="461">
        <v>1</v>
      </c>
    </row>
    <row r="12" spans="1:28" x14ac:dyDescent="0.25">
      <c r="A12" s="483">
        <v>43978</v>
      </c>
      <c r="B12" s="461">
        <v>18116746</v>
      </c>
      <c r="C12" s="461">
        <v>14</v>
      </c>
      <c r="D12" s="461">
        <v>10</v>
      </c>
      <c r="E12" s="461">
        <v>2</v>
      </c>
      <c r="F12" s="461">
        <v>0</v>
      </c>
      <c r="G12" s="461">
        <v>1</v>
      </c>
      <c r="H12" s="461">
        <v>0</v>
      </c>
      <c r="I12" s="461">
        <v>1</v>
      </c>
      <c r="J12" s="461">
        <v>0</v>
      </c>
      <c r="L12" s="483">
        <v>43977</v>
      </c>
      <c r="M12" s="461" t="s">
        <v>171</v>
      </c>
      <c r="N12" s="461">
        <v>0</v>
      </c>
      <c r="O12" s="461">
        <v>1</v>
      </c>
    </row>
    <row r="13" spans="1:28" x14ac:dyDescent="0.25">
      <c r="A13" s="483">
        <v>43979</v>
      </c>
      <c r="B13" s="461">
        <v>18200256</v>
      </c>
      <c r="C13" s="461">
        <v>14</v>
      </c>
      <c r="D13" s="461">
        <v>9</v>
      </c>
      <c r="E13" s="461">
        <v>2</v>
      </c>
      <c r="F13" s="461">
        <v>0</v>
      </c>
      <c r="G13" s="461">
        <v>0</v>
      </c>
      <c r="H13" s="461">
        <v>2</v>
      </c>
      <c r="I13" s="461">
        <v>0</v>
      </c>
      <c r="J13" s="461">
        <v>0</v>
      </c>
      <c r="L13" s="483">
        <v>43978</v>
      </c>
      <c r="M13" s="461" t="s">
        <v>167</v>
      </c>
      <c r="N13" s="461">
        <v>1</v>
      </c>
      <c r="O13" s="461">
        <v>0</v>
      </c>
    </row>
    <row r="14" spans="1:28" x14ac:dyDescent="0.25">
      <c r="A14" s="483">
        <v>43979</v>
      </c>
      <c r="B14" s="461">
        <v>18216545</v>
      </c>
      <c r="C14" s="461">
        <v>13</v>
      </c>
      <c r="D14" s="461">
        <v>9</v>
      </c>
      <c r="E14" s="461">
        <v>2</v>
      </c>
      <c r="F14" s="461">
        <v>0</v>
      </c>
      <c r="G14" s="461">
        <v>1</v>
      </c>
      <c r="H14" s="461">
        <v>1</v>
      </c>
      <c r="I14" s="461">
        <v>0</v>
      </c>
      <c r="J14" s="461">
        <v>0</v>
      </c>
      <c r="L14" s="483">
        <v>43978</v>
      </c>
      <c r="M14" s="461" t="s">
        <v>177</v>
      </c>
      <c r="N14" s="461">
        <v>1</v>
      </c>
      <c r="O14" s="461">
        <v>0</v>
      </c>
    </row>
    <row r="15" spans="1:28" x14ac:dyDescent="0.25">
      <c r="A15" s="483">
        <v>43979</v>
      </c>
      <c r="B15" s="461">
        <v>18286656</v>
      </c>
      <c r="C15" s="461">
        <v>13</v>
      </c>
      <c r="D15" s="461">
        <v>7</v>
      </c>
      <c r="E15" s="461">
        <v>2</v>
      </c>
      <c r="F15" s="461">
        <v>1</v>
      </c>
      <c r="G15" s="461">
        <v>0</v>
      </c>
      <c r="H15" s="461">
        <v>1</v>
      </c>
      <c r="I15" s="461">
        <v>0</v>
      </c>
      <c r="J15" s="461">
        <v>0</v>
      </c>
      <c r="L15" s="483">
        <v>43978</v>
      </c>
      <c r="M15" s="461" t="s">
        <v>184</v>
      </c>
      <c r="N15" s="461">
        <v>1</v>
      </c>
      <c r="O15" s="461">
        <v>0</v>
      </c>
      <c r="Q15" s="498" t="s">
        <v>87</v>
      </c>
      <c r="R15" s="484" t="s">
        <v>702</v>
      </c>
      <c r="S15" s="485" t="s">
        <v>703</v>
      </c>
      <c r="T15" s="486" t="s">
        <v>704</v>
      </c>
      <c r="V15" s="458" t="str">
        <f>PLANTILLA!D4</f>
        <v>D. Gehmacher</v>
      </c>
      <c r="W15" s="90">
        <f ca="1">PLANTILLA!AI4</f>
        <v>8.0327217942837894</v>
      </c>
    </row>
    <row r="16" spans="1:28" x14ac:dyDescent="0.25">
      <c r="A16" s="483">
        <v>43982</v>
      </c>
      <c r="B16" s="461">
        <v>18448080</v>
      </c>
      <c r="C16" s="461">
        <v>13</v>
      </c>
      <c r="D16" s="461">
        <v>8</v>
      </c>
      <c r="E16" s="461">
        <v>1</v>
      </c>
      <c r="F16" s="461">
        <v>0</v>
      </c>
      <c r="G16" s="461">
        <v>0</v>
      </c>
      <c r="H16" s="461">
        <v>0</v>
      </c>
      <c r="I16" s="461">
        <v>1</v>
      </c>
      <c r="J16" s="461">
        <v>0</v>
      </c>
      <c r="L16" s="483">
        <v>43979</v>
      </c>
      <c r="M16" s="461" t="s">
        <v>175</v>
      </c>
      <c r="N16" s="461">
        <v>1</v>
      </c>
      <c r="O16" s="461">
        <v>1</v>
      </c>
      <c r="Q16" s="487" t="s">
        <v>165</v>
      </c>
      <c r="R16" s="488">
        <v>4</v>
      </c>
      <c r="S16" s="489">
        <v>1</v>
      </c>
      <c r="T16" s="490">
        <v>0.8</v>
      </c>
      <c r="U16" s="153">
        <f ca="1">VLOOKUP(Q16,$V$15:$W$36,2,FALSE)</f>
        <v>13.926831555464554</v>
      </c>
      <c r="V16" s="458" t="str">
        <f>PLANTILLA!D5</f>
        <v>L. Guangwei</v>
      </c>
      <c r="W16" s="90">
        <f ca="1">PLANTILLA!AI5</f>
        <v>9.6723780148827352</v>
      </c>
    </row>
    <row r="17" spans="1:23" x14ac:dyDescent="0.25">
      <c r="A17" s="483">
        <v>43990</v>
      </c>
      <c r="B17" s="461">
        <v>662376951</v>
      </c>
      <c r="C17" s="461">
        <v>13</v>
      </c>
      <c r="D17" s="461">
        <v>8</v>
      </c>
      <c r="E17" s="461">
        <v>3</v>
      </c>
      <c r="F17" s="461">
        <v>0</v>
      </c>
      <c r="G17" s="461">
        <v>0</v>
      </c>
      <c r="H17" s="461">
        <v>2</v>
      </c>
      <c r="I17" s="461">
        <v>1</v>
      </c>
      <c r="J17" s="461">
        <v>0</v>
      </c>
      <c r="L17" s="483">
        <v>43979</v>
      </c>
      <c r="M17" s="461" t="s">
        <v>167</v>
      </c>
      <c r="N17" s="461">
        <v>0</v>
      </c>
      <c r="O17" s="461">
        <v>1</v>
      </c>
      <c r="Q17" s="491" t="s">
        <v>184</v>
      </c>
      <c r="R17" s="492">
        <v>3</v>
      </c>
      <c r="S17" s="493">
        <v>1</v>
      </c>
      <c r="T17" s="494">
        <v>0.75</v>
      </c>
      <c r="U17" s="153">
        <f t="shared" ref="U17:U30" si="1">VLOOKUP(Q17,$V$15:$W$36,2,FALSE)</f>
        <v>16.090883148430191</v>
      </c>
      <c r="V17" s="458" t="str">
        <f>PLANTILLA!D6</f>
        <v>E. Toney</v>
      </c>
      <c r="W17" s="90">
        <f>PLANTILLA!AI6</f>
        <v>5.1096271412103249</v>
      </c>
    </row>
    <row r="18" spans="1:23" x14ac:dyDescent="0.25">
      <c r="A18" s="483">
        <v>43997</v>
      </c>
      <c r="B18" s="461">
        <v>662376954</v>
      </c>
      <c r="C18" s="461">
        <v>13</v>
      </c>
      <c r="D18" s="461">
        <v>4</v>
      </c>
      <c r="E18" s="461">
        <v>1</v>
      </c>
      <c r="F18" s="461">
        <v>0</v>
      </c>
      <c r="G18" s="461">
        <v>0</v>
      </c>
      <c r="H18" s="461">
        <v>0</v>
      </c>
      <c r="I18" s="461">
        <v>1</v>
      </c>
      <c r="J18" s="461">
        <v>0</v>
      </c>
      <c r="L18" s="483">
        <v>43979</v>
      </c>
      <c r="M18" s="461" t="s">
        <v>163</v>
      </c>
      <c r="N18" s="461">
        <v>0</v>
      </c>
      <c r="O18" s="461">
        <v>1</v>
      </c>
      <c r="Q18" s="491" t="s">
        <v>177</v>
      </c>
      <c r="R18" s="492">
        <v>8</v>
      </c>
      <c r="S18" s="493">
        <v>3</v>
      </c>
      <c r="T18" s="494">
        <v>0.72727272727272729</v>
      </c>
      <c r="U18" s="153">
        <f t="shared" ca="1" si="1"/>
        <v>15.550139302971395</v>
      </c>
      <c r="V18" s="458" t="str">
        <f>PLANTILLA!D7</f>
        <v>F. Lasprilla</v>
      </c>
      <c r="W18" s="90">
        <f>PLANTILLA!AI7</f>
        <v>5.0205406518896529</v>
      </c>
    </row>
    <row r="19" spans="1:23" x14ac:dyDescent="0.25">
      <c r="A19" s="483">
        <v>44000</v>
      </c>
      <c r="B19" s="461">
        <v>662839612</v>
      </c>
      <c r="C19" s="461">
        <v>14</v>
      </c>
      <c r="D19" s="461">
        <v>3</v>
      </c>
      <c r="E19" s="461">
        <v>1</v>
      </c>
      <c r="F19" s="461">
        <v>0</v>
      </c>
      <c r="G19" s="461">
        <v>0</v>
      </c>
      <c r="H19" s="461">
        <v>0</v>
      </c>
      <c r="I19" s="461">
        <v>1</v>
      </c>
      <c r="J19" s="461">
        <v>0</v>
      </c>
      <c r="L19" s="483">
        <v>43979</v>
      </c>
      <c r="M19" s="461" t="s">
        <v>169</v>
      </c>
      <c r="N19" s="461">
        <v>1</v>
      </c>
      <c r="O19" s="461">
        <v>1</v>
      </c>
      <c r="Q19" s="491" t="s">
        <v>171</v>
      </c>
      <c r="R19" s="492">
        <v>7</v>
      </c>
      <c r="S19" s="493">
        <v>3</v>
      </c>
      <c r="T19" s="494">
        <v>0.7</v>
      </c>
      <c r="U19" s="153">
        <f t="shared" ca="1" si="1"/>
        <v>19.369799327159832</v>
      </c>
      <c r="V19" s="458" t="str">
        <f>PLANTILLA!D8</f>
        <v>L. Tutorić</v>
      </c>
      <c r="W19" s="90">
        <f ca="1">PLANTILLA!AI8</f>
        <v>15.727584702408631</v>
      </c>
    </row>
    <row r="20" spans="1:23" x14ac:dyDescent="0.25">
      <c r="A20" s="483">
        <v>44004</v>
      </c>
      <c r="B20" s="461">
        <v>662376959</v>
      </c>
      <c r="C20" s="461">
        <v>14</v>
      </c>
      <c r="D20" s="461">
        <v>10</v>
      </c>
      <c r="E20" s="461">
        <v>3</v>
      </c>
      <c r="F20" s="461">
        <v>0</v>
      </c>
      <c r="G20" s="461">
        <v>0</v>
      </c>
      <c r="H20" s="461">
        <v>1</v>
      </c>
      <c r="I20" s="461">
        <v>1</v>
      </c>
      <c r="J20" s="461">
        <v>1</v>
      </c>
      <c r="L20" s="483">
        <v>43982</v>
      </c>
      <c r="M20" s="461" t="s">
        <v>171</v>
      </c>
      <c r="N20" s="461">
        <v>1</v>
      </c>
      <c r="O20" s="461">
        <v>0</v>
      </c>
      <c r="Q20" s="491" t="s">
        <v>160</v>
      </c>
      <c r="R20" s="492">
        <v>3</v>
      </c>
      <c r="S20" s="493">
        <v>2</v>
      </c>
      <c r="T20" s="494">
        <v>0.6</v>
      </c>
      <c r="U20" s="153">
        <f t="shared" ca="1" si="1"/>
        <v>13.117924540504331</v>
      </c>
      <c r="V20" s="458" t="str">
        <f>PLANTILLA!D9</f>
        <v>S. Swärdborn</v>
      </c>
      <c r="W20" s="90">
        <f ca="1">PLANTILLA!AI9</f>
        <v>14.955204290599786</v>
      </c>
    </row>
    <row r="21" spans="1:23" x14ac:dyDescent="0.25">
      <c r="A21" s="483">
        <v>44005</v>
      </c>
      <c r="B21" s="461">
        <v>18799271</v>
      </c>
      <c r="C21" s="461">
        <v>15</v>
      </c>
      <c r="D21" s="461">
        <v>6</v>
      </c>
      <c r="E21" s="461">
        <v>1</v>
      </c>
      <c r="F21" s="461">
        <v>0</v>
      </c>
      <c r="G21" s="461">
        <v>0</v>
      </c>
      <c r="H21" s="461">
        <v>0</v>
      </c>
      <c r="I21" s="461">
        <v>0</v>
      </c>
      <c r="J21" s="461">
        <v>1</v>
      </c>
      <c r="L21" s="483">
        <v>43990</v>
      </c>
      <c r="M21" s="461" t="s">
        <v>182</v>
      </c>
      <c r="N21" s="461">
        <v>0</v>
      </c>
      <c r="O21" s="461">
        <v>1</v>
      </c>
      <c r="Q21" s="491" t="s">
        <v>167</v>
      </c>
      <c r="R21" s="492">
        <v>3</v>
      </c>
      <c r="S21" s="493">
        <v>2</v>
      </c>
      <c r="T21" s="494">
        <v>0.6</v>
      </c>
      <c r="U21" s="153">
        <f t="shared" ca="1" si="1"/>
        <v>12.242992000731345</v>
      </c>
      <c r="V21" s="458" t="str">
        <f>PLANTILLA!D10</f>
        <v>A. Grimaud</v>
      </c>
      <c r="W21" s="90">
        <f ca="1">PLANTILLA!AI10</f>
        <v>13.117924540504331</v>
      </c>
    </row>
    <row r="22" spans="1:23" x14ac:dyDescent="0.25">
      <c r="A22" s="483">
        <v>44007</v>
      </c>
      <c r="B22" s="461">
        <v>18799286</v>
      </c>
      <c r="C22" s="461">
        <v>14</v>
      </c>
      <c r="D22" s="461">
        <v>7</v>
      </c>
      <c r="E22" s="461">
        <v>3</v>
      </c>
      <c r="F22" s="461">
        <v>0</v>
      </c>
      <c r="G22" s="461">
        <v>0</v>
      </c>
      <c r="H22" s="461">
        <v>0</v>
      </c>
      <c r="I22" s="461">
        <v>3</v>
      </c>
      <c r="J22" s="461">
        <v>0</v>
      </c>
      <c r="L22" s="483">
        <v>43990</v>
      </c>
      <c r="M22" s="461" t="s">
        <v>177</v>
      </c>
      <c r="N22" s="461">
        <v>0</v>
      </c>
      <c r="O22" s="461">
        <v>1</v>
      </c>
      <c r="Q22" s="491" t="s">
        <v>182</v>
      </c>
      <c r="R22" s="492">
        <v>9</v>
      </c>
      <c r="S22" s="493">
        <v>7</v>
      </c>
      <c r="T22" s="494">
        <v>0.5625</v>
      </c>
      <c r="U22" s="153">
        <f t="shared" ca="1" si="1"/>
        <v>17.641126373873835</v>
      </c>
      <c r="V22" s="458" t="str">
        <f>PLANTILLA!D11</f>
        <v>V. Gardner</v>
      </c>
      <c r="W22" s="90">
        <f ca="1">PLANTILLA!AI11</f>
        <v>15.155627219035834</v>
      </c>
    </row>
    <row r="23" spans="1:23" x14ac:dyDescent="0.25">
      <c r="A23" s="483">
        <v>44010</v>
      </c>
      <c r="B23" s="461">
        <v>18799288</v>
      </c>
      <c r="C23" s="461">
        <v>15</v>
      </c>
      <c r="D23" s="461">
        <v>6</v>
      </c>
      <c r="E23" s="461">
        <v>2</v>
      </c>
      <c r="F23" s="461">
        <v>1</v>
      </c>
      <c r="G23" s="461">
        <v>0</v>
      </c>
      <c r="H23" s="461">
        <v>1</v>
      </c>
      <c r="I23" s="461">
        <v>0</v>
      </c>
      <c r="J23" s="461">
        <v>0</v>
      </c>
      <c r="L23" s="483">
        <v>43990</v>
      </c>
      <c r="M23" s="461" t="s">
        <v>171</v>
      </c>
      <c r="N23" s="461">
        <v>0</v>
      </c>
      <c r="O23" s="461">
        <v>1</v>
      </c>
      <c r="Q23" s="491" t="s">
        <v>169</v>
      </c>
      <c r="R23" s="492">
        <v>5</v>
      </c>
      <c r="S23" s="493">
        <v>4</v>
      </c>
      <c r="T23" s="494">
        <v>0.55555555555555558</v>
      </c>
      <c r="U23" s="153">
        <f t="shared" ca="1" si="1"/>
        <v>16.588756319162293</v>
      </c>
      <c r="V23" s="458" t="str">
        <f>PLANTILLA!D12</f>
        <v>S. Embe</v>
      </c>
      <c r="W23" s="90">
        <f ca="1">PLANTILLA!AI12</f>
        <v>13.926831555464554</v>
      </c>
    </row>
    <row r="24" spans="1:23" x14ac:dyDescent="0.25">
      <c r="A24" s="483">
        <v>44011</v>
      </c>
      <c r="B24" s="461">
        <v>662376963</v>
      </c>
      <c r="C24" s="461">
        <v>15</v>
      </c>
      <c r="D24" s="461">
        <v>4</v>
      </c>
      <c r="E24" s="461">
        <v>0</v>
      </c>
      <c r="F24" s="461">
        <v>0</v>
      </c>
      <c r="G24" s="461">
        <v>0</v>
      </c>
      <c r="H24" s="461">
        <v>0</v>
      </c>
      <c r="I24" s="461">
        <v>0</v>
      </c>
      <c r="J24" s="461">
        <v>0</v>
      </c>
      <c r="L24" s="483">
        <v>43997</v>
      </c>
      <c r="M24" s="461" t="s">
        <v>169</v>
      </c>
      <c r="N24" s="461">
        <v>1</v>
      </c>
      <c r="O24" s="461">
        <v>0</v>
      </c>
      <c r="Q24" s="491" t="s">
        <v>173</v>
      </c>
      <c r="R24" s="492">
        <v>2</v>
      </c>
      <c r="S24" s="493">
        <v>2</v>
      </c>
      <c r="T24" s="494">
        <v>0.5</v>
      </c>
      <c r="U24" s="153">
        <f t="shared" ca="1" si="1"/>
        <v>18.763781688050578</v>
      </c>
      <c r="V24" s="458" t="str">
        <f>PLANTILLA!D13</f>
        <v>E. Deus</v>
      </c>
      <c r="W24" s="90">
        <f ca="1">PLANTILLA!AI13</f>
        <v>12.242992000731345</v>
      </c>
    </row>
    <row r="25" spans="1:23" x14ac:dyDescent="0.25">
      <c r="A25" s="483">
        <v>44012</v>
      </c>
      <c r="B25" s="461">
        <v>18799301</v>
      </c>
      <c r="C25" s="461">
        <v>15</v>
      </c>
      <c r="D25" s="461">
        <v>7</v>
      </c>
      <c r="E25" s="461">
        <v>3</v>
      </c>
      <c r="F25" s="461">
        <v>0</v>
      </c>
      <c r="G25" s="461">
        <v>0</v>
      </c>
      <c r="H25" s="461">
        <v>3</v>
      </c>
      <c r="I25" s="461">
        <v>0</v>
      </c>
      <c r="J25" s="461">
        <v>0</v>
      </c>
      <c r="L25" s="483">
        <v>44000</v>
      </c>
      <c r="M25" s="461" t="s">
        <v>175</v>
      </c>
      <c r="N25" s="461">
        <v>0</v>
      </c>
      <c r="O25" s="461">
        <v>1</v>
      </c>
      <c r="Q25" s="491" t="s">
        <v>179</v>
      </c>
      <c r="R25" s="492">
        <v>2</v>
      </c>
      <c r="S25" s="493">
        <v>2</v>
      </c>
      <c r="T25" s="494">
        <v>0.5</v>
      </c>
      <c r="U25" s="153">
        <f t="shared" ca="1" si="1"/>
        <v>13.437218729026977</v>
      </c>
      <c r="V25" s="458" t="str">
        <f>PLANTILLA!D14</f>
        <v>I. Vanags</v>
      </c>
      <c r="W25" s="90">
        <f ca="1">PLANTILLA!AI14</f>
        <v>16.588756319162293</v>
      </c>
    </row>
    <row r="26" spans="1:23" x14ac:dyDescent="0.25">
      <c r="A26" s="483">
        <v>44014</v>
      </c>
      <c r="B26" s="461">
        <v>663085087</v>
      </c>
      <c r="C26" s="461">
        <v>15</v>
      </c>
      <c r="D26" s="461">
        <v>10</v>
      </c>
      <c r="E26" s="461">
        <v>4</v>
      </c>
      <c r="F26" s="461">
        <v>1</v>
      </c>
      <c r="G26" s="461">
        <v>2</v>
      </c>
      <c r="H26" s="461">
        <v>1</v>
      </c>
      <c r="I26" s="461">
        <v>0</v>
      </c>
      <c r="J26" s="461">
        <v>0</v>
      </c>
      <c r="L26" s="483">
        <v>44004</v>
      </c>
      <c r="M26" s="461" t="s">
        <v>179</v>
      </c>
      <c r="N26" s="461">
        <v>1</v>
      </c>
      <c r="O26" s="461">
        <v>0</v>
      </c>
      <c r="Q26" s="491" t="s">
        <v>175</v>
      </c>
      <c r="R26" s="492">
        <v>6</v>
      </c>
      <c r="S26" s="493">
        <v>8</v>
      </c>
      <c r="T26" s="494">
        <v>0.42857142857142855</v>
      </c>
      <c r="U26" s="153">
        <f t="shared" ca="1" si="1"/>
        <v>17.087299096156986</v>
      </c>
      <c r="V26" s="458" t="str">
        <f>PLANTILLA!D15</f>
        <v>I. Stone</v>
      </c>
      <c r="W26" s="90">
        <f ca="1">PLANTILLA!AI15</f>
        <v>19.369799327159832</v>
      </c>
    </row>
    <row r="27" spans="1:23" x14ac:dyDescent="0.25">
      <c r="A27" s="483">
        <v>44014</v>
      </c>
      <c r="B27" s="461">
        <v>18799305</v>
      </c>
      <c r="C27" s="461">
        <v>14</v>
      </c>
      <c r="D27" s="461">
        <v>8</v>
      </c>
      <c r="E27" s="461">
        <v>2</v>
      </c>
      <c r="F27" s="461">
        <v>0</v>
      </c>
      <c r="G27" s="461">
        <v>0</v>
      </c>
      <c r="H27" s="461">
        <v>0</v>
      </c>
      <c r="I27" s="461">
        <v>1</v>
      </c>
      <c r="J27" s="461">
        <v>1</v>
      </c>
      <c r="L27" s="483">
        <v>44004</v>
      </c>
      <c r="M27" s="461" t="s">
        <v>184</v>
      </c>
      <c r="N27" s="461">
        <v>1</v>
      </c>
      <c r="O27" s="461">
        <v>0</v>
      </c>
      <c r="Q27" s="491" t="s">
        <v>158</v>
      </c>
      <c r="R27" s="492">
        <v>2</v>
      </c>
      <c r="S27" s="493">
        <v>3</v>
      </c>
      <c r="T27" s="494">
        <v>0.4</v>
      </c>
      <c r="U27" s="153">
        <f t="shared" ca="1" si="1"/>
        <v>14.955204290599786</v>
      </c>
      <c r="V27" s="458" t="str">
        <f>PLANTILLA!D16</f>
        <v>G. Piscaer</v>
      </c>
      <c r="W27" s="90">
        <f ca="1">PLANTILLA!AI16</f>
        <v>18.763781688050578</v>
      </c>
    </row>
    <row r="28" spans="1:23" x14ac:dyDescent="0.25">
      <c r="A28" s="483">
        <v>44017</v>
      </c>
      <c r="B28" s="461">
        <v>18799314</v>
      </c>
      <c r="C28" s="461">
        <v>15</v>
      </c>
      <c r="D28" s="461">
        <v>5</v>
      </c>
      <c r="E28" s="461">
        <v>1</v>
      </c>
      <c r="F28" s="461">
        <v>0</v>
      </c>
      <c r="G28" s="461">
        <v>0</v>
      </c>
      <c r="H28" s="461">
        <v>1</v>
      </c>
      <c r="I28" s="461">
        <v>0</v>
      </c>
      <c r="J28" s="461">
        <v>0</v>
      </c>
      <c r="L28" s="483">
        <v>44004</v>
      </c>
      <c r="M28" s="461" t="s">
        <v>169</v>
      </c>
      <c r="N28" s="461">
        <v>0</v>
      </c>
      <c r="O28" s="461">
        <v>1</v>
      </c>
      <c r="Q28" s="491" t="s">
        <v>163</v>
      </c>
      <c r="R28" s="492">
        <v>3</v>
      </c>
      <c r="S28" s="493">
        <v>5</v>
      </c>
      <c r="T28" s="494">
        <v>0.375</v>
      </c>
      <c r="U28" s="153">
        <f t="shared" ca="1" si="1"/>
        <v>15.155627219035834</v>
      </c>
      <c r="V28" s="458" t="str">
        <f>PLANTILLA!D17</f>
        <v>M. Bondarewski</v>
      </c>
      <c r="W28" s="90">
        <f ca="1">PLANTILLA!AI17</f>
        <v>17.087299096156986</v>
      </c>
    </row>
    <row r="29" spans="1:23" x14ac:dyDescent="0.25">
      <c r="A29" s="483">
        <v>44018</v>
      </c>
      <c r="B29" s="461">
        <v>662376969</v>
      </c>
      <c r="C29" s="461">
        <v>15</v>
      </c>
      <c r="D29" s="461">
        <v>8</v>
      </c>
      <c r="E29" s="461">
        <v>1</v>
      </c>
      <c r="F29" s="461">
        <v>0</v>
      </c>
      <c r="G29" s="461">
        <v>0</v>
      </c>
      <c r="H29" s="461">
        <v>0</v>
      </c>
      <c r="I29" s="461">
        <v>1</v>
      </c>
      <c r="J29" s="461">
        <v>0</v>
      </c>
      <c r="L29" s="483">
        <v>44005</v>
      </c>
      <c r="M29" s="461" t="s">
        <v>153</v>
      </c>
      <c r="N29" s="461">
        <v>0</v>
      </c>
      <c r="O29" s="461">
        <v>1</v>
      </c>
      <c r="Q29" s="491" t="s">
        <v>156</v>
      </c>
      <c r="R29" s="492">
        <v>1</v>
      </c>
      <c r="S29" s="493">
        <v>3</v>
      </c>
      <c r="T29" s="494">
        <v>0.25</v>
      </c>
      <c r="U29" s="153">
        <f t="shared" ca="1" si="1"/>
        <v>15.727584702408631</v>
      </c>
      <c r="V29" s="458" t="str">
        <f>PLANTILLA!D18</f>
        <v>P. Tuderek</v>
      </c>
      <c r="W29" s="90">
        <f ca="1">PLANTILLA!AI18</f>
        <v>15.550139302971395</v>
      </c>
    </row>
    <row r="30" spans="1:23" x14ac:dyDescent="0.25">
      <c r="A30" s="483">
        <v>44019</v>
      </c>
      <c r="B30" s="461">
        <v>18799322</v>
      </c>
      <c r="C30" s="461">
        <v>15</v>
      </c>
      <c r="D30" s="461">
        <v>10</v>
      </c>
      <c r="E30" s="461">
        <v>3</v>
      </c>
      <c r="F30" s="461">
        <v>1</v>
      </c>
      <c r="G30" s="461">
        <v>0</v>
      </c>
      <c r="H30" s="461">
        <v>1</v>
      </c>
      <c r="I30" s="461">
        <v>1</v>
      </c>
      <c r="J30" s="461">
        <v>0</v>
      </c>
      <c r="L30" s="483">
        <v>44007</v>
      </c>
      <c r="M30" s="461" t="s">
        <v>175</v>
      </c>
      <c r="N30" s="461">
        <v>2</v>
      </c>
      <c r="O30" s="461">
        <v>0</v>
      </c>
      <c r="Q30" s="491" t="s">
        <v>186</v>
      </c>
      <c r="R30" s="492">
        <v>0</v>
      </c>
      <c r="S30" s="493">
        <v>1</v>
      </c>
      <c r="T30" s="494">
        <v>0</v>
      </c>
      <c r="U30" s="153">
        <f t="shared" si="1"/>
        <v>12.781567658136929</v>
      </c>
      <c r="V30" s="458" t="str">
        <f>PLANTILLA!D19</f>
        <v>R. Forsyth</v>
      </c>
      <c r="W30" s="90">
        <f ca="1">PLANTILLA!AI19</f>
        <v>13.437218729026977</v>
      </c>
    </row>
    <row r="31" spans="1:23" x14ac:dyDescent="0.25">
      <c r="A31" s="483">
        <v>44021</v>
      </c>
      <c r="B31" s="461">
        <v>663163558</v>
      </c>
      <c r="C31" s="461">
        <v>14</v>
      </c>
      <c r="D31" s="461">
        <v>8</v>
      </c>
      <c r="E31" s="461">
        <v>3</v>
      </c>
      <c r="F31" s="461">
        <v>1</v>
      </c>
      <c r="G31" s="461">
        <v>1</v>
      </c>
      <c r="H31" s="461">
        <v>1</v>
      </c>
      <c r="I31" s="461">
        <v>0</v>
      </c>
      <c r="J31" s="461">
        <v>0</v>
      </c>
      <c r="L31" s="483">
        <v>44007</v>
      </c>
      <c r="M31" s="461" t="s">
        <v>177</v>
      </c>
      <c r="N31" s="461">
        <v>1</v>
      </c>
      <c r="O31" s="461">
        <v>0</v>
      </c>
      <c r="Q31" s="491" t="s">
        <v>153</v>
      </c>
      <c r="R31" s="492">
        <v>0</v>
      </c>
      <c r="S31" s="493">
        <v>1</v>
      </c>
      <c r="T31" s="494">
        <v>0</v>
      </c>
      <c r="U31" s="153"/>
      <c r="V31" s="458" t="str">
        <f>PLANTILLA!D20</f>
        <v>S. Botam</v>
      </c>
      <c r="W31" s="90">
        <f ca="1">PLANTILLA!AI20</f>
        <v>18.890400863707313</v>
      </c>
    </row>
    <row r="32" spans="1:23" x14ac:dyDescent="0.25">
      <c r="A32" s="483">
        <v>44021</v>
      </c>
      <c r="B32" s="461">
        <v>18799331</v>
      </c>
      <c r="C32" s="461">
        <v>15</v>
      </c>
      <c r="D32" s="461">
        <v>10</v>
      </c>
      <c r="E32" s="461">
        <v>3</v>
      </c>
      <c r="F32" s="461">
        <v>1</v>
      </c>
      <c r="G32" s="461">
        <v>0</v>
      </c>
      <c r="H32" s="461">
        <v>1</v>
      </c>
      <c r="I32" s="461">
        <v>0</v>
      </c>
      <c r="J32" s="461">
        <v>1</v>
      </c>
      <c r="L32" s="483">
        <v>44010</v>
      </c>
      <c r="M32" s="461" t="s">
        <v>160</v>
      </c>
      <c r="N32" s="461">
        <v>1</v>
      </c>
      <c r="O32" s="461">
        <v>0</v>
      </c>
      <c r="Q32" s="500" t="s">
        <v>361</v>
      </c>
      <c r="R32" s="501">
        <v>58</v>
      </c>
      <c r="S32" s="502">
        <v>48</v>
      </c>
      <c r="T32" s="503">
        <v>0.54716981132075471</v>
      </c>
      <c r="V32" s="458" t="str">
        <f>PLANTILLA!D21</f>
        <v>J-P. Kechele</v>
      </c>
      <c r="W32" s="90">
        <f ca="1">PLANTILLA!AI21</f>
        <v>17.641126373873835</v>
      </c>
    </row>
    <row r="33" spans="1:23" x14ac:dyDescent="0.25">
      <c r="A33" s="483">
        <v>44024</v>
      </c>
      <c r="B33" s="461">
        <v>18799339</v>
      </c>
      <c r="C33" s="461">
        <v>15</v>
      </c>
      <c r="D33" s="461">
        <v>10</v>
      </c>
      <c r="E33" s="461">
        <v>2</v>
      </c>
      <c r="F33" s="461">
        <v>1</v>
      </c>
      <c r="G33" s="461">
        <v>0</v>
      </c>
      <c r="H33" s="461">
        <v>0</v>
      </c>
      <c r="I33" s="461">
        <v>1</v>
      </c>
      <c r="J33" s="461">
        <v>0</v>
      </c>
      <c r="L33" s="483">
        <v>44010</v>
      </c>
      <c r="M33" s="461" t="s">
        <v>175</v>
      </c>
      <c r="N33" s="461">
        <v>1</v>
      </c>
      <c r="O33" s="461">
        <v>0</v>
      </c>
      <c r="V33" s="458" t="str">
        <f>PLANTILLA!D22</f>
        <v>S. Zobbe</v>
      </c>
      <c r="W33" s="90">
        <f>PLANTILLA!AI22</f>
        <v>16.090883148430191</v>
      </c>
    </row>
    <row r="34" spans="1:23" x14ac:dyDescent="0.25">
      <c r="A34" s="483">
        <v>44025</v>
      </c>
      <c r="B34" s="461">
        <v>662376971</v>
      </c>
      <c r="C34" s="461">
        <v>15</v>
      </c>
      <c r="D34" s="461">
        <v>7</v>
      </c>
      <c r="E34" s="461">
        <v>4</v>
      </c>
      <c r="F34" s="461">
        <v>0</v>
      </c>
      <c r="G34" s="461">
        <v>0</v>
      </c>
      <c r="H34" s="461">
        <v>2</v>
      </c>
      <c r="I34" s="461">
        <v>2</v>
      </c>
      <c r="J34" s="461">
        <v>0</v>
      </c>
      <c r="L34" s="483">
        <v>44012</v>
      </c>
      <c r="M34" s="461" t="s">
        <v>175</v>
      </c>
      <c r="N34" s="461">
        <v>1</v>
      </c>
      <c r="O34" s="461">
        <v>0</v>
      </c>
      <c r="V34" s="458" t="str">
        <f>PLANTILLA!D23</f>
        <v>P .Trivadi</v>
      </c>
      <c r="W34" s="90">
        <f>PLANTILLA!AI23</f>
        <v>12.781567658136929</v>
      </c>
    </row>
    <row r="35" spans="1:23" x14ac:dyDescent="0.25">
      <c r="A35" s="483">
        <v>44026</v>
      </c>
      <c r="B35" s="461">
        <v>18799345</v>
      </c>
      <c r="C35" s="461">
        <v>15</v>
      </c>
      <c r="D35" s="461">
        <v>10</v>
      </c>
      <c r="E35" s="461">
        <v>2</v>
      </c>
      <c r="F35" s="461">
        <v>1</v>
      </c>
      <c r="G35" s="461">
        <v>0</v>
      </c>
      <c r="H35" s="461">
        <v>0</v>
      </c>
      <c r="I35" s="461">
        <v>1</v>
      </c>
      <c r="J35" s="461">
        <v>0</v>
      </c>
      <c r="L35" s="483">
        <v>44012</v>
      </c>
      <c r="M35" s="461" t="s">
        <v>182</v>
      </c>
      <c r="N35" s="461">
        <v>1</v>
      </c>
      <c r="O35" s="461">
        <v>0</v>
      </c>
      <c r="V35" s="458"/>
      <c r="W35" s="90"/>
    </row>
    <row r="36" spans="1:23" x14ac:dyDescent="0.25">
      <c r="A36" s="483">
        <v>44028</v>
      </c>
      <c r="B36" s="461">
        <v>663238565</v>
      </c>
      <c r="C36" s="461">
        <v>15</v>
      </c>
      <c r="D36" s="461">
        <v>9</v>
      </c>
      <c r="E36" s="461">
        <v>3</v>
      </c>
      <c r="F36" s="461">
        <v>0</v>
      </c>
      <c r="G36" s="461">
        <v>1</v>
      </c>
      <c r="H36" s="461">
        <v>1</v>
      </c>
      <c r="I36" s="461">
        <v>1</v>
      </c>
      <c r="J36" s="461">
        <v>0</v>
      </c>
      <c r="L36" s="483">
        <v>44012</v>
      </c>
      <c r="M36" s="461" t="s">
        <v>169</v>
      </c>
      <c r="N36" s="461">
        <v>0</v>
      </c>
      <c r="O36" s="461">
        <v>1</v>
      </c>
      <c r="V36" s="458"/>
      <c r="W36" s="90"/>
    </row>
    <row r="37" spans="1:23" x14ac:dyDescent="0.25">
      <c r="A37" s="483">
        <v>44028</v>
      </c>
      <c r="B37" s="461">
        <v>18799355</v>
      </c>
      <c r="C37" s="461">
        <v>16</v>
      </c>
      <c r="D37" s="461">
        <v>10</v>
      </c>
      <c r="E37" s="461">
        <v>2</v>
      </c>
      <c r="F37" s="461">
        <v>0</v>
      </c>
      <c r="G37" s="461">
        <v>0</v>
      </c>
      <c r="H37" s="461">
        <v>2</v>
      </c>
      <c r="I37" s="461">
        <v>0</v>
      </c>
      <c r="J37" s="461">
        <v>0</v>
      </c>
      <c r="L37" s="483">
        <v>44014</v>
      </c>
      <c r="M37" s="461" t="s">
        <v>167</v>
      </c>
      <c r="N37" s="461">
        <v>1</v>
      </c>
      <c r="O37" s="461">
        <v>0</v>
      </c>
    </row>
    <row r="38" spans="1:23" x14ac:dyDescent="0.25">
      <c r="A38" s="483">
        <v>44031</v>
      </c>
      <c r="B38" s="461">
        <v>18799359</v>
      </c>
      <c r="C38" s="461">
        <v>15</v>
      </c>
      <c r="D38" s="461">
        <v>7</v>
      </c>
      <c r="E38" s="461">
        <v>2</v>
      </c>
      <c r="F38" s="461">
        <v>2</v>
      </c>
      <c r="G38" s="461">
        <v>0</v>
      </c>
      <c r="H38" s="461">
        <v>0</v>
      </c>
      <c r="I38" s="461">
        <v>0</v>
      </c>
      <c r="J38" s="461">
        <v>0</v>
      </c>
      <c r="L38" s="483">
        <v>44014</v>
      </c>
      <c r="M38" s="461" t="s">
        <v>163</v>
      </c>
      <c r="N38" s="461">
        <v>0</v>
      </c>
      <c r="O38" s="461">
        <v>1</v>
      </c>
    </row>
    <row r="39" spans="1:23" x14ac:dyDescent="0.25">
      <c r="A39" s="483">
        <v>44033</v>
      </c>
      <c r="B39" s="461">
        <v>18799373</v>
      </c>
      <c r="C39" s="461">
        <v>15</v>
      </c>
      <c r="D39" s="461">
        <v>10</v>
      </c>
      <c r="E39" s="461">
        <v>4</v>
      </c>
      <c r="F39" s="461">
        <v>2</v>
      </c>
      <c r="G39" s="461">
        <v>1</v>
      </c>
      <c r="H39" s="461">
        <v>0</v>
      </c>
      <c r="I39" s="461">
        <v>1</v>
      </c>
      <c r="J39" s="461">
        <v>0</v>
      </c>
      <c r="L39" s="483">
        <v>44014</v>
      </c>
      <c r="M39" s="461" t="s">
        <v>182</v>
      </c>
      <c r="N39" s="461">
        <v>0</v>
      </c>
      <c r="O39" s="461">
        <v>1</v>
      </c>
    </row>
    <row r="40" spans="1:23" x14ac:dyDescent="0.25">
      <c r="A40" s="483">
        <v>44035</v>
      </c>
      <c r="B40" s="461">
        <v>663312307</v>
      </c>
      <c r="C40" s="461">
        <v>15</v>
      </c>
      <c r="D40" s="461">
        <v>7</v>
      </c>
      <c r="E40" s="461">
        <v>2</v>
      </c>
      <c r="F40" s="461">
        <v>0</v>
      </c>
      <c r="G40" s="461">
        <v>0</v>
      </c>
      <c r="H40" s="461">
        <v>1</v>
      </c>
      <c r="I40" s="461">
        <v>1</v>
      </c>
      <c r="J40" s="461">
        <v>0</v>
      </c>
      <c r="L40" s="483">
        <v>44014</v>
      </c>
      <c r="M40" s="461" t="s">
        <v>184</v>
      </c>
      <c r="N40" s="461">
        <v>1</v>
      </c>
      <c r="O40" s="461">
        <v>0</v>
      </c>
    </row>
    <row r="41" spans="1:23" x14ac:dyDescent="0.25">
      <c r="A41" s="483">
        <v>44035</v>
      </c>
      <c r="B41" s="461">
        <v>18799375</v>
      </c>
      <c r="C41" s="461">
        <v>16</v>
      </c>
      <c r="D41" s="461">
        <v>6</v>
      </c>
      <c r="E41" s="461">
        <v>1</v>
      </c>
      <c r="F41" s="461">
        <v>0</v>
      </c>
      <c r="G41" s="461">
        <v>0</v>
      </c>
      <c r="H41" s="461">
        <v>0</v>
      </c>
      <c r="I41" s="461">
        <v>0</v>
      </c>
      <c r="J41" s="461">
        <v>1</v>
      </c>
      <c r="L41" s="483">
        <v>44014</v>
      </c>
      <c r="M41" s="461" t="s">
        <v>158</v>
      </c>
      <c r="N41" s="461">
        <v>1</v>
      </c>
      <c r="O41" s="461">
        <v>0</v>
      </c>
    </row>
    <row r="42" spans="1:23" x14ac:dyDescent="0.25">
      <c r="A42" s="483">
        <v>44038</v>
      </c>
      <c r="B42" s="461">
        <v>18799390</v>
      </c>
      <c r="C42" s="461">
        <v>16</v>
      </c>
      <c r="D42" s="461">
        <v>7</v>
      </c>
      <c r="E42" s="461">
        <v>2</v>
      </c>
      <c r="F42" s="461">
        <v>1</v>
      </c>
      <c r="G42" s="461">
        <v>0</v>
      </c>
      <c r="H42" s="461">
        <v>1</v>
      </c>
      <c r="I42" s="461">
        <v>0</v>
      </c>
      <c r="J42" s="461">
        <v>0</v>
      </c>
      <c r="L42" s="483">
        <v>44014</v>
      </c>
      <c r="M42" s="461" t="s">
        <v>169</v>
      </c>
      <c r="N42" s="461">
        <v>0</v>
      </c>
      <c r="O42" s="461">
        <v>1</v>
      </c>
    </row>
    <row r="43" spans="1:23" x14ac:dyDescent="0.25">
      <c r="A43" s="483">
        <v>44040</v>
      </c>
      <c r="B43" s="461">
        <v>18799400</v>
      </c>
      <c r="C43" s="461">
        <v>15</v>
      </c>
      <c r="D43" s="461">
        <v>5</v>
      </c>
      <c r="E43" s="461">
        <v>1</v>
      </c>
      <c r="F43" s="461">
        <v>0</v>
      </c>
      <c r="G43" s="461">
        <v>1</v>
      </c>
      <c r="H43" s="461">
        <v>0</v>
      </c>
      <c r="I43" s="461">
        <v>0</v>
      </c>
      <c r="J43" s="461">
        <v>0</v>
      </c>
      <c r="L43" s="483">
        <v>44017</v>
      </c>
      <c r="M43" s="461" t="s">
        <v>179</v>
      </c>
      <c r="N43" s="461">
        <v>0</v>
      </c>
      <c r="O43" s="461">
        <v>1</v>
      </c>
    </row>
    <row r="44" spans="1:23" x14ac:dyDescent="0.25">
      <c r="A44" s="483">
        <v>44042</v>
      </c>
      <c r="B44" s="461">
        <v>663388126</v>
      </c>
      <c r="C44" s="461">
        <v>16</v>
      </c>
      <c r="D44" s="461">
        <v>8</v>
      </c>
      <c r="E44" s="461">
        <v>2</v>
      </c>
      <c r="F44" s="461">
        <v>0</v>
      </c>
      <c r="G44" s="461">
        <v>0</v>
      </c>
      <c r="H44" s="461">
        <v>2</v>
      </c>
      <c r="I44" s="461">
        <v>0</v>
      </c>
      <c r="J44" s="461">
        <v>0</v>
      </c>
      <c r="L44" s="483">
        <v>44018</v>
      </c>
      <c r="M44" s="461" t="s">
        <v>182</v>
      </c>
      <c r="N44" s="461">
        <v>1</v>
      </c>
      <c r="O44" s="461">
        <v>0</v>
      </c>
    </row>
    <row r="45" spans="1:23" x14ac:dyDescent="0.25">
      <c r="A45" s="483">
        <v>44042</v>
      </c>
      <c r="B45" s="461">
        <v>18799398</v>
      </c>
      <c r="C45" s="461">
        <v>16</v>
      </c>
      <c r="D45" s="461">
        <v>7</v>
      </c>
      <c r="E45" s="461">
        <v>2</v>
      </c>
      <c r="F45" s="461">
        <v>0</v>
      </c>
      <c r="G45" s="461">
        <v>0</v>
      </c>
      <c r="H45" s="461">
        <v>1</v>
      </c>
      <c r="I45" s="461">
        <v>1</v>
      </c>
      <c r="J45" s="461">
        <v>0</v>
      </c>
      <c r="L45" s="483">
        <v>44019</v>
      </c>
      <c r="M45" s="461" t="s">
        <v>182</v>
      </c>
      <c r="N45" s="461">
        <v>1</v>
      </c>
      <c r="O45" s="461">
        <v>0</v>
      </c>
    </row>
    <row r="46" spans="1:23" x14ac:dyDescent="0.25">
      <c r="A46" s="483">
        <v>44047</v>
      </c>
      <c r="B46" s="461">
        <v>18799416</v>
      </c>
      <c r="C46" s="461">
        <v>16</v>
      </c>
      <c r="D46" s="461">
        <v>8</v>
      </c>
      <c r="E46" s="461">
        <v>3</v>
      </c>
      <c r="F46" s="461">
        <v>1</v>
      </c>
      <c r="G46" s="461">
        <v>0</v>
      </c>
      <c r="H46" s="461">
        <v>1</v>
      </c>
      <c r="I46" s="461">
        <v>1</v>
      </c>
      <c r="J46" s="461">
        <v>0</v>
      </c>
      <c r="L46" s="483">
        <v>44019</v>
      </c>
      <c r="M46" s="461" t="s">
        <v>156</v>
      </c>
      <c r="N46" s="461">
        <v>0</v>
      </c>
      <c r="O46" s="461">
        <v>1</v>
      </c>
    </row>
    <row r="47" spans="1:23" x14ac:dyDescent="0.25">
      <c r="A47" s="483">
        <v>44049</v>
      </c>
      <c r="B47" s="461">
        <v>663465755</v>
      </c>
      <c r="C47" s="461">
        <v>16</v>
      </c>
      <c r="D47" s="461">
        <v>8</v>
      </c>
      <c r="E47" s="461">
        <v>2</v>
      </c>
      <c r="F47" s="461">
        <v>0</v>
      </c>
      <c r="G47" s="461">
        <v>1</v>
      </c>
      <c r="H47" s="461">
        <v>0</v>
      </c>
      <c r="I47" s="461">
        <v>1</v>
      </c>
      <c r="J47" s="461">
        <v>0</v>
      </c>
      <c r="L47" s="483">
        <v>44019</v>
      </c>
      <c r="M47" s="461" t="s">
        <v>169</v>
      </c>
      <c r="N47" s="461">
        <v>1</v>
      </c>
      <c r="O47" s="461">
        <v>0</v>
      </c>
    </row>
    <row r="48" spans="1:23" x14ac:dyDescent="0.25">
      <c r="A48" s="483">
        <v>44052</v>
      </c>
      <c r="B48" s="461">
        <v>18799434</v>
      </c>
      <c r="C48" s="461">
        <v>16</v>
      </c>
      <c r="D48" s="461">
        <v>9</v>
      </c>
      <c r="E48" s="461">
        <v>2</v>
      </c>
      <c r="F48" s="461">
        <v>0</v>
      </c>
      <c r="G48" s="461">
        <v>1</v>
      </c>
      <c r="H48" s="461">
        <v>1</v>
      </c>
      <c r="I48" s="461">
        <v>0</v>
      </c>
      <c r="J48" s="461">
        <v>0</v>
      </c>
      <c r="L48" s="483">
        <v>44021</v>
      </c>
      <c r="M48" s="461" t="s">
        <v>160</v>
      </c>
      <c r="N48" s="461">
        <v>0</v>
      </c>
      <c r="O48" s="461">
        <v>1</v>
      </c>
    </row>
    <row r="49" spans="1:15" x14ac:dyDescent="0.25">
      <c r="A49" s="483">
        <v>44053</v>
      </c>
      <c r="B49" s="461">
        <v>662376987</v>
      </c>
      <c r="C49" s="461">
        <v>16</v>
      </c>
      <c r="D49" s="461">
        <v>6</v>
      </c>
      <c r="E49" s="461">
        <v>2</v>
      </c>
      <c r="F49" s="461">
        <v>1</v>
      </c>
      <c r="G49" s="461">
        <v>0</v>
      </c>
      <c r="H49" s="461">
        <v>0</v>
      </c>
      <c r="I49" s="461">
        <v>1</v>
      </c>
      <c r="J49" s="461">
        <v>0</v>
      </c>
      <c r="L49" s="483">
        <v>44021</v>
      </c>
      <c r="M49" s="461" t="s">
        <v>163</v>
      </c>
      <c r="N49" s="461">
        <v>0</v>
      </c>
      <c r="O49" s="461">
        <v>1</v>
      </c>
    </row>
    <row r="50" spans="1:15" x14ac:dyDescent="0.25">
      <c r="A50" s="483">
        <v>44054</v>
      </c>
      <c r="B50" s="461">
        <v>18799443</v>
      </c>
      <c r="C50" s="461">
        <v>17</v>
      </c>
      <c r="D50" s="461">
        <v>10</v>
      </c>
      <c r="E50" s="461">
        <v>2</v>
      </c>
      <c r="F50" s="461">
        <v>0</v>
      </c>
      <c r="G50" s="461">
        <v>0</v>
      </c>
      <c r="H50" s="461">
        <v>1</v>
      </c>
      <c r="I50" s="461">
        <v>1</v>
      </c>
      <c r="J50" s="461">
        <v>0</v>
      </c>
      <c r="L50" s="483">
        <v>44021</v>
      </c>
      <c r="M50" s="461" t="s">
        <v>182</v>
      </c>
      <c r="N50" s="461">
        <v>1</v>
      </c>
      <c r="O50" s="461">
        <v>0</v>
      </c>
    </row>
    <row r="51" spans="1:15" x14ac:dyDescent="0.25">
      <c r="A51" s="483">
        <v>44056</v>
      </c>
      <c r="B51" s="461">
        <v>663544263</v>
      </c>
      <c r="C51" s="461">
        <v>17</v>
      </c>
      <c r="D51" s="461">
        <v>4</v>
      </c>
      <c r="E51" s="461">
        <v>0</v>
      </c>
      <c r="F51" s="461">
        <v>0</v>
      </c>
      <c r="G51" s="461">
        <v>0</v>
      </c>
      <c r="H51" s="461">
        <v>0</v>
      </c>
      <c r="I51" s="461">
        <v>0</v>
      </c>
      <c r="J51" s="461">
        <v>0</v>
      </c>
      <c r="L51" s="483">
        <v>44021</v>
      </c>
      <c r="M51" s="461" t="s">
        <v>173</v>
      </c>
      <c r="N51" s="461">
        <v>0</v>
      </c>
      <c r="O51" s="461">
        <v>1</v>
      </c>
    </row>
    <row r="52" spans="1:15" x14ac:dyDescent="0.25">
      <c r="A52" s="483">
        <v>44056</v>
      </c>
      <c r="B52" s="461">
        <v>18799451</v>
      </c>
      <c r="C52" s="461">
        <v>16</v>
      </c>
      <c r="D52" s="461">
        <v>9</v>
      </c>
      <c r="E52" s="461">
        <v>4</v>
      </c>
      <c r="F52" s="461">
        <v>0</v>
      </c>
      <c r="G52" s="461">
        <v>0</v>
      </c>
      <c r="H52" s="461">
        <v>2</v>
      </c>
      <c r="I52" s="461">
        <v>2</v>
      </c>
      <c r="J52" s="461">
        <v>0</v>
      </c>
      <c r="L52" s="483">
        <v>44021</v>
      </c>
      <c r="M52" s="461" t="s">
        <v>165</v>
      </c>
      <c r="N52" s="461">
        <v>1</v>
      </c>
      <c r="O52" s="461">
        <v>0</v>
      </c>
    </row>
    <row r="53" spans="1:15" x14ac:dyDescent="0.25">
      <c r="A53" s="483">
        <v>44059</v>
      </c>
      <c r="B53" s="461">
        <v>18799458</v>
      </c>
      <c r="C53" s="461">
        <v>16</v>
      </c>
      <c r="D53" s="461">
        <v>10</v>
      </c>
      <c r="E53" s="461">
        <v>4</v>
      </c>
      <c r="F53" s="461">
        <v>1</v>
      </c>
      <c r="G53" s="461">
        <v>1</v>
      </c>
      <c r="H53" s="461">
        <v>1</v>
      </c>
      <c r="I53" s="461">
        <v>1</v>
      </c>
      <c r="J53" s="461">
        <v>0</v>
      </c>
      <c r="L53" s="483">
        <v>44021</v>
      </c>
      <c r="M53" s="461" t="s">
        <v>171</v>
      </c>
      <c r="N53" s="461">
        <v>1</v>
      </c>
      <c r="O53" s="461">
        <v>0</v>
      </c>
    </row>
    <row r="54" spans="1:15" x14ac:dyDescent="0.25">
      <c r="L54" s="483">
        <v>44024</v>
      </c>
      <c r="M54" s="461" t="s">
        <v>163</v>
      </c>
      <c r="N54" s="461">
        <v>1</v>
      </c>
      <c r="O54" s="461">
        <v>0</v>
      </c>
    </row>
    <row r="55" spans="1:15" x14ac:dyDescent="0.25">
      <c r="L55" s="483">
        <v>44024</v>
      </c>
      <c r="M55" s="461" t="s">
        <v>171</v>
      </c>
      <c r="N55" s="461">
        <v>1</v>
      </c>
      <c r="O55" s="461">
        <v>0</v>
      </c>
    </row>
    <row r="56" spans="1:15" x14ac:dyDescent="0.25">
      <c r="L56" s="483">
        <v>44025</v>
      </c>
      <c r="M56" s="461" t="s">
        <v>175</v>
      </c>
      <c r="N56" s="461">
        <v>0</v>
      </c>
      <c r="O56" s="461">
        <v>1</v>
      </c>
    </row>
    <row r="57" spans="1:15" x14ac:dyDescent="0.25">
      <c r="L57" s="483">
        <v>44025</v>
      </c>
      <c r="M57" s="461" t="s">
        <v>177</v>
      </c>
      <c r="N57" s="461">
        <v>1</v>
      </c>
      <c r="O57" s="461">
        <v>0</v>
      </c>
    </row>
    <row r="58" spans="1:15" x14ac:dyDescent="0.25">
      <c r="L58" s="483">
        <v>44025</v>
      </c>
      <c r="M58" s="461" t="s">
        <v>173</v>
      </c>
      <c r="N58" s="461">
        <v>1</v>
      </c>
      <c r="O58" s="461">
        <v>0</v>
      </c>
    </row>
    <row r="59" spans="1:15" x14ac:dyDescent="0.25">
      <c r="L59" s="483">
        <v>44025</v>
      </c>
      <c r="M59" s="461" t="s">
        <v>169</v>
      </c>
      <c r="N59" s="461">
        <v>1</v>
      </c>
      <c r="O59" s="461">
        <v>0</v>
      </c>
    </row>
    <row r="60" spans="1:15" x14ac:dyDescent="0.25">
      <c r="L60" s="483">
        <v>44026</v>
      </c>
      <c r="M60" s="461" t="s">
        <v>163</v>
      </c>
      <c r="N60" s="461">
        <v>0</v>
      </c>
      <c r="O60" s="461">
        <v>1</v>
      </c>
    </row>
    <row r="61" spans="1:15" x14ac:dyDescent="0.25">
      <c r="L61" s="483">
        <v>44026</v>
      </c>
      <c r="M61" s="461" t="s">
        <v>171</v>
      </c>
      <c r="N61" s="461">
        <v>1</v>
      </c>
      <c r="O61" s="461">
        <v>0</v>
      </c>
    </row>
    <row r="62" spans="1:15" x14ac:dyDescent="0.25">
      <c r="L62" s="483">
        <v>44028</v>
      </c>
      <c r="M62" s="461" t="s">
        <v>182</v>
      </c>
      <c r="N62" s="461">
        <v>1</v>
      </c>
      <c r="O62" s="461">
        <v>2</v>
      </c>
    </row>
    <row r="63" spans="1:15" x14ac:dyDescent="0.25">
      <c r="L63" s="483">
        <v>44028</v>
      </c>
      <c r="M63" s="461" t="s">
        <v>177</v>
      </c>
      <c r="N63" s="461">
        <v>1</v>
      </c>
      <c r="O63" s="461">
        <v>0</v>
      </c>
    </row>
    <row r="64" spans="1:15" x14ac:dyDescent="0.25">
      <c r="L64" s="483">
        <v>44028</v>
      </c>
      <c r="M64" s="461" t="s">
        <v>158</v>
      </c>
      <c r="N64" s="461">
        <v>1</v>
      </c>
      <c r="O64" s="461">
        <v>0</v>
      </c>
    </row>
    <row r="65" spans="12:15" x14ac:dyDescent="0.25">
      <c r="L65" s="483">
        <v>44031</v>
      </c>
      <c r="M65" s="461" t="s">
        <v>163</v>
      </c>
      <c r="N65" s="461">
        <v>1</v>
      </c>
      <c r="O65" s="461">
        <v>0</v>
      </c>
    </row>
    <row r="66" spans="12:15" x14ac:dyDescent="0.25">
      <c r="L66" s="483">
        <v>44031</v>
      </c>
      <c r="M66" s="461" t="s">
        <v>165</v>
      </c>
      <c r="N66" s="461">
        <v>1</v>
      </c>
      <c r="O66" s="461">
        <v>0</v>
      </c>
    </row>
    <row r="67" spans="12:15" x14ac:dyDescent="0.25">
      <c r="L67" s="483">
        <v>44033</v>
      </c>
      <c r="M67" s="461" t="s">
        <v>160</v>
      </c>
      <c r="N67" s="461">
        <v>1</v>
      </c>
      <c r="O67" s="461">
        <v>0</v>
      </c>
    </row>
    <row r="68" spans="12:15" x14ac:dyDescent="0.25">
      <c r="L68" s="483">
        <v>44033</v>
      </c>
      <c r="M68" s="461" t="s">
        <v>179</v>
      </c>
      <c r="N68" s="461">
        <v>0</v>
      </c>
      <c r="O68" s="461">
        <v>1</v>
      </c>
    </row>
    <row r="69" spans="12:15" x14ac:dyDescent="0.25">
      <c r="L69" s="483">
        <v>44033</v>
      </c>
      <c r="M69" s="461" t="s">
        <v>165</v>
      </c>
      <c r="N69" s="461">
        <v>1</v>
      </c>
      <c r="O69" s="461">
        <v>1</v>
      </c>
    </row>
    <row r="70" spans="12:15" x14ac:dyDescent="0.25">
      <c r="L70" s="483">
        <v>44035</v>
      </c>
      <c r="M70" s="461" t="s">
        <v>182</v>
      </c>
      <c r="N70" s="461">
        <v>1</v>
      </c>
      <c r="O70" s="461">
        <v>0</v>
      </c>
    </row>
    <row r="71" spans="12:15" x14ac:dyDescent="0.25">
      <c r="L71" s="483">
        <v>44035</v>
      </c>
      <c r="M71" s="461" t="s">
        <v>177</v>
      </c>
      <c r="N71" s="461">
        <v>1</v>
      </c>
      <c r="O71" s="461">
        <v>0</v>
      </c>
    </row>
    <row r="72" spans="12:15" x14ac:dyDescent="0.25">
      <c r="L72" s="483">
        <v>44035</v>
      </c>
      <c r="M72" s="461" t="s">
        <v>173</v>
      </c>
      <c r="N72" s="461">
        <v>1</v>
      </c>
      <c r="O72" s="461">
        <v>0</v>
      </c>
    </row>
    <row r="73" spans="12:15" x14ac:dyDescent="0.25">
      <c r="L73" s="483">
        <v>44038</v>
      </c>
      <c r="M73" s="461" t="s">
        <v>175</v>
      </c>
      <c r="N73" s="461">
        <v>0</v>
      </c>
      <c r="O73" s="461">
        <v>1</v>
      </c>
    </row>
    <row r="74" spans="12:15" x14ac:dyDescent="0.25">
      <c r="L74" s="483">
        <v>44038</v>
      </c>
      <c r="M74" s="461" t="s">
        <v>163</v>
      </c>
      <c r="N74" s="461">
        <v>0</v>
      </c>
      <c r="O74" s="461">
        <v>1</v>
      </c>
    </row>
    <row r="75" spans="12:15" x14ac:dyDescent="0.25">
      <c r="L75" s="483">
        <v>44040</v>
      </c>
      <c r="M75" s="461" t="s">
        <v>156</v>
      </c>
      <c r="N75" s="461">
        <v>0</v>
      </c>
      <c r="O75" s="461">
        <v>1</v>
      </c>
    </row>
    <row r="76" spans="12:15" x14ac:dyDescent="0.25">
      <c r="L76" s="483">
        <v>44042</v>
      </c>
      <c r="M76" s="461" t="s">
        <v>175</v>
      </c>
      <c r="N76" s="461">
        <v>0</v>
      </c>
      <c r="O76" s="461">
        <v>1</v>
      </c>
    </row>
    <row r="77" spans="12:15" x14ac:dyDescent="0.25">
      <c r="L77" s="483">
        <v>44042</v>
      </c>
      <c r="M77" s="461" t="s">
        <v>182</v>
      </c>
      <c r="N77" s="461">
        <v>0</v>
      </c>
      <c r="O77" s="461">
        <v>2</v>
      </c>
    </row>
    <row r="78" spans="12:15" x14ac:dyDescent="0.25">
      <c r="L78" s="483">
        <v>44042</v>
      </c>
      <c r="M78" s="461" t="s">
        <v>171</v>
      </c>
      <c r="N78" s="461">
        <v>0</v>
      </c>
      <c r="O78" s="461">
        <v>1</v>
      </c>
    </row>
    <row r="79" spans="12:15" x14ac:dyDescent="0.25">
      <c r="L79" s="483">
        <v>44047</v>
      </c>
      <c r="M79" s="461" t="s">
        <v>163</v>
      </c>
      <c r="N79" s="461">
        <v>1</v>
      </c>
      <c r="O79" s="461">
        <v>0</v>
      </c>
    </row>
    <row r="80" spans="12:15" x14ac:dyDescent="0.25">
      <c r="L80" s="483">
        <v>44047</v>
      </c>
      <c r="M80" s="461" t="s">
        <v>182</v>
      </c>
      <c r="N80" s="461">
        <v>1</v>
      </c>
      <c r="O80" s="461">
        <v>0</v>
      </c>
    </row>
    <row r="81" spans="12:15" x14ac:dyDescent="0.25">
      <c r="L81" s="483">
        <v>44047</v>
      </c>
      <c r="M81" s="461" t="s">
        <v>177</v>
      </c>
      <c r="N81" s="461">
        <v>0</v>
      </c>
      <c r="O81" s="461">
        <v>1</v>
      </c>
    </row>
    <row r="82" spans="12:15" x14ac:dyDescent="0.25">
      <c r="L82" s="483">
        <v>44049</v>
      </c>
      <c r="M82" s="461" t="s">
        <v>171</v>
      </c>
      <c r="N82" s="461">
        <v>1</v>
      </c>
      <c r="O82" s="461">
        <v>0</v>
      </c>
    </row>
    <row r="83" spans="12:15" x14ac:dyDescent="0.25">
      <c r="L83" s="483">
        <v>44049</v>
      </c>
      <c r="M83" s="461" t="s">
        <v>156</v>
      </c>
      <c r="N83" s="461">
        <v>0</v>
      </c>
      <c r="O83" s="461">
        <v>1</v>
      </c>
    </row>
    <row r="84" spans="12:15" x14ac:dyDescent="0.25">
      <c r="L84" s="483">
        <v>44053</v>
      </c>
      <c r="M84" s="538" t="s">
        <v>173</v>
      </c>
      <c r="N84" s="461">
        <v>0</v>
      </c>
      <c r="O84" s="461">
        <v>1</v>
      </c>
    </row>
    <row r="85" spans="12:15" x14ac:dyDescent="0.25">
      <c r="L85" s="483">
        <v>44053</v>
      </c>
      <c r="M85" s="538" t="s">
        <v>158</v>
      </c>
      <c r="N85" s="461">
        <v>0</v>
      </c>
      <c r="O85" s="461">
        <v>1</v>
      </c>
    </row>
    <row r="86" spans="12:15" x14ac:dyDescent="0.25">
      <c r="L86" s="483">
        <v>44052</v>
      </c>
      <c r="M86" s="538" t="s">
        <v>156</v>
      </c>
      <c r="N86" s="461">
        <v>1</v>
      </c>
      <c r="O86" s="461">
        <v>0</v>
      </c>
    </row>
    <row r="87" spans="12:15" x14ac:dyDescent="0.25">
      <c r="L87" s="483">
        <v>44052</v>
      </c>
      <c r="M87" s="538" t="s">
        <v>182</v>
      </c>
      <c r="N87" s="461">
        <v>1</v>
      </c>
      <c r="O87" s="461">
        <v>0</v>
      </c>
    </row>
    <row r="88" spans="12:15" x14ac:dyDescent="0.25">
      <c r="L88" s="483">
        <v>44054</v>
      </c>
      <c r="M88" s="538" t="s">
        <v>171</v>
      </c>
      <c r="N88" s="461">
        <v>1</v>
      </c>
      <c r="O88" s="461">
        <v>0</v>
      </c>
    </row>
    <row r="89" spans="12:15" x14ac:dyDescent="0.25">
      <c r="L89" s="483">
        <v>44054</v>
      </c>
      <c r="M89" s="538" t="s">
        <v>175</v>
      </c>
      <c r="N89" s="461">
        <v>0</v>
      </c>
      <c r="O89" s="461">
        <v>1</v>
      </c>
    </row>
    <row r="90" spans="12:15" x14ac:dyDescent="0.25">
      <c r="L90" s="483">
        <v>44056</v>
      </c>
      <c r="M90" s="538" t="s">
        <v>171</v>
      </c>
      <c r="N90" s="538">
        <v>1</v>
      </c>
      <c r="O90" s="538">
        <v>0</v>
      </c>
    </row>
    <row r="91" spans="12:15" x14ac:dyDescent="0.25">
      <c r="L91" s="483">
        <v>44056</v>
      </c>
      <c r="M91" s="538" t="s">
        <v>177</v>
      </c>
      <c r="N91" s="538">
        <v>1</v>
      </c>
      <c r="O91" s="538">
        <v>0</v>
      </c>
    </row>
    <row r="92" spans="12:15" x14ac:dyDescent="0.25">
      <c r="L92" s="483">
        <v>44056</v>
      </c>
      <c r="M92" s="538" t="s">
        <v>182</v>
      </c>
      <c r="N92" s="461">
        <v>0</v>
      </c>
      <c r="O92" s="461">
        <v>1</v>
      </c>
    </row>
    <row r="93" spans="12:15" x14ac:dyDescent="0.25">
      <c r="L93" s="483">
        <v>44056</v>
      </c>
      <c r="M93" s="538" t="s">
        <v>169</v>
      </c>
      <c r="N93" s="538">
        <v>1</v>
      </c>
      <c r="O93" s="538">
        <v>0</v>
      </c>
    </row>
    <row r="94" spans="12:15" x14ac:dyDescent="0.25">
      <c r="L94" s="483">
        <v>44059</v>
      </c>
      <c r="M94" s="538" t="s">
        <v>177</v>
      </c>
      <c r="N94" s="538">
        <v>1</v>
      </c>
      <c r="O94" s="538">
        <v>0</v>
      </c>
    </row>
    <row r="95" spans="12:15" x14ac:dyDescent="0.25">
      <c r="L95" s="483">
        <v>44059</v>
      </c>
      <c r="M95" s="538" t="s">
        <v>182</v>
      </c>
      <c r="N95" s="538">
        <v>1</v>
      </c>
      <c r="O95" s="538">
        <v>0</v>
      </c>
    </row>
    <row r="96" spans="12:15" x14ac:dyDescent="0.25">
      <c r="L96" s="483">
        <v>44059</v>
      </c>
      <c r="M96" s="538" t="s">
        <v>160</v>
      </c>
      <c r="N96" s="538">
        <v>0</v>
      </c>
      <c r="O96" s="538">
        <v>1</v>
      </c>
    </row>
    <row r="97" spans="12:15" x14ac:dyDescent="0.25">
      <c r="L97" s="483">
        <v>44059</v>
      </c>
      <c r="M97" s="538" t="s">
        <v>179</v>
      </c>
      <c r="N97" s="538">
        <v>1</v>
      </c>
      <c r="O97" s="53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1" t="s">
        <v>495</v>
      </c>
      <c r="F1" s="102" t="s">
        <v>496</v>
      </c>
      <c r="G1" s="9"/>
      <c r="H1" s="9"/>
      <c r="I1" s="103" t="s">
        <v>495</v>
      </c>
      <c r="J1" s="104" t="s">
        <v>496</v>
      </c>
      <c r="P1" s="101" t="s">
        <v>495</v>
      </c>
      <c r="Q1" s="102" t="s">
        <v>496</v>
      </c>
      <c r="R1" s="101"/>
      <c r="S1" s="102"/>
      <c r="W1" s="101" t="s">
        <v>495</v>
      </c>
      <c r="X1" s="102" t="s">
        <v>496</v>
      </c>
      <c r="Y1" s="101"/>
      <c r="Z1" s="102"/>
    </row>
    <row r="2" spans="1:26" x14ac:dyDescent="0.25">
      <c r="A2" s="100" t="s">
        <v>87</v>
      </c>
      <c r="B2" s="100" t="s">
        <v>500</v>
      </c>
      <c r="C2" s="100" t="s">
        <v>501</v>
      </c>
      <c r="D2" s="100" t="s">
        <v>110</v>
      </c>
      <c r="E2" s="101" t="s">
        <v>92</v>
      </c>
      <c r="F2" s="102" t="s">
        <v>92</v>
      </c>
      <c r="G2" s="9" t="s">
        <v>91</v>
      </c>
      <c r="H2" s="9" t="s">
        <v>91</v>
      </c>
      <c r="I2" s="103" t="s">
        <v>268</v>
      </c>
      <c r="J2" s="104" t="s">
        <v>268</v>
      </c>
      <c r="P2" s="101" t="s">
        <v>92</v>
      </c>
      <c r="Q2" s="102" t="s">
        <v>92</v>
      </c>
      <c r="R2" s="101" t="s">
        <v>91</v>
      </c>
      <c r="S2" s="102" t="s">
        <v>91</v>
      </c>
      <c r="W2" s="101" t="s">
        <v>92</v>
      </c>
      <c r="X2" s="102" t="s">
        <v>92</v>
      </c>
      <c r="Y2" s="101" t="s">
        <v>91</v>
      </c>
      <c r="Z2" s="102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5">
        <f t="shared" ref="E3:E26" si="0">D3</f>
        <v>25.5</v>
      </c>
      <c r="F3" s="105">
        <f t="shared" ref="F3:F26" si="1">E3+0.1</f>
        <v>25.6</v>
      </c>
      <c r="G3" s="105">
        <f t="shared" ref="G3:G26" si="2">C3</f>
        <v>6</v>
      </c>
      <c r="H3" s="105">
        <f t="shared" ref="H3:H26" si="3">G3+0.99</f>
        <v>6.99</v>
      </c>
      <c r="I3" s="109">
        <f t="shared" ref="I3:I26" si="4">G3*G3*E3</f>
        <v>918</v>
      </c>
      <c r="J3" s="109">
        <f t="shared" ref="J3:J26" si="5">H3*H3*F3</f>
        <v>1250.8185600000002</v>
      </c>
      <c r="K3" s="106"/>
      <c r="N3" s="4" t="s">
        <v>268</v>
      </c>
      <c r="O3" t="str">
        <f>A3</f>
        <v>D. Gehmacher</v>
      </c>
      <c r="P3" s="107">
        <f>E3</f>
        <v>25.5</v>
      </c>
      <c r="Q3" s="107">
        <f>F3</f>
        <v>25.6</v>
      </c>
      <c r="R3" s="107">
        <f>G3</f>
        <v>6</v>
      </c>
      <c r="S3" s="107">
        <f>H3</f>
        <v>6.99</v>
      </c>
      <c r="U3" s="4" t="s">
        <v>268</v>
      </c>
      <c r="V3" s="53" t="str">
        <f t="shared" ref="V3:V13" si="6">O3</f>
        <v>D. Gehmacher</v>
      </c>
      <c r="W3" s="107">
        <f t="shared" ref="W3:W13" si="7">P3</f>
        <v>25.5</v>
      </c>
      <c r="X3" s="107">
        <f t="shared" ref="X3:X13" si="8">Q3</f>
        <v>25.6</v>
      </c>
      <c r="Y3" s="107">
        <f t="shared" ref="Y3:Y13" si="9">R3</f>
        <v>6</v>
      </c>
      <c r="Z3" s="107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23</v>
      </c>
      <c r="C4">
        <f>PLANTILLA!H5</f>
        <v>0</v>
      </c>
      <c r="D4" s="72">
        <f>PLANTILLA!I5</f>
        <v>3.5</v>
      </c>
      <c r="E4" s="105">
        <f t="shared" si="0"/>
        <v>3.5</v>
      </c>
      <c r="F4" s="105">
        <f t="shared" si="1"/>
        <v>3.6</v>
      </c>
      <c r="G4" s="105">
        <f t="shared" si="2"/>
        <v>0</v>
      </c>
      <c r="H4" s="105">
        <f t="shared" si="3"/>
        <v>0.99</v>
      </c>
      <c r="I4" s="109">
        <f t="shared" si="4"/>
        <v>0</v>
      </c>
      <c r="J4" s="109">
        <f t="shared" si="5"/>
        <v>3.5283600000000002</v>
      </c>
      <c r="K4" s="106"/>
      <c r="O4" t="e">
        <f>A7</f>
        <v>#REF!</v>
      </c>
      <c r="P4" s="107" t="e">
        <f>E7</f>
        <v>#REF!</v>
      </c>
      <c r="Q4" s="107" t="e">
        <f>F7</f>
        <v>#REF!</v>
      </c>
      <c r="R4" s="107" t="e">
        <f>G7</f>
        <v>#REF!</v>
      </c>
      <c r="S4" s="107" t="e">
        <f>H7</f>
        <v>#REF!</v>
      </c>
      <c r="V4" s="53" t="e">
        <f t="shared" si="6"/>
        <v>#REF!</v>
      </c>
      <c r="W4" s="107" t="e">
        <f t="shared" si="7"/>
        <v>#REF!</v>
      </c>
      <c r="X4" s="107" t="e">
        <f t="shared" si="8"/>
        <v>#REF!</v>
      </c>
      <c r="Y4" s="107" t="e">
        <f t="shared" si="9"/>
        <v>#REF!</v>
      </c>
      <c r="Z4" s="107" t="e">
        <f t="shared" si="10"/>
        <v>#REF!</v>
      </c>
    </row>
    <row r="5" spans="1:26" x14ac:dyDescent="0.25">
      <c r="A5" s="4" t="str">
        <f>PLANTILLA!D6</f>
        <v>E. Toney</v>
      </c>
      <c r="B5">
        <f>PLANTILLA!E6</f>
        <v>40</v>
      </c>
      <c r="C5">
        <f>PLANTILLA!H6</f>
        <v>4</v>
      </c>
      <c r="D5" s="72">
        <f>PLANTILLA!I6</f>
        <v>19.100000000000001</v>
      </c>
      <c r="E5" s="105">
        <f t="shared" si="0"/>
        <v>19.100000000000001</v>
      </c>
      <c r="F5" s="105">
        <f t="shared" si="1"/>
        <v>19.200000000000003</v>
      </c>
      <c r="G5" s="105">
        <f t="shared" si="2"/>
        <v>4</v>
      </c>
      <c r="H5" s="105">
        <f t="shared" si="3"/>
        <v>4.99</v>
      </c>
      <c r="I5" s="109">
        <f t="shared" si="4"/>
        <v>305.60000000000002</v>
      </c>
      <c r="J5" s="109">
        <f t="shared" si="5"/>
        <v>478.08192000000008</v>
      </c>
      <c r="K5" s="106"/>
      <c r="O5" t="str">
        <f>A14</f>
        <v>E. Deus</v>
      </c>
      <c r="P5" s="107">
        <f>E14</f>
        <v>4</v>
      </c>
      <c r="Q5" s="107">
        <f>F14</f>
        <v>4.0999999999999996</v>
      </c>
      <c r="R5" s="107">
        <f>G14</f>
        <v>3</v>
      </c>
      <c r="S5" s="107">
        <f>H14</f>
        <v>3.99</v>
      </c>
      <c r="V5" s="53" t="str">
        <f t="shared" si="6"/>
        <v>E. Deus</v>
      </c>
      <c r="W5" s="107">
        <f t="shared" si="7"/>
        <v>4</v>
      </c>
      <c r="X5" s="107">
        <f t="shared" si="8"/>
        <v>4.0999999999999996</v>
      </c>
      <c r="Y5" s="107">
        <f t="shared" si="9"/>
        <v>3</v>
      </c>
      <c r="Z5" s="107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36</v>
      </c>
      <c r="C6">
        <f>PLANTILLA!H7</f>
        <v>4</v>
      </c>
      <c r="D6" s="72">
        <f>PLANTILLA!I7</f>
        <v>7.1</v>
      </c>
      <c r="E6" s="105">
        <f t="shared" si="0"/>
        <v>7.1</v>
      </c>
      <c r="F6" s="105">
        <f t="shared" si="1"/>
        <v>7.1999999999999993</v>
      </c>
      <c r="G6" s="105">
        <f t="shared" si="2"/>
        <v>4</v>
      </c>
      <c r="H6" s="105">
        <f t="shared" si="3"/>
        <v>4.99</v>
      </c>
      <c r="I6" s="109">
        <f t="shared" si="4"/>
        <v>113.6</v>
      </c>
      <c r="J6" s="109">
        <f t="shared" si="5"/>
        <v>179.28072</v>
      </c>
      <c r="K6" s="106"/>
      <c r="O6" t="str">
        <f>A5</f>
        <v>E. Toney</v>
      </c>
      <c r="P6" s="107">
        <f t="shared" ref="P6:S7" si="11">E5</f>
        <v>19.100000000000001</v>
      </c>
      <c r="Q6" s="107">
        <f t="shared" si="11"/>
        <v>19.200000000000003</v>
      </c>
      <c r="R6" s="107">
        <f t="shared" si="11"/>
        <v>4</v>
      </c>
      <c r="S6" s="107">
        <f t="shared" si="11"/>
        <v>4.99</v>
      </c>
      <c r="V6" s="53" t="str">
        <f t="shared" si="6"/>
        <v>E. Toney</v>
      </c>
      <c r="W6" s="107">
        <f t="shared" si="7"/>
        <v>19.100000000000001</v>
      </c>
      <c r="X6" s="107">
        <f t="shared" si="8"/>
        <v>19.200000000000003</v>
      </c>
      <c r="Y6" s="107">
        <f t="shared" si="9"/>
        <v>4</v>
      </c>
      <c r="Z6" s="107">
        <f t="shared" si="10"/>
        <v>4.99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5" t="e">
        <f t="shared" si="0"/>
        <v>#REF!</v>
      </c>
      <c r="F7" s="105" t="e">
        <f t="shared" si="1"/>
        <v>#REF!</v>
      </c>
      <c r="G7" s="105" t="e">
        <f t="shared" si="2"/>
        <v>#REF!</v>
      </c>
      <c r="H7" s="105" t="e">
        <f t="shared" si="3"/>
        <v>#REF!</v>
      </c>
      <c r="I7" s="109" t="e">
        <f t="shared" si="4"/>
        <v>#REF!</v>
      </c>
      <c r="J7" s="109" t="e">
        <f t="shared" si="5"/>
        <v>#REF!</v>
      </c>
      <c r="K7" s="106"/>
      <c r="O7" t="str">
        <f>A6</f>
        <v>F. Lasprilla</v>
      </c>
      <c r="P7" s="107">
        <f t="shared" si="11"/>
        <v>7.1</v>
      </c>
      <c r="Q7" s="107">
        <f t="shared" si="11"/>
        <v>7.1999999999999993</v>
      </c>
      <c r="R7" s="107">
        <f t="shared" si="11"/>
        <v>4</v>
      </c>
      <c r="S7" s="107">
        <f t="shared" si="11"/>
        <v>4.99</v>
      </c>
      <c r="V7" s="53" t="str">
        <f t="shared" si="6"/>
        <v>F. Lasprilla</v>
      </c>
      <c r="W7" s="107">
        <f t="shared" si="7"/>
        <v>7.1</v>
      </c>
      <c r="X7" s="107">
        <f t="shared" si="8"/>
        <v>7.1999999999999993</v>
      </c>
      <c r="Y7" s="107">
        <f t="shared" si="9"/>
        <v>4</v>
      </c>
      <c r="Z7" s="107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5" t="e">
        <f t="shared" si="0"/>
        <v>#REF!</v>
      </c>
      <c r="F8" s="105" t="e">
        <f t="shared" si="1"/>
        <v>#REF!</v>
      </c>
      <c r="G8" s="105" t="e">
        <f t="shared" si="2"/>
        <v>#REF!</v>
      </c>
      <c r="H8" s="105" t="e">
        <f t="shared" si="3"/>
        <v>#REF!</v>
      </c>
      <c r="I8" s="109" t="e">
        <f t="shared" si="4"/>
        <v>#REF!</v>
      </c>
      <c r="J8" s="109" t="e">
        <f t="shared" si="5"/>
        <v>#REF!</v>
      </c>
      <c r="K8" s="106"/>
      <c r="O8" t="str">
        <f>A12</f>
        <v>V. Gardner</v>
      </c>
      <c r="P8" s="107">
        <f>E12</f>
        <v>3.7</v>
      </c>
      <c r="Q8" s="107">
        <f>F12</f>
        <v>3.8000000000000003</v>
      </c>
      <c r="R8" s="107">
        <f>G12</f>
        <v>3</v>
      </c>
      <c r="S8" s="107">
        <f>H12</f>
        <v>3.99</v>
      </c>
      <c r="V8" s="53" t="str">
        <f t="shared" si="6"/>
        <v>V. Gardner</v>
      </c>
      <c r="W8" s="107">
        <f t="shared" si="7"/>
        <v>3.7</v>
      </c>
      <c r="X8" s="107">
        <f t="shared" si="8"/>
        <v>3.8000000000000003</v>
      </c>
      <c r="Y8" s="107">
        <f t="shared" si="9"/>
        <v>3</v>
      </c>
      <c r="Z8" s="107">
        <f t="shared" si="10"/>
        <v>3.99</v>
      </c>
    </row>
    <row r="9" spans="1:26" x14ac:dyDescent="0.25">
      <c r="A9" s="4" t="str">
        <f>PLANTILLA!D8</f>
        <v>L. Tutorić</v>
      </c>
      <c r="B9">
        <f>PLANTILLA!E8</f>
        <v>29</v>
      </c>
      <c r="C9">
        <f>PLANTILLA!H8</f>
        <v>3</v>
      </c>
      <c r="D9" s="72">
        <f>PLANTILLA!I8</f>
        <v>5.8</v>
      </c>
      <c r="E9" s="105">
        <f t="shared" si="0"/>
        <v>5.8</v>
      </c>
      <c r="F9" s="105">
        <f t="shared" si="1"/>
        <v>5.8999999999999995</v>
      </c>
      <c r="G9" s="105">
        <f t="shared" si="2"/>
        <v>3</v>
      </c>
      <c r="H9" s="105">
        <f t="shared" si="3"/>
        <v>3.99</v>
      </c>
      <c r="I9" s="109">
        <f t="shared" si="4"/>
        <v>52.199999999999996</v>
      </c>
      <c r="J9" s="109">
        <f t="shared" si="5"/>
        <v>93.92859</v>
      </c>
      <c r="K9" s="106"/>
      <c r="O9" t="str">
        <f>A15</f>
        <v>I. Vanags</v>
      </c>
      <c r="P9" s="107">
        <f>E15</f>
        <v>2.6</v>
      </c>
      <c r="Q9" s="107">
        <f>F15</f>
        <v>2.7</v>
      </c>
      <c r="R9" s="107">
        <f>G15</f>
        <v>4</v>
      </c>
      <c r="S9" s="107">
        <f>H15</f>
        <v>4.99</v>
      </c>
      <c r="V9" s="53" t="str">
        <f t="shared" si="6"/>
        <v>I. Vanags</v>
      </c>
      <c r="W9" s="107">
        <f t="shared" si="7"/>
        <v>2.6</v>
      </c>
      <c r="X9" s="107">
        <f t="shared" si="8"/>
        <v>2.7</v>
      </c>
      <c r="Y9" s="107">
        <f t="shared" si="9"/>
        <v>4</v>
      </c>
      <c r="Z9" s="107">
        <f t="shared" si="10"/>
        <v>4.99</v>
      </c>
    </row>
    <row r="10" spans="1:26" x14ac:dyDescent="0.25">
      <c r="A10" s="4" t="str">
        <f>PLANTILLA!D9</f>
        <v>S. Swärdborn</v>
      </c>
      <c r="B10">
        <f>PLANTILLA!E9</f>
        <v>22</v>
      </c>
      <c r="C10">
        <f>PLANTILLA!H9</f>
        <v>2</v>
      </c>
      <c r="D10" s="72">
        <f>PLANTILLA!I9</f>
        <v>4.7</v>
      </c>
      <c r="E10" s="105">
        <f t="shared" si="0"/>
        <v>4.7</v>
      </c>
      <c r="F10" s="105">
        <f t="shared" si="1"/>
        <v>4.8</v>
      </c>
      <c r="G10" s="105">
        <f t="shared" si="2"/>
        <v>2</v>
      </c>
      <c r="H10" s="105">
        <f t="shared" si="3"/>
        <v>2.99</v>
      </c>
      <c r="I10" s="109">
        <f t="shared" si="4"/>
        <v>18.8</v>
      </c>
      <c r="J10" s="109">
        <f t="shared" si="5"/>
        <v>42.912480000000002</v>
      </c>
      <c r="K10" s="106"/>
      <c r="O10" t="str">
        <f>A13</f>
        <v>S. Embe</v>
      </c>
      <c r="P10" s="107">
        <f>E13</f>
        <v>3</v>
      </c>
      <c r="Q10" s="107">
        <f>F13</f>
        <v>3.1</v>
      </c>
      <c r="R10" s="107">
        <f>G13</f>
        <v>3</v>
      </c>
      <c r="S10" s="107">
        <f>H13</f>
        <v>3.99</v>
      </c>
      <c r="V10" s="53" t="str">
        <f t="shared" si="6"/>
        <v>S. Embe</v>
      </c>
      <c r="W10" s="107">
        <f t="shared" si="7"/>
        <v>3</v>
      </c>
      <c r="X10" s="107">
        <f t="shared" si="8"/>
        <v>3.1</v>
      </c>
      <c r="Y10" s="107">
        <f t="shared" si="9"/>
        <v>3</v>
      </c>
      <c r="Z10" s="107">
        <f t="shared" si="10"/>
        <v>3.99</v>
      </c>
    </row>
    <row r="11" spans="1:26" x14ac:dyDescent="0.25">
      <c r="A11" s="4" t="str">
        <f>PLANTILLA!D10</f>
        <v>A. Grimaud</v>
      </c>
      <c r="B11">
        <f>PLANTILLA!E10</f>
        <v>22</v>
      </c>
      <c r="C11">
        <f>PLANTILLA!H10</f>
        <v>2</v>
      </c>
      <c r="D11" s="72">
        <f>PLANTILLA!I10</f>
        <v>4.7</v>
      </c>
      <c r="E11" s="105">
        <f t="shared" si="0"/>
        <v>4.7</v>
      </c>
      <c r="F11" s="105">
        <f t="shared" si="1"/>
        <v>4.8</v>
      </c>
      <c r="G11" s="105">
        <f t="shared" si="2"/>
        <v>2</v>
      </c>
      <c r="H11" s="105">
        <f t="shared" si="3"/>
        <v>2.99</v>
      </c>
      <c r="I11" s="109">
        <f t="shared" si="4"/>
        <v>18.8</v>
      </c>
      <c r="J11" s="109">
        <f t="shared" si="5"/>
        <v>42.912480000000002</v>
      </c>
      <c r="K11" s="106"/>
      <c r="O11" t="str">
        <f>A10</f>
        <v>S. Swärdborn</v>
      </c>
      <c r="P11" s="107">
        <f>E10</f>
        <v>4.7</v>
      </c>
      <c r="Q11" s="107">
        <f>F10</f>
        <v>4.8</v>
      </c>
      <c r="R11" s="107">
        <f>G10</f>
        <v>2</v>
      </c>
      <c r="S11" s="107">
        <f>H10</f>
        <v>2.99</v>
      </c>
      <c r="V11" s="53" t="str">
        <f t="shared" si="6"/>
        <v>S. Swärdborn</v>
      </c>
      <c r="W11" s="107">
        <f t="shared" si="7"/>
        <v>4.7</v>
      </c>
      <c r="X11" s="107">
        <f t="shared" si="8"/>
        <v>4.8</v>
      </c>
      <c r="Y11" s="107">
        <f t="shared" si="9"/>
        <v>2</v>
      </c>
      <c r="Z11" s="107">
        <f t="shared" si="10"/>
        <v>2.99</v>
      </c>
    </row>
    <row r="12" spans="1:26" x14ac:dyDescent="0.25">
      <c r="A12" s="4" t="str">
        <f>PLANTILLA!D11</f>
        <v>V. Gardner</v>
      </c>
      <c r="B12">
        <f>PLANTILLA!E11</f>
        <v>22</v>
      </c>
      <c r="C12">
        <f>PLANTILLA!H11</f>
        <v>3</v>
      </c>
      <c r="D12" s="72">
        <f>PLANTILLA!I11</f>
        <v>3.7</v>
      </c>
      <c r="E12" s="105">
        <f t="shared" si="0"/>
        <v>3.7</v>
      </c>
      <c r="F12" s="105">
        <f t="shared" si="1"/>
        <v>3.8000000000000003</v>
      </c>
      <c r="G12" s="105">
        <f t="shared" si="2"/>
        <v>3</v>
      </c>
      <c r="H12" s="105">
        <f t="shared" si="3"/>
        <v>3.99</v>
      </c>
      <c r="I12" s="109">
        <f t="shared" si="4"/>
        <v>33.300000000000004</v>
      </c>
      <c r="J12" s="109">
        <f t="shared" si="5"/>
        <v>60.496380000000009</v>
      </c>
      <c r="K12" s="106"/>
      <c r="O12" t="str">
        <f>A20</f>
        <v>R. Forsyth</v>
      </c>
      <c r="P12" s="107">
        <f>E20</f>
        <v>4</v>
      </c>
      <c r="Q12" s="107">
        <f>F20</f>
        <v>4.0999999999999996</v>
      </c>
      <c r="R12" s="107">
        <f>G20</f>
        <v>4</v>
      </c>
      <c r="S12" s="107">
        <f>H20</f>
        <v>4.99</v>
      </c>
      <c r="V12" s="53" t="str">
        <f t="shared" si="6"/>
        <v>R. Forsyth</v>
      </c>
      <c r="W12" s="107">
        <f t="shared" si="7"/>
        <v>4</v>
      </c>
      <c r="X12" s="107">
        <f t="shared" si="8"/>
        <v>4.0999999999999996</v>
      </c>
      <c r="Y12" s="107">
        <f t="shared" si="9"/>
        <v>4</v>
      </c>
      <c r="Z12" s="107">
        <f t="shared" si="10"/>
        <v>4.99</v>
      </c>
    </row>
    <row r="13" spans="1:26" x14ac:dyDescent="0.25">
      <c r="A13" s="4" t="str">
        <f>PLANTILLA!D12</f>
        <v>S. Embe</v>
      </c>
      <c r="B13">
        <f>PLANTILLA!E12</f>
        <v>23</v>
      </c>
      <c r="C13">
        <f>PLANTILLA!H12</f>
        <v>3</v>
      </c>
      <c r="D13" s="72">
        <f>PLANTILLA!I12</f>
        <v>3</v>
      </c>
      <c r="E13" s="105">
        <f t="shared" si="0"/>
        <v>3</v>
      </c>
      <c r="F13" s="105">
        <f t="shared" si="1"/>
        <v>3.1</v>
      </c>
      <c r="G13" s="105">
        <f t="shared" si="2"/>
        <v>3</v>
      </c>
      <c r="H13" s="105">
        <f t="shared" si="3"/>
        <v>3.99</v>
      </c>
      <c r="I13" s="109">
        <f t="shared" si="4"/>
        <v>27</v>
      </c>
      <c r="J13" s="109">
        <f t="shared" si="5"/>
        <v>49.352310000000003</v>
      </c>
      <c r="K13" s="106"/>
      <c r="O13" t="str">
        <f>A19</f>
        <v>P. Tuderek</v>
      </c>
      <c r="P13" s="107">
        <f>E19</f>
        <v>3</v>
      </c>
      <c r="Q13" s="107">
        <f>F19</f>
        <v>3.1</v>
      </c>
      <c r="R13" s="107">
        <f>G19</f>
        <v>4</v>
      </c>
      <c r="S13" s="107">
        <f>H19</f>
        <v>4.99</v>
      </c>
      <c r="V13" s="53" t="str">
        <f t="shared" si="6"/>
        <v>P. Tuderek</v>
      </c>
      <c r="W13" s="107">
        <f t="shared" si="7"/>
        <v>3</v>
      </c>
      <c r="X13" s="107">
        <f t="shared" si="8"/>
        <v>3.1</v>
      </c>
      <c r="Y13" s="107">
        <f t="shared" si="9"/>
        <v>4</v>
      </c>
      <c r="Z13" s="107">
        <f t="shared" si="10"/>
        <v>4.99</v>
      </c>
    </row>
    <row r="14" spans="1:26" x14ac:dyDescent="0.25">
      <c r="A14" s="4" t="str">
        <f>PLANTILLA!D13</f>
        <v>E. Deus</v>
      </c>
      <c r="B14">
        <f>PLANTILLA!E13</f>
        <v>22</v>
      </c>
      <c r="C14">
        <f>PLANTILLA!H13</f>
        <v>3</v>
      </c>
      <c r="D14" s="72">
        <f>PLANTILLA!I13</f>
        <v>4</v>
      </c>
      <c r="E14" s="105">
        <f t="shared" si="0"/>
        <v>4</v>
      </c>
      <c r="F14" s="105">
        <f t="shared" si="1"/>
        <v>4.0999999999999996</v>
      </c>
      <c r="G14" s="105">
        <f t="shared" si="2"/>
        <v>3</v>
      </c>
      <c r="H14" s="105">
        <f t="shared" si="3"/>
        <v>3.99</v>
      </c>
      <c r="I14" s="109">
        <f t="shared" si="4"/>
        <v>36</v>
      </c>
      <c r="J14" s="109">
        <f t="shared" si="5"/>
        <v>65.272409999999994</v>
      </c>
      <c r="K14" s="106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PLANTILLA!D14</f>
        <v>I. Vanags</v>
      </c>
      <c r="B15">
        <f>PLANTILLA!E14</f>
        <v>22</v>
      </c>
      <c r="C15">
        <f>PLANTILLA!H14</f>
        <v>4</v>
      </c>
      <c r="D15" s="72">
        <f>PLANTILLA!I14</f>
        <v>2.6</v>
      </c>
      <c r="E15" s="105">
        <f t="shared" si="0"/>
        <v>2.6</v>
      </c>
      <c r="F15" s="105">
        <f t="shared" si="1"/>
        <v>2.7</v>
      </c>
      <c r="G15" s="105">
        <f t="shared" si="2"/>
        <v>4</v>
      </c>
      <c r="H15" s="105">
        <f t="shared" si="3"/>
        <v>4.99</v>
      </c>
      <c r="I15" s="109">
        <f t="shared" si="4"/>
        <v>41.6</v>
      </c>
      <c r="J15" s="109">
        <f t="shared" si="5"/>
        <v>67.230270000000004</v>
      </c>
      <c r="K15" s="106"/>
    </row>
    <row r="16" spans="1:26" x14ac:dyDescent="0.25">
      <c r="A16" s="4" t="str">
        <f>PLANTILLA!D15</f>
        <v>I. Stone</v>
      </c>
      <c r="B16">
        <f>PLANTILLA!E15</f>
        <v>22</v>
      </c>
      <c r="C16">
        <f>PLANTILLA!H15</f>
        <v>6</v>
      </c>
      <c r="D16" s="72">
        <f>PLANTILLA!I15</f>
        <v>4</v>
      </c>
      <c r="E16" s="105">
        <f t="shared" si="0"/>
        <v>4</v>
      </c>
      <c r="F16" s="105">
        <f t="shared" si="1"/>
        <v>4.0999999999999996</v>
      </c>
      <c r="G16" s="105">
        <f t="shared" si="2"/>
        <v>6</v>
      </c>
      <c r="H16" s="105">
        <f t="shared" si="3"/>
        <v>6.99</v>
      </c>
      <c r="I16" s="109">
        <f t="shared" si="4"/>
        <v>144</v>
      </c>
      <c r="J16" s="109">
        <f t="shared" si="5"/>
        <v>200.32640999999998</v>
      </c>
      <c r="K16" s="106"/>
      <c r="L16" s="54" t="s">
        <v>502</v>
      </c>
      <c r="O16" t="s">
        <v>503</v>
      </c>
      <c r="P16" s="72" t="e">
        <f>SUM(P3:P13)</f>
        <v>#REF!</v>
      </c>
      <c r="Q16" s="72" t="e">
        <f>SUM(Q3:Q13)</f>
        <v>#REF!</v>
      </c>
      <c r="R16" s="72"/>
      <c r="V16" s="53" t="s">
        <v>503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PLANTILLA!D16</f>
        <v>G. Piscaer</v>
      </c>
      <c r="B17">
        <f>PLANTILLA!E16</f>
        <v>22</v>
      </c>
      <c r="C17">
        <f>PLANTILLA!H16</f>
        <v>1</v>
      </c>
      <c r="D17" s="72">
        <f>PLANTILLA!I16</f>
        <v>3.7</v>
      </c>
      <c r="E17" s="105">
        <f t="shared" si="0"/>
        <v>3.7</v>
      </c>
      <c r="F17" s="105">
        <f t="shared" si="1"/>
        <v>3.8000000000000003</v>
      </c>
      <c r="G17" s="105">
        <f t="shared" si="2"/>
        <v>1</v>
      </c>
      <c r="H17" s="105">
        <f t="shared" si="3"/>
        <v>1.99</v>
      </c>
      <c r="I17" s="109">
        <f t="shared" si="4"/>
        <v>3.7</v>
      </c>
      <c r="J17" s="109">
        <f t="shared" si="5"/>
        <v>15.048380000000002</v>
      </c>
      <c r="K17" s="106"/>
      <c r="O17" s="92" t="s">
        <v>504</v>
      </c>
      <c r="P17" s="48" t="e">
        <f>P16/16.5</f>
        <v>#REF!</v>
      </c>
      <c r="Q17" s="48" t="e">
        <f>Q16/16.5</f>
        <v>#REF!</v>
      </c>
      <c r="R17" s="48"/>
      <c r="V17" s="53" t="s">
        <v>505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PLANTILLA!D17</f>
        <v>M. Bondarewski</v>
      </c>
      <c r="B18">
        <f>PLANTILLA!E17</f>
        <v>22</v>
      </c>
      <c r="C18">
        <f>PLANTILLA!H17</f>
        <v>1</v>
      </c>
      <c r="D18" s="72">
        <f>PLANTILLA!I17</f>
        <v>4</v>
      </c>
      <c r="E18" s="105">
        <f t="shared" si="0"/>
        <v>4</v>
      </c>
      <c r="F18" s="105">
        <f t="shared" si="1"/>
        <v>4.0999999999999996</v>
      </c>
      <c r="G18" s="105">
        <f t="shared" si="2"/>
        <v>1</v>
      </c>
      <c r="H18" s="105">
        <f t="shared" si="3"/>
        <v>1.99</v>
      </c>
      <c r="I18" s="109">
        <f t="shared" si="4"/>
        <v>4</v>
      </c>
      <c r="J18" s="109">
        <f t="shared" si="5"/>
        <v>16.236409999999999</v>
      </c>
      <c r="K18" s="106"/>
      <c r="L18" s="54" t="s">
        <v>506</v>
      </c>
      <c r="O18" t="s">
        <v>507</v>
      </c>
      <c r="P18" s="72">
        <f>R3^2</f>
        <v>36</v>
      </c>
      <c r="Q18" s="72">
        <f>S3^2</f>
        <v>48.860100000000003</v>
      </c>
      <c r="R18" s="72"/>
      <c r="V18" s="53" t="s">
        <v>507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PLANTILLA!D18</f>
        <v>P. Tuderek</v>
      </c>
      <c r="B19">
        <f>PLANTILLA!E18</f>
        <v>22</v>
      </c>
      <c r="C19">
        <f>PLANTILLA!H18</f>
        <v>4</v>
      </c>
      <c r="D19" s="72">
        <f>PLANTILLA!I18</f>
        <v>3</v>
      </c>
      <c r="E19" s="105">
        <f t="shared" si="0"/>
        <v>3</v>
      </c>
      <c r="F19" s="105">
        <f t="shared" si="1"/>
        <v>3.1</v>
      </c>
      <c r="G19" s="105">
        <f t="shared" si="2"/>
        <v>4</v>
      </c>
      <c r="H19" s="105">
        <f t="shared" si="3"/>
        <v>4.99</v>
      </c>
      <c r="I19" s="109">
        <f t="shared" si="4"/>
        <v>48</v>
      </c>
      <c r="J19" s="109">
        <f t="shared" si="5"/>
        <v>77.190310000000011</v>
      </c>
      <c r="K19" s="106"/>
      <c r="L19" s="54" t="s">
        <v>508</v>
      </c>
      <c r="O19" t="s">
        <v>509</v>
      </c>
      <c r="P19" s="72">
        <f>P18*P3</f>
        <v>918</v>
      </c>
      <c r="Q19" s="72">
        <f>Q18*Q3</f>
        <v>1250.8185600000002</v>
      </c>
      <c r="R19" s="72"/>
      <c r="V19" s="53" t="s">
        <v>509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PLANTILLA!D19</f>
        <v>R. Forsyth</v>
      </c>
      <c r="B20">
        <f>PLANTILLA!E19</f>
        <v>23</v>
      </c>
      <c r="C20">
        <f>PLANTILLA!H19</f>
        <v>4</v>
      </c>
      <c r="D20" s="72">
        <f>PLANTILLA!I19</f>
        <v>4</v>
      </c>
      <c r="E20" s="105">
        <f t="shared" si="0"/>
        <v>4</v>
      </c>
      <c r="F20" s="105">
        <f t="shared" si="1"/>
        <v>4.0999999999999996</v>
      </c>
      <c r="G20" s="105">
        <f t="shared" si="2"/>
        <v>4</v>
      </c>
      <c r="H20" s="105">
        <f t="shared" si="3"/>
        <v>4.99</v>
      </c>
      <c r="I20" s="109">
        <f t="shared" si="4"/>
        <v>64</v>
      </c>
      <c r="J20" s="109">
        <f t="shared" si="5"/>
        <v>102.09041000000001</v>
      </c>
      <c r="K20" s="106"/>
      <c r="L20" s="54" t="s">
        <v>510</v>
      </c>
      <c r="O20" s="92" t="s">
        <v>511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512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PLANTILLA!D21</f>
        <v>J-P. Kechele</v>
      </c>
      <c r="B21">
        <f>PLANTILLA!E21</f>
        <v>30</v>
      </c>
      <c r="C21">
        <f>PLANTILLA!H21</f>
        <v>5</v>
      </c>
      <c r="D21" s="72">
        <f>PLANTILLA!I21</f>
        <v>7.5999999999999988</v>
      </c>
      <c r="E21" s="105">
        <f t="shared" si="0"/>
        <v>7.5999999999999988</v>
      </c>
      <c r="F21" s="105">
        <f t="shared" si="1"/>
        <v>7.6999999999999984</v>
      </c>
      <c r="G21" s="105">
        <f t="shared" si="2"/>
        <v>5</v>
      </c>
      <c r="H21" s="105">
        <f t="shared" si="3"/>
        <v>5.99</v>
      </c>
      <c r="I21" s="109">
        <f t="shared" si="4"/>
        <v>189.99999999999997</v>
      </c>
      <c r="J21" s="109">
        <f t="shared" si="5"/>
        <v>276.27677</v>
      </c>
      <c r="K21" s="106"/>
      <c r="L21" s="54" t="s">
        <v>513</v>
      </c>
      <c r="O21" s="53" t="s">
        <v>361</v>
      </c>
      <c r="P21" s="232" t="e">
        <f>P17+P20</f>
        <v>#REF!</v>
      </c>
      <c r="Q21" s="232" t="e">
        <f>Q17+Q20</f>
        <v>#REF!</v>
      </c>
      <c r="V21" s="53" t="s">
        <v>361</v>
      </c>
      <c r="W21" s="232" t="e">
        <f>W17+W20</f>
        <v>#REF!</v>
      </c>
      <c r="X21" s="232" t="e">
        <f>X17+X20</f>
        <v>#REF!</v>
      </c>
    </row>
    <row r="22" spans="1:25" x14ac:dyDescent="0.25">
      <c r="A22" s="4" t="str">
        <f>PLANTILLA!D22</f>
        <v>S. Zobbe</v>
      </c>
      <c r="B22">
        <f>PLANTILLA!E22</f>
        <v>36</v>
      </c>
      <c r="C22">
        <f>PLANTILLA!H22</f>
        <v>2</v>
      </c>
      <c r="D22" s="72">
        <f>PLANTILLA!I22</f>
        <v>15</v>
      </c>
      <c r="E22" s="105">
        <f t="shared" si="0"/>
        <v>15</v>
      </c>
      <c r="F22" s="105">
        <f t="shared" si="1"/>
        <v>15.1</v>
      </c>
      <c r="G22" s="105">
        <f t="shared" si="2"/>
        <v>2</v>
      </c>
      <c r="H22" s="105">
        <f t="shared" si="3"/>
        <v>2.99</v>
      </c>
      <c r="I22" s="109">
        <f t="shared" si="4"/>
        <v>60</v>
      </c>
      <c r="J22" s="109">
        <f t="shared" si="5"/>
        <v>134.99551000000002</v>
      </c>
      <c r="K22" s="106"/>
      <c r="L22" t="s">
        <v>514</v>
      </c>
    </row>
    <row r="23" spans="1:25" x14ac:dyDescent="0.25">
      <c r="A23" s="4" t="str">
        <f>PLANTILLA!D23</f>
        <v>P .Trivadi</v>
      </c>
      <c r="B23">
        <f>PLANTILLA!E23</f>
        <v>35</v>
      </c>
      <c r="C23">
        <f>PLANTILLA!H23</f>
        <v>5</v>
      </c>
      <c r="D23" s="72">
        <f>PLANTILLA!I23</f>
        <v>6.3</v>
      </c>
      <c r="E23" s="105">
        <f t="shared" si="0"/>
        <v>6.3</v>
      </c>
      <c r="F23" s="105">
        <f t="shared" si="1"/>
        <v>6.3999999999999995</v>
      </c>
      <c r="G23" s="105">
        <f t="shared" si="2"/>
        <v>5</v>
      </c>
      <c r="H23" s="105">
        <f t="shared" si="3"/>
        <v>5.99</v>
      </c>
      <c r="I23" s="109">
        <f t="shared" si="4"/>
        <v>157.5</v>
      </c>
      <c r="J23" s="109">
        <f t="shared" si="5"/>
        <v>229.63264000000001</v>
      </c>
      <c r="K23" s="106"/>
      <c r="O23" s="74">
        <v>42576</v>
      </c>
      <c r="P23">
        <v>6.76</v>
      </c>
      <c r="Q23">
        <v>6.99</v>
      </c>
      <c r="R23" t="s">
        <v>515</v>
      </c>
      <c r="W23" s="48"/>
    </row>
    <row r="24" spans="1:25" x14ac:dyDescent="0.25">
      <c r="A24" s="4">
        <f>PLANTILLA!D24</f>
        <v>0</v>
      </c>
      <c r="B24">
        <f>PLANTILLA!E24</f>
        <v>0</v>
      </c>
      <c r="C24">
        <f>PLANTILLA!H24</f>
        <v>0</v>
      </c>
      <c r="D24" s="72">
        <f>PLANTILLA!I24</f>
        <v>0</v>
      </c>
      <c r="E24" s="105">
        <f t="shared" si="0"/>
        <v>0</v>
      </c>
      <c r="F24" s="105">
        <f t="shared" si="1"/>
        <v>0.1</v>
      </c>
      <c r="G24" s="105">
        <f t="shared" si="2"/>
        <v>0</v>
      </c>
      <c r="H24" s="105">
        <f t="shared" si="3"/>
        <v>0.99</v>
      </c>
      <c r="I24" s="109">
        <f t="shared" si="4"/>
        <v>0</v>
      </c>
      <c r="J24" s="109">
        <f t="shared" si="5"/>
        <v>9.801E-2</v>
      </c>
    </row>
    <row r="25" spans="1:25" x14ac:dyDescent="0.25">
      <c r="A25" s="4">
        <f>PLANTILLA!D25</f>
        <v>0</v>
      </c>
      <c r="B25">
        <f>PLANTILLA!E25</f>
        <v>0</v>
      </c>
      <c r="C25">
        <f>PLANTILLA!H25</f>
        <v>0</v>
      </c>
      <c r="D25" s="72">
        <f>PLANTILLA!I25</f>
        <v>0</v>
      </c>
      <c r="E25" s="105">
        <f t="shared" si="0"/>
        <v>0</v>
      </c>
      <c r="F25" s="105">
        <f t="shared" si="1"/>
        <v>0.1</v>
      </c>
      <c r="G25" s="105">
        <f t="shared" si="2"/>
        <v>0</v>
      </c>
      <c r="H25" s="105">
        <f t="shared" si="3"/>
        <v>0.99</v>
      </c>
      <c r="I25" s="109">
        <f t="shared" si="4"/>
        <v>0</v>
      </c>
      <c r="J25" s="109">
        <f t="shared" si="5"/>
        <v>9.801E-2</v>
      </c>
      <c r="V25"/>
    </row>
    <row r="26" spans="1:25" x14ac:dyDescent="0.25">
      <c r="A26" s="4">
        <f>PLANTILLA!D26</f>
        <v>0</v>
      </c>
      <c r="B26">
        <f>PLANTILLA!E26</f>
        <v>0</v>
      </c>
      <c r="C26">
        <f>PLANTILLA!H26</f>
        <v>0</v>
      </c>
      <c r="D26" s="72">
        <f>PLANTILLA!I26</f>
        <v>0</v>
      </c>
      <c r="E26" s="105">
        <f t="shared" si="0"/>
        <v>0</v>
      </c>
      <c r="F26" s="105">
        <f t="shared" si="1"/>
        <v>0.1</v>
      </c>
      <c r="G26" s="105">
        <f t="shared" si="2"/>
        <v>0</v>
      </c>
      <c r="H26" s="105">
        <f t="shared" si="3"/>
        <v>0.99</v>
      </c>
      <c r="I26" s="109">
        <f t="shared" si="4"/>
        <v>0</v>
      </c>
      <c r="J26" s="109">
        <f t="shared" si="5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516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517</v>
      </c>
      <c r="J1" s="84" t="s">
        <v>518</v>
      </c>
      <c r="K1" s="81" t="s">
        <v>103</v>
      </c>
      <c r="L1" s="81" t="s">
        <v>105</v>
      </c>
      <c r="M1" s="123" t="s">
        <v>519</v>
      </c>
      <c r="N1" s="123" t="s">
        <v>520</v>
      </c>
      <c r="O1" s="123" t="s">
        <v>521</v>
      </c>
      <c r="P1" s="123" t="s">
        <v>522</v>
      </c>
      <c r="Q1" s="123" t="s">
        <v>523</v>
      </c>
      <c r="R1" s="123" t="s">
        <v>524</v>
      </c>
      <c r="S1" s="123" t="s">
        <v>525</v>
      </c>
      <c r="T1" s="123" t="s">
        <v>526</v>
      </c>
      <c r="U1" s="123" t="s">
        <v>527</v>
      </c>
      <c r="V1" s="123" t="s">
        <v>528</v>
      </c>
    </row>
    <row r="2" spans="1:22" x14ac:dyDescent="0.25">
      <c r="A2" s="80"/>
      <c r="B2" s="80" t="s">
        <v>529</v>
      </c>
      <c r="C2" s="80"/>
      <c r="D2" s="77" t="s">
        <v>530</v>
      </c>
      <c r="E2" s="55">
        <v>42</v>
      </c>
      <c r="F2" s="71" t="s">
        <v>157</v>
      </c>
      <c r="G2" s="110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4">
        <v>41576</v>
      </c>
      <c r="N2" s="124">
        <v>41731</v>
      </c>
      <c r="O2" s="124">
        <v>42305</v>
      </c>
      <c r="P2" s="60">
        <v>772000</v>
      </c>
      <c r="Q2" s="60">
        <f>((N2-M2)/7)*L2</f>
        <v>6642.8571428571431</v>
      </c>
      <c r="R2" s="60">
        <f ca="1">((TODAY()-N2)/7)*L2</f>
        <v>106157.14285714286</v>
      </c>
      <c r="S2" s="60">
        <v>2068800</v>
      </c>
      <c r="T2" s="60">
        <f ca="1">S2+Q2+P2+R2</f>
        <v>2953600</v>
      </c>
      <c r="U2" s="64">
        <f ca="1">T2/((O2-N2)/112)</f>
        <v>576312.19512195117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516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517</v>
      </c>
      <c r="J3" s="84" t="s">
        <v>518</v>
      </c>
      <c r="K3" s="81" t="s">
        <v>103</v>
      </c>
      <c r="L3" s="81" t="s">
        <v>105</v>
      </c>
      <c r="M3" s="123" t="s">
        <v>519</v>
      </c>
      <c r="N3" s="123" t="s">
        <v>520</v>
      </c>
      <c r="O3" s="123" t="s">
        <v>521</v>
      </c>
      <c r="P3" s="123" t="s">
        <v>522</v>
      </c>
      <c r="Q3" s="123" t="s">
        <v>523</v>
      </c>
      <c r="R3" s="123" t="s">
        <v>524</v>
      </c>
      <c r="S3" s="123" t="s">
        <v>525</v>
      </c>
      <c r="T3" s="123" t="s">
        <v>526</v>
      </c>
      <c r="U3" s="123" t="s">
        <v>527</v>
      </c>
      <c r="V3" s="123" t="s">
        <v>528</v>
      </c>
    </row>
    <row r="4" spans="1:22" x14ac:dyDescent="0.25">
      <c r="A4" s="80"/>
      <c r="B4" s="80" t="s">
        <v>529</v>
      </c>
      <c r="C4" s="80"/>
      <c r="D4" s="77" t="s">
        <v>531</v>
      </c>
      <c r="E4" s="55">
        <v>44</v>
      </c>
      <c r="F4" s="71" t="s">
        <v>157</v>
      </c>
      <c r="G4" s="110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4">
        <v>41976</v>
      </c>
      <c r="N4" s="124">
        <v>42305</v>
      </c>
      <c r="O4" s="124">
        <v>42908</v>
      </c>
      <c r="P4" s="60">
        <v>1052640</v>
      </c>
      <c r="Q4" s="60">
        <f>((N4-M4)/7)*L4</f>
        <v>14100</v>
      </c>
      <c r="R4" s="60">
        <f ca="1">((TODAY()-N4)/7)*L4</f>
        <v>81557.142857142855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16.991071428571427</v>
      </c>
    </row>
    <row r="5" spans="1:22" x14ac:dyDescent="0.25">
      <c r="O5" s="206"/>
    </row>
    <row r="7" spans="1:22" x14ac:dyDescent="0.25">
      <c r="A7" s="52">
        <f ca="1">TODAY()</f>
        <v>44208</v>
      </c>
    </row>
    <row r="8" spans="1:22" x14ac:dyDescent="0.25">
      <c r="A8" s="52">
        <v>41757</v>
      </c>
    </row>
    <row r="9" spans="1:22" x14ac:dyDescent="0.25">
      <c r="A9" s="53">
        <f ca="1">A7-A8</f>
        <v>2451</v>
      </c>
    </row>
    <row r="10" spans="1:22" x14ac:dyDescent="0.25">
      <c r="A10" s="122">
        <f ca="1">A9/112</f>
        <v>21.883928571428573</v>
      </c>
    </row>
    <row r="12" spans="1:22" x14ac:dyDescent="0.25">
      <c r="A12" s="81" t="s">
        <v>84</v>
      </c>
      <c r="B12" s="81" t="s">
        <v>85</v>
      </c>
      <c r="C12" s="82" t="s">
        <v>516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517</v>
      </c>
      <c r="J12" s="84" t="s">
        <v>518</v>
      </c>
      <c r="K12" s="81" t="s">
        <v>103</v>
      </c>
      <c r="L12" s="81" t="s">
        <v>105</v>
      </c>
      <c r="M12" s="123" t="s">
        <v>519</v>
      </c>
      <c r="N12" s="123" t="s">
        <v>520</v>
      </c>
      <c r="O12" s="123" t="s">
        <v>521</v>
      </c>
      <c r="P12" s="123" t="s">
        <v>522</v>
      </c>
      <c r="Q12" s="123" t="s">
        <v>523</v>
      </c>
      <c r="R12" s="123" t="s">
        <v>524</v>
      </c>
      <c r="S12" s="123" t="s">
        <v>525</v>
      </c>
      <c r="T12" s="123" t="s">
        <v>526</v>
      </c>
      <c r="U12" s="123" t="s">
        <v>527</v>
      </c>
      <c r="V12" s="123" t="s">
        <v>528</v>
      </c>
    </row>
    <row r="13" spans="1:22" x14ac:dyDescent="0.25">
      <c r="D13" s="77" t="s">
        <v>532</v>
      </c>
      <c r="E13" s="55">
        <v>39</v>
      </c>
      <c r="F13" s="71"/>
      <c r="G13" s="110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4">
        <v>42628</v>
      </c>
      <c r="N13" s="124">
        <f>O4</f>
        <v>42908</v>
      </c>
      <c r="O13" s="124">
        <f ca="1">TODAY()</f>
        <v>44208</v>
      </c>
      <c r="P13" s="208">
        <v>1800000</v>
      </c>
      <c r="Q13" s="60">
        <v>372</v>
      </c>
      <c r="R13" s="60">
        <f ca="1">((TODAY()-N13)/7)*L13</f>
        <v>160457.14285714287</v>
      </c>
      <c r="S13" s="208">
        <v>2553000</v>
      </c>
      <c r="T13" s="60">
        <f>S13+Q13+P13</f>
        <v>4353372</v>
      </c>
      <c r="U13" s="64">
        <f ca="1">T13/((O13-N13)/112)</f>
        <v>375059.74153846153</v>
      </c>
      <c r="V13" s="49">
        <v>7</v>
      </c>
    </row>
    <row r="17" spans="1:22" ht="18" x14ac:dyDescent="0.25">
      <c r="A17" s="197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44208</v>
      </c>
      <c r="B18" s="74"/>
      <c r="C18">
        <v>400</v>
      </c>
      <c r="D18">
        <v>1</v>
      </c>
    </row>
    <row r="19" spans="1:22" x14ac:dyDescent="0.25">
      <c r="A19">
        <f ca="1">A18-A17</f>
        <v>1300</v>
      </c>
      <c r="C19">
        <f>C18-C17</f>
        <v>288</v>
      </c>
      <c r="D19" s="198">
        <f ca="1">(A19-C17)/C19</f>
        <v>4.125</v>
      </c>
    </row>
    <row r="20" spans="1:22" x14ac:dyDescent="0.25">
      <c r="D20" t="s">
        <v>533</v>
      </c>
    </row>
    <row r="24" spans="1:22" x14ac:dyDescent="0.25">
      <c r="A24" s="81" t="s">
        <v>84</v>
      </c>
      <c r="B24" s="81" t="s">
        <v>85</v>
      </c>
      <c r="C24" s="82" t="s">
        <v>516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517</v>
      </c>
      <c r="J24" s="84" t="s">
        <v>518</v>
      </c>
      <c r="K24" s="81" t="s">
        <v>103</v>
      </c>
      <c r="L24" s="81" t="s">
        <v>105</v>
      </c>
      <c r="M24" s="123" t="s">
        <v>519</v>
      </c>
      <c r="N24" s="123" t="s">
        <v>520</v>
      </c>
      <c r="O24" s="123" t="s">
        <v>521</v>
      </c>
      <c r="P24" s="123" t="s">
        <v>522</v>
      </c>
      <c r="Q24" s="123" t="s">
        <v>523</v>
      </c>
      <c r="R24" s="123" t="s">
        <v>524</v>
      </c>
      <c r="S24" s="123" t="s">
        <v>525</v>
      </c>
      <c r="T24" s="123" t="s">
        <v>526</v>
      </c>
      <c r="U24" s="123" t="s">
        <v>527</v>
      </c>
      <c r="V24" s="123" t="s">
        <v>528</v>
      </c>
    </row>
    <row r="28" spans="1:22" ht="19.5" x14ac:dyDescent="0.25">
      <c r="A28" s="575" t="s">
        <v>534</v>
      </c>
      <c r="B28" s="575"/>
      <c r="C28" s="575"/>
      <c r="D28" s="575"/>
    </row>
    <row r="29" spans="1:22" x14ac:dyDescent="0.25">
      <c r="A29" s="576" t="s">
        <v>535</v>
      </c>
      <c r="B29" s="577" t="s">
        <v>536</v>
      </c>
      <c r="C29" s="577" t="s">
        <v>537</v>
      </c>
      <c r="D29" s="577" t="s">
        <v>538</v>
      </c>
    </row>
    <row r="30" spans="1:22" x14ac:dyDescent="0.25">
      <c r="A30" s="576"/>
      <c r="B30" s="577"/>
      <c r="C30" s="577"/>
      <c r="D30" s="577"/>
    </row>
    <row r="31" spans="1:22" x14ac:dyDescent="0.25">
      <c r="A31" s="61" t="s">
        <v>536</v>
      </c>
      <c r="B31" s="62" t="s">
        <v>539</v>
      </c>
      <c r="C31" s="62" t="s">
        <v>540</v>
      </c>
      <c r="D31" s="62" t="s">
        <v>540</v>
      </c>
    </row>
    <row r="32" spans="1:22" x14ac:dyDescent="0.25">
      <c r="A32" s="207" t="s">
        <v>537</v>
      </c>
      <c r="B32" s="63" t="s">
        <v>541</v>
      </c>
      <c r="C32" s="63" t="s">
        <v>542</v>
      </c>
      <c r="D32" s="63" t="s">
        <v>540</v>
      </c>
    </row>
    <row r="33" spans="1:4" x14ac:dyDescent="0.25">
      <c r="A33" s="61" t="s">
        <v>538</v>
      </c>
      <c r="B33" s="62" t="s">
        <v>543</v>
      </c>
      <c r="C33" s="62" t="s">
        <v>544</v>
      </c>
      <c r="D33" s="62" t="s">
        <v>545</v>
      </c>
    </row>
    <row r="34" spans="1:4" x14ac:dyDescent="0.25">
      <c r="A34" s="207" t="s">
        <v>546</v>
      </c>
      <c r="B34" s="63" t="s">
        <v>547</v>
      </c>
      <c r="C34" s="63" t="s">
        <v>548</v>
      </c>
      <c r="D34" s="63" t="s">
        <v>549</v>
      </c>
    </row>
    <row r="35" spans="1:4" x14ac:dyDescent="0.25">
      <c r="A35" s="61" t="s">
        <v>550</v>
      </c>
      <c r="B35" s="62" t="s">
        <v>551</v>
      </c>
      <c r="C35" s="62" t="s">
        <v>552</v>
      </c>
      <c r="D35" s="62" t="s">
        <v>553</v>
      </c>
    </row>
    <row r="36" spans="1:4" x14ac:dyDescent="0.25">
      <c r="A36" s="207" t="s">
        <v>554</v>
      </c>
      <c r="B36" s="63" t="s">
        <v>555</v>
      </c>
      <c r="C36" s="63" t="s">
        <v>556</v>
      </c>
      <c r="D36" s="63" t="s">
        <v>557</v>
      </c>
    </row>
    <row r="37" spans="1:4" x14ac:dyDescent="0.25">
      <c r="A37" s="61" t="s">
        <v>558</v>
      </c>
      <c r="B37" s="62" t="s">
        <v>559</v>
      </c>
      <c r="C37" s="62" t="s">
        <v>560</v>
      </c>
      <c r="D37" s="62" t="s">
        <v>561</v>
      </c>
    </row>
    <row r="38" spans="1:4" x14ac:dyDescent="0.25">
      <c r="A38" s="207" t="s">
        <v>562</v>
      </c>
      <c r="B38" s="63" t="s">
        <v>563</v>
      </c>
      <c r="C38" s="63" t="s">
        <v>564</v>
      </c>
      <c r="D38" s="63" t="s">
        <v>565</v>
      </c>
    </row>
    <row r="39" spans="1:4" x14ac:dyDescent="0.25">
      <c r="A39" s="61" t="s">
        <v>566</v>
      </c>
      <c r="B39" s="62" t="s">
        <v>567</v>
      </c>
      <c r="C39" s="62" t="s">
        <v>568</v>
      </c>
      <c r="D39" s="62" t="s">
        <v>569</v>
      </c>
    </row>
    <row r="40" spans="1:4" x14ac:dyDescent="0.25">
      <c r="A40" s="207" t="s">
        <v>570</v>
      </c>
      <c r="B40" s="63" t="s">
        <v>571</v>
      </c>
      <c r="C40" s="63" t="s">
        <v>572</v>
      </c>
      <c r="D40" s="63" t="s">
        <v>573</v>
      </c>
    </row>
    <row r="41" spans="1:4" x14ac:dyDescent="0.25">
      <c r="A41" s="61" t="s">
        <v>574</v>
      </c>
      <c r="B41" s="62" t="s">
        <v>575</v>
      </c>
      <c r="C41" s="62" t="s">
        <v>576</v>
      </c>
      <c r="D41" s="62" t="s">
        <v>577</v>
      </c>
    </row>
    <row r="42" spans="1:4" x14ac:dyDescent="0.25">
      <c r="A42" s="207" t="s">
        <v>578</v>
      </c>
      <c r="B42" s="63" t="s">
        <v>579</v>
      </c>
      <c r="C42" s="63" t="s">
        <v>580</v>
      </c>
      <c r="D42" s="63" t="s">
        <v>581</v>
      </c>
    </row>
    <row r="43" spans="1:4" x14ac:dyDescent="0.25">
      <c r="A43" s="61" t="s">
        <v>582</v>
      </c>
      <c r="B43" s="62" t="s">
        <v>583</v>
      </c>
      <c r="C43" s="62" t="s">
        <v>584</v>
      </c>
      <c r="D43" s="62" t="s">
        <v>585</v>
      </c>
    </row>
    <row r="44" spans="1:4" x14ac:dyDescent="0.25">
      <c r="A44" s="207" t="s">
        <v>586</v>
      </c>
      <c r="B44" s="63" t="s">
        <v>587</v>
      </c>
      <c r="C44" s="63" t="s">
        <v>588</v>
      </c>
      <c r="D44" s="63" t="s">
        <v>589</v>
      </c>
    </row>
    <row r="45" spans="1:4" x14ac:dyDescent="0.25">
      <c r="A45" s="61" t="s">
        <v>590</v>
      </c>
      <c r="B45" s="62" t="s">
        <v>591</v>
      </c>
      <c r="C45" s="62" t="s">
        <v>592</v>
      </c>
      <c r="D45" s="62" t="s">
        <v>593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78" t="s">
        <v>594</v>
      </c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  <c r="AV1" s="135" t="s">
        <v>486</v>
      </c>
      <c r="AW1" s="135" t="s">
        <v>487</v>
      </c>
      <c r="AX1" s="135" t="s">
        <v>595</v>
      </c>
      <c r="AY1" s="136" t="s">
        <v>596</v>
      </c>
      <c r="AZ1" s="58" t="s">
        <v>597</v>
      </c>
      <c r="BA1" s="58" t="s">
        <v>598</v>
      </c>
    </row>
    <row r="2" spans="1:53" s="66" customFormat="1" ht="18.75" x14ac:dyDescent="0.3">
      <c r="C2" s="99">
        <f ca="1">TODAY()</f>
        <v>44208</v>
      </c>
      <c r="D2" s="543">
        <v>41471</v>
      </c>
      <c r="E2" s="543"/>
      <c r="F2" s="543"/>
      <c r="G2" s="67"/>
      <c r="H2" s="67"/>
      <c r="I2" s="88"/>
      <c r="J2" s="67"/>
      <c r="K2" s="67"/>
      <c r="L2" s="67"/>
      <c r="M2" s="67"/>
      <c r="N2" s="67"/>
      <c r="O2" s="67"/>
      <c r="P2" s="118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3">
        <f>SUM(AJ4:AJ14)*$AY$3</f>
        <v>0</v>
      </c>
      <c r="AK2" s="133">
        <f>SUM(AK4:AK14)*$AY$3</f>
        <v>0</v>
      </c>
      <c r="AL2" s="133">
        <f>SUM(AL4:AL14)*$AY$2</f>
        <v>0</v>
      </c>
      <c r="AM2" s="133">
        <f>SUM(AM4:AM14)*$AY$4</f>
        <v>4.3637500000000005</v>
      </c>
      <c r="AN2" s="133" t="e">
        <f>SUM(AN4:AN14)*$AY$5</f>
        <v>#REF!</v>
      </c>
      <c r="AO2" s="133" t="e">
        <f>SUM(AO4:AO14)*$AY$5</f>
        <v>#REF!</v>
      </c>
      <c r="AP2" s="133" t="e">
        <f>SUM(AP4:AP14)*$AY$6</f>
        <v>#REF!</v>
      </c>
      <c r="AQ2" s="134" t="e">
        <f>SUM(AQ4:AQ14)</f>
        <v>#REF!</v>
      </c>
      <c r="AR2" s="134" t="e">
        <f>SUM(AR4:AR14)</f>
        <v>#REF!</v>
      </c>
      <c r="AS2" s="134">
        <f>SUM(AS4:AS14)</f>
        <v>7.8562499999999993</v>
      </c>
      <c r="AT2" s="134">
        <f>SUM(AT4:AT14)</f>
        <v>0</v>
      </c>
      <c r="AV2" s="70" t="s">
        <v>488</v>
      </c>
      <c r="AW2" s="137">
        <v>1</v>
      </c>
      <c r="AX2" s="138">
        <v>0.624</v>
      </c>
      <c r="AY2" s="139">
        <v>0.24500000000000002</v>
      </c>
      <c r="AZ2" s="96">
        <f>AY2*10</f>
        <v>2.4500000000000002</v>
      </c>
      <c r="BA2" s="96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0" t="s">
        <v>88</v>
      </c>
      <c r="Q3" s="120" t="s">
        <v>89</v>
      </c>
      <c r="R3" s="119" t="s">
        <v>92</v>
      </c>
      <c r="S3" s="119" t="s">
        <v>107</v>
      </c>
      <c r="T3" s="119" t="s">
        <v>108</v>
      </c>
      <c r="U3" s="119" t="s">
        <v>109</v>
      </c>
      <c r="V3" s="119" t="s">
        <v>110</v>
      </c>
      <c r="W3" s="119" t="s">
        <v>111</v>
      </c>
      <c r="X3" s="119" t="s">
        <v>112</v>
      </c>
      <c r="Y3" s="119" t="s">
        <v>90</v>
      </c>
      <c r="Z3" s="119" t="s">
        <v>107</v>
      </c>
      <c r="AA3" s="119" t="s">
        <v>108</v>
      </c>
      <c r="AB3" s="119" t="s">
        <v>109</v>
      </c>
      <c r="AC3" s="119" t="s">
        <v>110</v>
      </c>
      <c r="AD3" s="119" t="s">
        <v>111</v>
      </c>
      <c r="AE3" s="119" t="s">
        <v>112</v>
      </c>
      <c r="AF3" s="119" t="s">
        <v>90</v>
      </c>
      <c r="AH3" s="579">
        <v>451</v>
      </c>
      <c r="AI3" s="580"/>
      <c r="AJ3" s="94" t="s">
        <v>599</v>
      </c>
      <c r="AK3" s="94" t="s">
        <v>600</v>
      </c>
      <c r="AL3" s="94" t="s">
        <v>601</v>
      </c>
      <c r="AM3" s="94" t="s">
        <v>602</v>
      </c>
      <c r="AN3" s="94" t="s">
        <v>603</v>
      </c>
      <c r="AO3" s="94" t="s">
        <v>604</v>
      </c>
      <c r="AP3" s="94" t="s">
        <v>605</v>
      </c>
      <c r="AQ3" s="94" t="s">
        <v>606</v>
      </c>
      <c r="AR3" s="94" t="s">
        <v>607</v>
      </c>
      <c r="AS3" s="94" t="s">
        <v>479</v>
      </c>
      <c r="AT3" s="94" t="s">
        <v>104</v>
      </c>
      <c r="AV3" s="70" t="s">
        <v>489</v>
      </c>
      <c r="AW3" s="137">
        <v>1</v>
      </c>
      <c r="AX3" s="138">
        <v>1.002</v>
      </c>
      <c r="AY3" s="139">
        <v>0.34000000000000008</v>
      </c>
      <c r="AZ3" s="96">
        <f>AY3*10</f>
        <v>3.4000000000000008</v>
      </c>
      <c r="BA3" s="96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234</v>
      </c>
      <c r="F4" s="71"/>
      <c r="G4" s="245">
        <f>PLANTILLA!H4</f>
        <v>6</v>
      </c>
      <c r="H4" s="57">
        <f>PLANTILLA!I4</f>
        <v>25.5</v>
      </c>
      <c r="I4" s="142">
        <f>PLANTILLA!X4</f>
        <v>13.95</v>
      </c>
      <c r="J4" s="142">
        <f>PLANTILLA!Y4</f>
        <v>8.9499999999999993</v>
      </c>
      <c r="K4" s="142">
        <f>PLANTILLA!Z4</f>
        <v>0.95</v>
      </c>
      <c r="L4" s="142">
        <f>PLANTILLA!AA4</f>
        <v>0</v>
      </c>
      <c r="M4" s="142">
        <f>PLANTILLA!AB4</f>
        <v>0</v>
      </c>
      <c r="N4" s="142">
        <f>PLANTILLA!AC4</f>
        <v>0</v>
      </c>
      <c r="O4" s="142">
        <f>PLANTILLA!AD4</f>
        <v>17.95</v>
      </c>
      <c r="P4" s="70">
        <f t="shared" ref="P4:P27" si="0">D4</f>
        <v>38</v>
      </c>
      <c r="Q4" s="121">
        <f t="shared" ref="Q4:Q27" ca="1" si="1">E4+7</f>
        <v>241</v>
      </c>
      <c r="R4" s="79">
        <f t="shared" ref="R4:R27" si="2">H4+$R$2</f>
        <v>25.5</v>
      </c>
      <c r="S4" s="157">
        <f t="shared" ref="S4:S12" si="3">I4</f>
        <v>13.95</v>
      </c>
      <c r="T4" s="157">
        <f t="shared" ref="T4:T12" si="4">J4</f>
        <v>8.9499999999999993</v>
      </c>
      <c r="U4" s="157">
        <f t="shared" ref="U4:U12" si="5">K4</f>
        <v>0.95</v>
      </c>
      <c r="V4" s="157">
        <f t="shared" ref="V4:V12" si="6">L4</f>
        <v>0</v>
      </c>
      <c r="W4" s="157">
        <f t="shared" ref="W4:W12" si="7">M4</f>
        <v>0</v>
      </c>
      <c r="X4" s="157">
        <f t="shared" ref="X4:X12" si="8">N4</f>
        <v>0</v>
      </c>
      <c r="Y4" s="157">
        <f t="shared" ref="Y4:Y12" si="9">O4</f>
        <v>17.95</v>
      </c>
      <c r="Z4" s="126">
        <f t="shared" ref="Z4:Z27" si="10">S4-I4</f>
        <v>0</v>
      </c>
      <c r="AA4" s="126">
        <f t="shared" ref="AA4:AA27" si="11">T4-J4</f>
        <v>0</v>
      </c>
      <c r="AB4" s="126">
        <f t="shared" ref="AB4:AB27" si="12">U4-K4</f>
        <v>0</v>
      </c>
      <c r="AC4" s="126">
        <f t="shared" ref="AC4:AC27" si="13">V4-L4</f>
        <v>0</v>
      </c>
      <c r="AD4" s="126">
        <f t="shared" ref="AD4:AD27" si="14">W4-M4</f>
        <v>0</v>
      </c>
      <c r="AE4" s="126">
        <f t="shared" ref="AE4:AE27" si="15">X4-N4</f>
        <v>0</v>
      </c>
      <c r="AF4" s="126">
        <f t="shared" ref="AF4:AF27" si="16">Y4-O4</f>
        <v>0</v>
      </c>
      <c r="AH4" s="127" t="s">
        <v>14</v>
      </c>
      <c r="AI4" s="86"/>
      <c r="AJ4" s="129">
        <v>0</v>
      </c>
      <c r="AK4" s="129">
        <v>0</v>
      </c>
      <c r="AL4" s="129">
        <v>0</v>
      </c>
      <c r="AM4" s="129">
        <v>0</v>
      </c>
      <c r="AN4" s="129">
        <v>0</v>
      </c>
      <c r="AO4" s="129">
        <v>0</v>
      </c>
      <c r="AP4" s="129">
        <v>0</v>
      </c>
      <c r="AQ4" s="179">
        <v>0</v>
      </c>
      <c r="AR4" s="179">
        <f>0.08*Z4+0.1*AF4</f>
        <v>0</v>
      </c>
      <c r="AS4" s="131">
        <v>0</v>
      </c>
      <c r="AT4" s="131">
        <v>0</v>
      </c>
      <c r="AV4" s="70" t="s">
        <v>490</v>
      </c>
      <c r="AW4" s="137">
        <v>1</v>
      </c>
      <c r="AX4" s="138">
        <v>0.46800000000000008</v>
      </c>
      <c r="AY4" s="139">
        <v>0.125</v>
      </c>
      <c r="AZ4" s="96">
        <f>AY4*10</f>
        <v>1.25</v>
      </c>
      <c r="BA4" s="96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23</v>
      </c>
      <c r="E5" s="56">
        <f ca="1">PLANTILLA!F5</f>
        <v>161</v>
      </c>
      <c r="F5" s="71" t="str">
        <f>PLANTILLA!G5</f>
        <v>IMP</v>
      </c>
      <c r="G5" s="245">
        <f>PLANTILLA!H5</f>
        <v>0</v>
      </c>
      <c r="H5" s="57">
        <f>PLANTILLA!I5</f>
        <v>3.5</v>
      </c>
      <c r="I5" s="142">
        <f>PLANTILLA!X5</f>
        <v>15</v>
      </c>
      <c r="J5" s="142">
        <f>PLANTILLA!Y5</f>
        <v>5</v>
      </c>
      <c r="K5" s="142">
        <f>PLANTILLA!Z5</f>
        <v>2</v>
      </c>
      <c r="L5" s="142">
        <f>PLANTILLA!AA5</f>
        <v>1</v>
      </c>
      <c r="M5" s="142">
        <f>PLANTILLA!AB5</f>
        <v>5</v>
      </c>
      <c r="N5" s="142">
        <f>PLANTILLA!AC5</f>
        <v>3.1428571428571428</v>
      </c>
      <c r="O5" s="142">
        <f>PLANTILLA!AD5</f>
        <v>20.125</v>
      </c>
      <c r="P5" s="70">
        <f t="shared" si="0"/>
        <v>23</v>
      </c>
      <c r="Q5" s="121">
        <f t="shared" ca="1" si="1"/>
        <v>168</v>
      </c>
      <c r="R5" s="79">
        <f t="shared" si="2"/>
        <v>3.5</v>
      </c>
      <c r="S5" s="157">
        <f t="shared" si="3"/>
        <v>15</v>
      </c>
      <c r="T5" s="157">
        <f t="shared" si="4"/>
        <v>5</v>
      </c>
      <c r="U5" s="157">
        <f t="shared" si="5"/>
        <v>2</v>
      </c>
      <c r="V5" s="157">
        <f t="shared" si="6"/>
        <v>1</v>
      </c>
      <c r="W5" s="157">
        <f t="shared" si="7"/>
        <v>5</v>
      </c>
      <c r="X5" s="157">
        <f t="shared" si="8"/>
        <v>3.1428571428571428</v>
      </c>
      <c r="Y5" s="157">
        <f t="shared" si="9"/>
        <v>20.125</v>
      </c>
      <c r="Z5" s="126">
        <f t="shared" si="10"/>
        <v>0</v>
      </c>
      <c r="AA5" s="126">
        <f t="shared" si="11"/>
        <v>0</v>
      </c>
      <c r="AB5" s="126">
        <f t="shared" si="12"/>
        <v>0</v>
      </c>
      <c r="AC5" s="126">
        <f t="shared" si="13"/>
        <v>0</v>
      </c>
      <c r="AD5" s="126">
        <f t="shared" si="14"/>
        <v>0</v>
      </c>
      <c r="AE5" s="126">
        <f t="shared" si="15"/>
        <v>0</v>
      </c>
      <c r="AF5" s="126">
        <f t="shared" si="16"/>
        <v>0</v>
      </c>
      <c r="AH5" s="127" t="s">
        <v>195</v>
      </c>
      <c r="AI5" s="86"/>
      <c r="AJ5" s="129">
        <v>0</v>
      </c>
      <c r="AK5" s="129">
        <v>0</v>
      </c>
      <c r="AL5" s="129">
        <v>0</v>
      </c>
      <c r="AM5" s="129">
        <v>0</v>
      </c>
      <c r="AN5" s="129">
        <f>AC19*0.588</f>
        <v>0</v>
      </c>
      <c r="AO5" s="129">
        <v>0</v>
      </c>
      <c r="AP5" s="129">
        <v>0</v>
      </c>
      <c r="AQ5" s="131">
        <f>(0.5*AE19+0.3*AF19)/10</f>
        <v>0.14166666666666666</v>
      </c>
      <c r="AR5" s="131">
        <f>(0.4*AA19+0.3*AF19)/10</f>
        <v>0</v>
      </c>
      <c r="AS5" s="131">
        <f>((T19+1)+(W19+1)*2)/8</f>
        <v>3</v>
      </c>
      <c r="AT5" s="131">
        <f>((AA19)+(AD19)*2)/8</f>
        <v>0</v>
      </c>
      <c r="AV5" s="70" t="s">
        <v>491</v>
      </c>
      <c r="AW5" s="137">
        <v>1</v>
      </c>
      <c r="AX5" s="138">
        <v>0.877</v>
      </c>
      <c r="AY5" s="139">
        <v>0.25</v>
      </c>
      <c r="AZ5" s="96">
        <f>AY5*10</f>
        <v>2.5</v>
      </c>
      <c r="BA5" s="96">
        <f>AY5*15</f>
        <v>3.75</v>
      </c>
    </row>
    <row r="6" spans="1:53" ht="18.75" x14ac:dyDescent="0.3">
      <c r="A6" s="5" t="str">
        <f>PLANTILLA!A9</f>
        <v>#2</v>
      </c>
      <c r="B6" s="5" t="str">
        <f>PLANTILLA!B9</f>
        <v>DEF</v>
      </c>
      <c r="C6" s="77" t="str">
        <f>PLANTILLA!D9</f>
        <v>S. Swärdborn</v>
      </c>
      <c r="D6" s="55">
        <f>PLANTILLA!E9</f>
        <v>22</v>
      </c>
      <c r="E6" s="56">
        <f ca="1">PLANTILLA!F9</f>
        <v>190</v>
      </c>
      <c r="F6" s="71"/>
      <c r="G6" s="245">
        <f>PLANTILLA!H9</f>
        <v>2</v>
      </c>
      <c r="H6" s="57">
        <f>PLANTILLA!I9</f>
        <v>4.7</v>
      </c>
      <c r="I6" s="142">
        <f>PLANTILLA!X9</f>
        <v>0</v>
      </c>
      <c r="J6" s="142">
        <f>PLANTILLA!Y9</f>
        <v>12</v>
      </c>
      <c r="K6" s="142">
        <f>PLANTILLA!Z9</f>
        <v>7.2</v>
      </c>
      <c r="L6" s="142">
        <f>PLANTILLA!AA9</f>
        <v>1</v>
      </c>
      <c r="M6" s="142">
        <f>PLANTILLA!AB9</f>
        <v>3</v>
      </c>
      <c r="N6" s="142">
        <f>PLANTILLA!AC9</f>
        <v>6.2</v>
      </c>
      <c r="O6" s="142">
        <f>PLANTILLA!AD9</f>
        <v>16.5</v>
      </c>
      <c r="P6" s="70">
        <f t="shared" si="0"/>
        <v>22</v>
      </c>
      <c r="Q6" s="121">
        <f t="shared" ca="1" si="1"/>
        <v>197</v>
      </c>
      <c r="R6" s="79">
        <f t="shared" si="2"/>
        <v>4.7</v>
      </c>
      <c r="S6" s="157">
        <f t="shared" si="3"/>
        <v>0</v>
      </c>
      <c r="T6" s="157">
        <f t="shared" si="4"/>
        <v>12</v>
      </c>
      <c r="U6" s="157">
        <f t="shared" si="5"/>
        <v>7.2</v>
      </c>
      <c r="V6" s="157">
        <f t="shared" si="6"/>
        <v>1</v>
      </c>
      <c r="W6" s="157">
        <f t="shared" si="7"/>
        <v>3</v>
      </c>
      <c r="X6" s="157">
        <f t="shared" si="8"/>
        <v>6.2</v>
      </c>
      <c r="Y6" s="157">
        <f t="shared" si="9"/>
        <v>16.5</v>
      </c>
      <c r="Z6" s="126">
        <f t="shared" si="10"/>
        <v>0</v>
      </c>
      <c r="AA6" s="126">
        <f t="shared" si="11"/>
        <v>0</v>
      </c>
      <c r="AB6" s="126">
        <f t="shared" si="12"/>
        <v>0</v>
      </c>
      <c r="AC6" s="126">
        <f t="shared" si="13"/>
        <v>0</v>
      </c>
      <c r="AD6" s="126">
        <f t="shared" si="14"/>
        <v>0</v>
      </c>
      <c r="AE6" s="126">
        <f t="shared" si="15"/>
        <v>0</v>
      </c>
      <c r="AF6" s="126">
        <f t="shared" si="16"/>
        <v>0</v>
      </c>
      <c r="AH6" s="128" t="s">
        <v>608</v>
      </c>
      <c r="AI6" s="86"/>
      <c r="AJ6" s="129">
        <v>0</v>
      </c>
      <c r="AK6" s="129">
        <v>0</v>
      </c>
      <c r="AL6" s="129">
        <v>0</v>
      </c>
      <c r="AM6" s="130">
        <v>0</v>
      </c>
      <c r="AN6" s="130">
        <v>0</v>
      </c>
      <c r="AO6" s="130">
        <v>0</v>
      </c>
      <c r="AP6" s="130">
        <v>0</v>
      </c>
      <c r="AQ6" s="132">
        <f>(0.5*AE15+0.3*AF15)/10</f>
        <v>0.17</v>
      </c>
      <c r="AR6" s="132">
        <f>(0.4*AA15+0.3*AF15)/10</f>
        <v>0</v>
      </c>
      <c r="AS6" s="131">
        <f>((T15+1)+(W15+1)*2)/8</f>
        <v>1.375</v>
      </c>
      <c r="AT6" s="131">
        <f>((AA15)+(AD15)*2)/8</f>
        <v>0</v>
      </c>
      <c r="AV6" s="70" t="s">
        <v>492</v>
      </c>
      <c r="AW6" s="137">
        <v>1</v>
      </c>
      <c r="AX6" s="138">
        <v>0.59299999999999997</v>
      </c>
      <c r="AY6" s="139">
        <v>0.19</v>
      </c>
      <c r="AZ6" s="96">
        <f>AY6*10</f>
        <v>1.9</v>
      </c>
      <c r="BA6" s="96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5" t="e">
        <f>#REF!</f>
        <v>#REF!</v>
      </c>
      <c r="H7" s="57" t="e">
        <f>#REF!</f>
        <v>#REF!</v>
      </c>
      <c r="I7" s="142" t="e">
        <f>#REF!</f>
        <v>#REF!</v>
      </c>
      <c r="J7" s="142" t="e">
        <f>#REF!</f>
        <v>#REF!</v>
      </c>
      <c r="K7" s="142" t="e">
        <f>#REF!</f>
        <v>#REF!</v>
      </c>
      <c r="L7" s="142" t="e">
        <f>#REF!</f>
        <v>#REF!</v>
      </c>
      <c r="M7" s="142" t="e">
        <f>#REF!</f>
        <v>#REF!</v>
      </c>
      <c r="N7" s="142" t="e">
        <f>#REF!</f>
        <v>#REF!</v>
      </c>
      <c r="O7" s="142" t="e">
        <f>#REF!</f>
        <v>#REF!</v>
      </c>
      <c r="P7" s="70" t="e">
        <f t="shared" si="0"/>
        <v>#REF!</v>
      </c>
      <c r="Q7" s="121" t="e">
        <f t="shared" si="1"/>
        <v>#REF!</v>
      </c>
      <c r="R7" s="79" t="e">
        <f t="shared" si="2"/>
        <v>#REF!</v>
      </c>
      <c r="S7" s="157" t="e">
        <f t="shared" si="3"/>
        <v>#REF!</v>
      </c>
      <c r="T7" s="157" t="e">
        <f t="shared" si="4"/>
        <v>#REF!</v>
      </c>
      <c r="U7" s="157" t="e">
        <f t="shared" si="5"/>
        <v>#REF!</v>
      </c>
      <c r="V7" s="157" t="e">
        <f t="shared" si="6"/>
        <v>#REF!</v>
      </c>
      <c r="W7" s="157" t="e">
        <f t="shared" si="7"/>
        <v>#REF!</v>
      </c>
      <c r="X7" s="157" t="e">
        <f t="shared" si="8"/>
        <v>#REF!</v>
      </c>
      <c r="Y7" s="157" t="e">
        <f t="shared" si="9"/>
        <v>#REF!</v>
      </c>
      <c r="Z7" s="126" t="e">
        <f t="shared" si="10"/>
        <v>#REF!</v>
      </c>
      <c r="AA7" s="126" t="e">
        <f t="shared" si="11"/>
        <v>#REF!</v>
      </c>
      <c r="AB7" s="126" t="e">
        <f t="shared" si="12"/>
        <v>#REF!</v>
      </c>
      <c r="AC7" s="126" t="e">
        <f t="shared" si="13"/>
        <v>#REF!</v>
      </c>
      <c r="AD7" s="126" t="e">
        <f t="shared" si="14"/>
        <v>#REF!</v>
      </c>
      <c r="AE7" s="126" t="e">
        <f t="shared" si="15"/>
        <v>#REF!</v>
      </c>
      <c r="AF7" s="126" t="e">
        <f t="shared" si="16"/>
        <v>#REF!</v>
      </c>
      <c r="AH7" s="128" t="s">
        <v>608</v>
      </c>
      <c r="AI7" s="86"/>
      <c r="AJ7" s="129">
        <v>0</v>
      </c>
      <c r="AK7" s="129">
        <v>0</v>
      </c>
      <c r="AL7" s="129">
        <v>0</v>
      </c>
      <c r="AM7" s="130">
        <v>0</v>
      </c>
      <c r="AN7" s="130">
        <v>0</v>
      </c>
      <c r="AO7" s="130">
        <f>AC8*0.588</f>
        <v>0</v>
      </c>
      <c r="AP7" s="130">
        <v>0</v>
      </c>
      <c r="AQ7" s="132">
        <f>(0.5*AE8+0.3*AF8)/10</f>
        <v>0</v>
      </c>
      <c r="AR7" s="132">
        <f>(0.4*AA8+0.3*AF8)/10</f>
        <v>0</v>
      </c>
      <c r="AS7" s="131">
        <f>((T8+1)+(W8+1)*2)/8</f>
        <v>3.4812499999999993</v>
      </c>
      <c r="AT7" s="131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36</v>
      </c>
      <c r="E8" s="56">
        <f ca="1">PLANTILLA!F7</f>
        <v>141</v>
      </c>
      <c r="F8" s="71"/>
      <c r="G8" s="245">
        <f>PLANTILLA!H7</f>
        <v>4</v>
      </c>
      <c r="H8" s="57">
        <f>PLANTILLA!I7</f>
        <v>7.1</v>
      </c>
      <c r="I8" s="142">
        <f>PLANTILLA!X7</f>
        <v>0</v>
      </c>
      <c r="J8" s="142">
        <f>PLANTILLA!Y7</f>
        <v>8.9499999999999975</v>
      </c>
      <c r="K8" s="142">
        <f>PLANTILLA!Z7</f>
        <v>7.95</v>
      </c>
      <c r="L8" s="142">
        <f>PLANTILLA!AA7</f>
        <v>4.95</v>
      </c>
      <c r="M8" s="142">
        <f>PLANTILLA!AB7</f>
        <v>7.95</v>
      </c>
      <c r="N8" s="142">
        <f>PLANTILLA!AC7</f>
        <v>0.95</v>
      </c>
      <c r="O8" s="142">
        <f>PLANTILLA!AD7</f>
        <v>14</v>
      </c>
      <c r="P8" s="70">
        <f t="shared" si="0"/>
        <v>36</v>
      </c>
      <c r="Q8" s="121">
        <f t="shared" ca="1" si="1"/>
        <v>148</v>
      </c>
      <c r="R8" s="79">
        <f t="shared" si="2"/>
        <v>7.1</v>
      </c>
      <c r="S8" s="157">
        <f t="shared" si="3"/>
        <v>0</v>
      </c>
      <c r="T8" s="157">
        <f t="shared" si="4"/>
        <v>8.9499999999999975</v>
      </c>
      <c r="U8" s="157">
        <f t="shared" si="5"/>
        <v>7.95</v>
      </c>
      <c r="V8" s="157">
        <f t="shared" si="6"/>
        <v>4.95</v>
      </c>
      <c r="W8" s="157">
        <f t="shared" si="7"/>
        <v>7.95</v>
      </c>
      <c r="X8" s="157">
        <f t="shared" si="8"/>
        <v>0.95</v>
      </c>
      <c r="Y8" s="157">
        <f t="shared" si="9"/>
        <v>14</v>
      </c>
      <c r="Z8" s="126">
        <f t="shared" si="10"/>
        <v>0</v>
      </c>
      <c r="AA8" s="126">
        <f t="shared" si="11"/>
        <v>0</v>
      </c>
      <c r="AB8" s="126">
        <f t="shared" si="12"/>
        <v>0</v>
      </c>
      <c r="AC8" s="126">
        <f t="shared" si="13"/>
        <v>0</v>
      </c>
      <c r="AD8" s="126">
        <f t="shared" si="14"/>
        <v>0</v>
      </c>
      <c r="AE8" s="126">
        <f t="shared" si="15"/>
        <v>0</v>
      </c>
      <c r="AF8" s="126">
        <f t="shared" si="16"/>
        <v>0</v>
      </c>
      <c r="AH8" s="127" t="s">
        <v>195</v>
      </c>
      <c r="AI8" s="86"/>
      <c r="AJ8" s="129">
        <v>0</v>
      </c>
      <c r="AK8" s="129">
        <v>0</v>
      </c>
      <c r="AL8" s="129">
        <v>0</v>
      </c>
      <c r="AM8" s="129">
        <v>0</v>
      </c>
      <c r="AN8" s="129" t="e">
        <f>(#REF!*0.864)+(#REF!*0.244)</f>
        <v>#REF!</v>
      </c>
      <c r="AO8" s="129">
        <v>0</v>
      </c>
      <c r="AP8" s="129" t="e">
        <f>(#REF!*0.121)</f>
        <v>#REF!</v>
      </c>
      <c r="AQ8" s="132" t="e">
        <f>(0.5*#REF!+0.3*#REF!)/10</f>
        <v>#REF!</v>
      </c>
      <c r="AR8" s="132" t="e">
        <f>(0.4*#REF!+0.3*#REF!)/10</f>
        <v>#REF!</v>
      </c>
      <c r="AS8" s="131">
        <v>0</v>
      </c>
      <c r="AT8" s="131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5" t="e">
        <f>PLANTILLA!#REF!</f>
        <v>#REF!</v>
      </c>
      <c r="H9" s="57" t="e">
        <f>PLANTILLA!#REF!</f>
        <v>#REF!</v>
      </c>
      <c r="I9" s="142" t="e">
        <f>PLANTILLA!#REF!</f>
        <v>#REF!</v>
      </c>
      <c r="J9" s="142" t="e">
        <f>PLANTILLA!#REF!</f>
        <v>#REF!</v>
      </c>
      <c r="K9" s="142" t="e">
        <f>PLANTILLA!#REF!</f>
        <v>#REF!</v>
      </c>
      <c r="L9" s="142" t="e">
        <f>PLANTILLA!#REF!</f>
        <v>#REF!</v>
      </c>
      <c r="M9" s="142" t="e">
        <f>PLANTILLA!#REF!</f>
        <v>#REF!</v>
      </c>
      <c r="N9" s="142" t="e">
        <f>PLANTILLA!#REF!</f>
        <v>#REF!</v>
      </c>
      <c r="O9" s="142" t="e">
        <f>PLANTILLA!#REF!</f>
        <v>#REF!</v>
      </c>
      <c r="P9" s="70" t="e">
        <f t="shared" si="0"/>
        <v>#REF!</v>
      </c>
      <c r="Q9" s="121" t="e">
        <f t="shared" si="1"/>
        <v>#REF!</v>
      </c>
      <c r="R9" s="79" t="e">
        <f t="shared" si="2"/>
        <v>#REF!</v>
      </c>
      <c r="S9" s="157" t="e">
        <f t="shared" si="3"/>
        <v>#REF!</v>
      </c>
      <c r="T9" s="157" t="e">
        <f t="shared" si="4"/>
        <v>#REF!</v>
      </c>
      <c r="U9" s="157" t="e">
        <f t="shared" si="5"/>
        <v>#REF!</v>
      </c>
      <c r="V9" s="157" t="e">
        <f t="shared" si="6"/>
        <v>#REF!</v>
      </c>
      <c r="W9" s="157" t="e">
        <f t="shared" si="7"/>
        <v>#REF!</v>
      </c>
      <c r="X9" s="157" t="e">
        <f t="shared" si="8"/>
        <v>#REF!</v>
      </c>
      <c r="Y9" s="157" t="e">
        <f t="shared" si="9"/>
        <v>#REF!</v>
      </c>
      <c r="Z9" s="126" t="e">
        <f t="shared" si="10"/>
        <v>#REF!</v>
      </c>
      <c r="AA9" s="126" t="e">
        <f t="shared" si="11"/>
        <v>#REF!</v>
      </c>
      <c r="AB9" s="126" t="e">
        <f t="shared" si="12"/>
        <v>#REF!</v>
      </c>
      <c r="AC9" s="126" t="e">
        <f t="shared" si="13"/>
        <v>#REF!</v>
      </c>
      <c r="AD9" s="126" t="e">
        <f t="shared" si="14"/>
        <v>#REF!</v>
      </c>
      <c r="AE9" s="126" t="e">
        <f t="shared" si="15"/>
        <v>#REF!</v>
      </c>
      <c r="AF9" s="126" t="e">
        <f t="shared" si="16"/>
        <v>#REF!</v>
      </c>
      <c r="AH9" s="128" t="s">
        <v>135</v>
      </c>
      <c r="AI9" s="5" t="str">
        <f>C15</f>
        <v>G. Piscaer</v>
      </c>
      <c r="AJ9" s="130">
        <f>AA15*0.189</f>
        <v>0</v>
      </c>
      <c r="AK9" s="130">
        <v>0</v>
      </c>
      <c r="AL9" s="130">
        <f>AA15*0.4</f>
        <v>0</v>
      </c>
      <c r="AM9" s="130">
        <f>AB15*1</f>
        <v>7.9999999999999982</v>
      </c>
      <c r="AN9" s="130">
        <f>(AC13*0.574)+(AD13*0.315)</f>
        <v>0</v>
      </c>
      <c r="AO9" s="130">
        <v>0</v>
      </c>
      <c r="AP9" s="130">
        <f>AD13*0.241</f>
        <v>0</v>
      </c>
      <c r="AQ9" s="132">
        <f>(0.5*AE13+0.3*AF13)/10</f>
        <v>0.16999999999999998</v>
      </c>
      <c r="AR9" s="132">
        <f>(0.4*AA13+0.3*AF13)/10</f>
        <v>0</v>
      </c>
      <c r="AS9" s="132">
        <v>0</v>
      </c>
      <c r="AT9" s="132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7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5" t="e">
        <f>PLANTILLA!#REF!</f>
        <v>#REF!</v>
      </c>
      <c r="H10" s="57" t="e">
        <f>PLANTILLA!#REF!</f>
        <v>#REF!</v>
      </c>
      <c r="I10" s="142" t="e">
        <f>PLANTILLA!#REF!</f>
        <v>#REF!</v>
      </c>
      <c r="J10" s="142" t="e">
        <f>PLANTILLA!#REF!</f>
        <v>#REF!</v>
      </c>
      <c r="K10" s="142" t="e">
        <f>PLANTILLA!#REF!</f>
        <v>#REF!</v>
      </c>
      <c r="L10" s="142" t="e">
        <f>PLANTILLA!#REF!</f>
        <v>#REF!</v>
      </c>
      <c r="M10" s="142" t="e">
        <f>PLANTILLA!#REF!</f>
        <v>#REF!</v>
      </c>
      <c r="N10" s="142" t="e">
        <f>PLANTILLA!#REF!</f>
        <v>#REF!</v>
      </c>
      <c r="O10" s="142" t="e">
        <f>PLANTILLA!#REF!</f>
        <v>#REF!</v>
      </c>
      <c r="P10" s="70" t="e">
        <f t="shared" si="0"/>
        <v>#REF!</v>
      </c>
      <c r="Q10" s="121" t="e">
        <f t="shared" si="1"/>
        <v>#REF!</v>
      </c>
      <c r="R10" s="79" t="e">
        <f t="shared" si="2"/>
        <v>#REF!</v>
      </c>
      <c r="S10" s="157" t="e">
        <f t="shared" si="3"/>
        <v>#REF!</v>
      </c>
      <c r="T10" s="157" t="e">
        <f t="shared" si="4"/>
        <v>#REF!</v>
      </c>
      <c r="U10" s="157" t="e">
        <f t="shared" si="5"/>
        <v>#REF!</v>
      </c>
      <c r="V10" s="157" t="e">
        <f t="shared" si="6"/>
        <v>#REF!</v>
      </c>
      <c r="W10" s="157" t="e">
        <f t="shared" si="7"/>
        <v>#REF!</v>
      </c>
      <c r="X10" s="157" t="e">
        <f t="shared" si="8"/>
        <v>#REF!</v>
      </c>
      <c r="Y10" s="157" t="e">
        <f t="shared" si="9"/>
        <v>#REF!</v>
      </c>
      <c r="Z10" s="126" t="e">
        <f t="shared" si="10"/>
        <v>#REF!</v>
      </c>
      <c r="AA10" s="126" t="e">
        <f t="shared" si="11"/>
        <v>#REF!</v>
      </c>
      <c r="AB10" s="126" t="e">
        <f t="shared" si="12"/>
        <v>#REF!</v>
      </c>
      <c r="AC10" s="126" t="e">
        <f t="shared" si="13"/>
        <v>#REF!</v>
      </c>
      <c r="AD10" s="126" t="e">
        <f t="shared" si="14"/>
        <v>#REF!</v>
      </c>
      <c r="AE10" s="126" t="e">
        <f t="shared" si="15"/>
        <v>#REF!</v>
      </c>
      <c r="AF10" s="126" t="e">
        <f t="shared" si="16"/>
        <v>#REF!</v>
      </c>
      <c r="AH10" s="128" t="s">
        <v>609</v>
      </c>
      <c r="AI10" s="5" t="str">
        <f>C18</f>
        <v>R. Forsyth</v>
      </c>
      <c r="AJ10" s="130">
        <f>AA18*((0.27+0.135)/2)</f>
        <v>0</v>
      </c>
      <c r="AK10" s="130">
        <f>AJ10</f>
        <v>0</v>
      </c>
      <c r="AL10" s="130">
        <f>AA18*0.594</f>
        <v>0</v>
      </c>
      <c r="AM10" s="130">
        <f>AB18*0.944</f>
        <v>7.5519999999999996</v>
      </c>
      <c r="AN10" s="130">
        <f>AD16*0.188</f>
        <v>0</v>
      </c>
      <c r="AO10" s="130">
        <f>AN10</f>
        <v>0</v>
      </c>
      <c r="AP10" s="130">
        <f>AD16*0.507+AE16*0.31</f>
        <v>1.054</v>
      </c>
      <c r="AQ10" s="132">
        <f>(0.5*AE16+0.3*AF16)/10</f>
        <v>0.17</v>
      </c>
      <c r="AR10" s="132">
        <f>(0.4*AA16+0.3*AF16)/10</f>
        <v>0</v>
      </c>
      <c r="AS10" s="132">
        <v>0</v>
      </c>
      <c r="AT10" s="132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5" t="e">
        <f>#REF!</f>
        <v>#REF!</v>
      </c>
      <c r="H11" s="57" t="e">
        <f>#REF!</f>
        <v>#REF!</v>
      </c>
      <c r="I11" s="142" t="e">
        <f>#REF!</f>
        <v>#REF!</v>
      </c>
      <c r="J11" s="142" t="e">
        <f>#REF!</f>
        <v>#REF!</v>
      </c>
      <c r="K11" s="142" t="e">
        <f>#REF!</f>
        <v>#REF!</v>
      </c>
      <c r="L11" s="142" t="e">
        <f>#REF!</f>
        <v>#REF!</v>
      </c>
      <c r="M11" s="142" t="e">
        <f>#REF!</f>
        <v>#REF!</v>
      </c>
      <c r="N11" s="142" t="e">
        <f>#REF!</f>
        <v>#REF!</v>
      </c>
      <c r="O11" s="142" t="e">
        <f>#REF!</f>
        <v>#REF!</v>
      </c>
      <c r="P11" s="70" t="e">
        <f t="shared" si="0"/>
        <v>#REF!</v>
      </c>
      <c r="Q11" s="121" t="e">
        <f t="shared" si="1"/>
        <v>#REF!</v>
      </c>
      <c r="R11" s="79" t="e">
        <f t="shared" si="2"/>
        <v>#REF!</v>
      </c>
      <c r="S11" s="157" t="e">
        <f t="shared" si="3"/>
        <v>#REF!</v>
      </c>
      <c r="T11" s="157" t="e">
        <f t="shared" si="4"/>
        <v>#REF!</v>
      </c>
      <c r="U11" s="157" t="e">
        <f t="shared" si="5"/>
        <v>#REF!</v>
      </c>
      <c r="V11" s="157" t="e">
        <f t="shared" si="6"/>
        <v>#REF!</v>
      </c>
      <c r="W11" s="157" t="e">
        <f t="shared" si="7"/>
        <v>#REF!</v>
      </c>
      <c r="X11" s="157" t="e">
        <f t="shared" si="8"/>
        <v>#REF!</v>
      </c>
      <c r="Y11" s="157" t="e">
        <f t="shared" si="9"/>
        <v>#REF!</v>
      </c>
      <c r="Z11" s="126" t="e">
        <f t="shared" si="10"/>
        <v>#REF!</v>
      </c>
      <c r="AA11" s="126" t="e">
        <f t="shared" si="11"/>
        <v>#REF!</v>
      </c>
      <c r="AB11" s="126" t="e">
        <f t="shared" si="12"/>
        <v>#REF!</v>
      </c>
      <c r="AC11" s="126" t="e">
        <f t="shared" si="13"/>
        <v>#REF!</v>
      </c>
      <c r="AD11" s="126" t="e">
        <f t="shared" si="14"/>
        <v>#REF!</v>
      </c>
      <c r="AE11" s="126" t="e">
        <f t="shared" si="15"/>
        <v>#REF!</v>
      </c>
      <c r="AF11" s="126" t="e">
        <f t="shared" si="16"/>
        <v>#REF!</v>
      </c>
      <c r="AH11" s="128" t="s">
        <v>135</v>
      </c>
      <c r="AI11" s="5" t="str">
        <f>C13</f>
        <v>I. Vanags</v>
      </c>
      <c r="AJ11" s="130">
        <v>0</v>
      </c>
      <c r="AK11" s="130">
        <f>AA13*0.189</f>
        <v>0</v>
      </c>
      <c r="AL11" s="130">
        <f>AA13*0.4</f>
        <v>0</v>
      </c>
      <c r="AM11" s="130">
        <f>AB13*1</f>
        <v>8</v>
      </c>
      <c r="AN11" s="130">
        <v>0</v>
      </c>
      <c r="AO11" s="130">
        <f>(AC14*0.574)+(AD14*0.314)</f>
        <v>0</v>
      </c>
      <c r="AP11" s="130">
        <f>AD14*0.241</f>
        <v>0</v>
      </c>
      <c r="AQ11" s="132">
        <f>(0.5*AE14+0.3*AF14)/10</f>
        <v>0.14166666666666669</v>
      </c>
      <c r="AR11" s="132">
        <f>(0.4*AA14+0.3*AF14)/10</f>
        <v>0</v>
      </c>
      <c r="AS11" s="132">
        <v>0</v>
      </c>
      <c r="AT11" s="132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5" t="e">
        <f>#REF!</f>
        <v>#REF!</v>
      </c>
      <c r="H12" s="57" t="e">
        <f>#REF!</f>
        <v>#REF!</v>
      </c>
      <c r="I12" s="142" t="e">
        <f>#REF!</f>
        <v>#REF!</v>
      </c>
      <c r="J12" s="142" t="e">
        <f>#REF!</f>
        <v>#REF!</v>
      </c>
      <c r="K12" s="142" t="e">
        <f>#REF!</f>
        <v>#REF!</v>
      </c>
      <c r="L12" s="142" t="e">
        <f>#REF!</f>
        <v>#REF!</v>
      </c>
      <c r="M12" s="142" t="e">
        <f>#REF!</f>
        <v>#REF!</v>
      </c>
      <c r="N12" s="142" t="e">
        <f>#REF!</f>
        <v>#REF!</v>
      </c>
      <c r="O12" s="142" t="e">
        <f>#REF!</f>
        <v>#REF!</v>
      </c>
      <c r="P12" s="70" t="e">
        <f t="shared" si="0"/>
        <v>#REF!</v>
      </c>
      <c r="Q12" s="121" t="e">
        <f t="shared" si="1"/>
        <v>#REF!</v>
      </c>
      <c r="R12" s="79" t="e">
        <f t="shared" si="2"/>
        <v>#REF!</v>
      </c>
      <c r="S12" s="157" t="e">
        <f t="shared" si="3"/>
        <v>#REF!</v>
      </c>
      <c r="T12" s="157" t="e">
        <f t="shared" si="4"/>
        <v>#REF!</v>
      </c>
      <c r="U12" s="157" t="e">
        <f t="shared" si="5"/>
        <v>#REF!</v>
      </c>
      <c r="V12" s="157" t="e">
        <f t="shared" si="6"/>
        <v>#REF!</v>
      </c>
      <c r="W12" s="157" t="e">
        <f t="shared" si="7"/>
        <v>#REF!</v>
      </c>
      <c r="X12" s="157" t="e">
        <f t="shared" si="8"/>
        <v>#REF!</v>
      </c>
      <c r="Y12" s="157" t="e">
        <f t="shared" si="9"/>
        <v>#REF!</v>
      </c>
      <c r="Z12" s="126" t="e">
        <f t="shared" si="10"/>
        <v>#REF!</v>
      </c>
      <c r="AA12" s="126" t="e">
        <f t="shared" si="11"/>
        <v>#REF!</v>
      </c>
      <c r="AB12" s="126" t="e">
        <f t="shared" si="12"/>
        <v>#REF!</v>
      </c>
      <c r="AC12" s="126" t="e">
        <f t="shared" si="13"/>
        <v>#REF!</v>
      </c>
      <c r="AD12" s="126" t="e">
        <f t="shared" si="14"/>
        <v>#REF!</v>
      </c>
      <c r="AE12" s="126" t="e">
        <f t="shared" si="15"/>
        <v>#REF!</v>
      </c>
      <c r="AF12" s="126" t="e">
        <f t="shared" si="16"/>
        <v>#REF!</v>
      </c>
      <c r="AH12" s="128" t="s">
        <v>610</v>
      </c>
      <c r="AI12" s="5" t="str">
        <f>C14</f>
        <v>I. Stone</v>
      </c>
      <c r="AJ12" s="130">
        <f>AA14*0.284</f>
        <v>0</v>
      </c>
      <c r="AK12" s="130">
        <v>0</v>
      </c>
      <c r="AL12" s="130">
        <f>AA14*0.244</f>
        <v>0</v>
      </c>
      <c r="AM12" s="130">
        <f>AB14*0.631</f>
        <v>6.3100000000000005</v>
      </c>
      <c r="AN12" s="130">
        <v>0</v>
      </c>
      <c r="AO12" s="130" t="e">
        <f>(AC11*1)+(AD11*0.286)</f>
        <v>#REF!</v>
      </c>
      <c r="AP12" s="130" t="e">
        <f>AD11*0.135</f>
        <v>#REF!</v>
      </c>
      <c r="AQ12" s="132" t="e">
        <f>(0.5*AE11+0.3*AF11)/10</f>
        <v>#REF!</v>
      </c>
      <c r="AR12" s="132" t="e">
        <f>(0.4*AA11+0.3*AF11)/10</f>
        <v>#REF!</v>
      </c>
      <c r="AS12" s="132">
        <v>0</v>
      </c>
      <c r="AT12" s="132">
        <v>0</v>
      </c>
    </row>
    <row r="13" spans="1:53" s="1" customFormat="1" x14ac:dyDescent="0.25">
      <c r="A13" s="5" t="str">
        <f>PLANTILLA!A14</f>
        <v>#16</v>
      </c>
      <c r="B13" s="5" t="str">
        <f>PLANTILLA!B14</f>
        <v>MED</v>
      </c>
      <c r="C13" s="77" t="str">
        <f>PLANTILLA!D14</f>
        <v>I. Vanags</v>
      </c>
      <c r="D13" s="55">
        <f>PLANTILLA!E14</f>
        <v>22</v>
      </c>
      <c r="E13" s="56">
        <f ca="1">PLANTILLA!F14</f>
        <v>189</v>
      </c>
      <c r="F13" s="71" t="str">
        <f>PLANTILLA!G14</f>
        <v>CAB</v>
      </c>
      <c r="G13" s="245">
        <f>PLANTILLA!H14</f>
        <v>4</v>
      </c>
      <c r="H13" s="57">
        <f>PLANTILLA!I14</f>
        <v>2.6</v>
      </c>
      <c r="I13" s="142">
        <f>PLANTILLA!X14</f>
        <v>0</v>
      </c>
      <c r="J13" s="142">
        <f>PLANTILLA!Y14</f>
        <v>4</v>
      </c>
      <c r="K13" s="142">
        <f>PLANTILLA!Z14</f>
        <v>13.222222222222221</v>
      </c>
      <c r="L13" s="142">
        <f>PLANTILLA!AA14</f>
        <v>3</v>
      </c>
      <c r="M13" s="142">
        <f>PLANTILLA!AB14</f>
        <v>4</v>
      </c>
      <c r="N13" s="142">
        <f>PLANTILLA!AC14</f>
        <v>7.2</v>
      </c>
      <c r="O13" s="142">
        <f>PLANTILLA!AD14</f>
        <v>17.666666666666668</v>
      </c>
      <c r="P13" s="70">
        <f t="shared" si="0"/>
        <v>22</v>
      </c>
      <c r="Q13" s="121">
        <f t="shared" ca="1" si="1"/>
        <v>196</v>
      </c>
      <c r="R13" s="79">
        <f t="shared" si="2"/>
        <v>2.6</v>
      </c>
      <c r="S13" s="157">
        <f t="shared" ref="S13:S27" si="17">I13</f>
        <v>0</v>
      </c>
      <c r="T13" s="157">
        <f>J13+T$2/4</f>
        <v>4</v>
      </c>
      <c r="U13" s="157">
        <f>K13+U$2/5</f>
        <v>21.222222222222221</v>
      </c>
      <c r="V13" s="157">
        <f t="shared" ref="V13:V27" si="18">L13</f>
        <v>3</v>
      </c>
      <c r="W13" s="157">
        <f t="shared" ref="W13:W27" si="19">M13</f>
        <v>4</v>
      </c>
      <c r="X13" s="157">
        <f>N13+X$2/5</f>
        <v>10.6</v>
      </c>
      <c r="Y13" s="157">
        <f t="shared" ref="Y13:Y22" si="20">O13+Y$2/1</f>
        <v>17.666666666666668</v>
      </c>
      <c r="Z13" s="126">
        <f t="shared" si="10"/>
        <v>0</v>
      </c>
      <c r="AA13" s="126">
        <f t="shared" si="11"/>
        <v>0</v>
      </c>
      <c r="AB13" s="126">
        <f t="shared" si="12"/>
        <v>8</v>
      </c>
      <c r="AC13" s="126">
        <f t="shared" si="13"/>
        <v>0</v>
      </c>
      <c r="AD13" s="126">
        <f t="shared" si="14"/>
        <v>0</v>
      </c>
      <c r="AE13" s="126">
        <f t="shared" si="15"/>
        <v>3.3999999999999995</v>
      </c>
      <c r="AF13" s="126">
        <f t="shared" si="16"/>
        <v>0</v>
      </c>
      <c r="AH13" s="128" t="s">
        <v>610</v>
      </c>
      <c r="AI13" s="86" t="str">
        <f>C16</f>
        <v>M. Bondarewski</v>
      </c>
      <c r="AJ13" s="129">
        <v>0</v>
      </c>
      <c r="AK13" s="129">
        <f>AA16*0.284</f>
        <v>0</v>
      </c>
      <c r="AL13" s="130">
        <f>AA16*0.244</f>
        <v>0</v>
      </c>
      <c r="AM13" s="129">
        <f>AB16*0.631</f>
        <v>5.0479999999999992</v>
      </c>
      <c r="AN13" s="129">
        <f>(AD20*0.142)+(AC20*0.221)+(AE20*0.26)</f>
        <v>0.88400000000000012</v>
      </c>
      <c r="AO13" s="129">
        <f>AN13</f>
        <v>0.88400000000000012</v>
      </c>
      <c r="AP13" s="129">
        <f>(AD20*0.369)+(AE20*1)</f>
        <v>3.4000000000000004</v>
      </c>
      <c r="AQ13" s="178">
        <f>((0.5*AE20+0.3*AF20)/10)+0.09*AF20</f>
        <v>0.17</v>
      </c>
      <c r="AR13" s="178">
        <f>(0.4*AA20+0.3*AF20)/10</f>
        <v>0</v>
      </c>
      <c r="AS13" s="131">
        <v>0</v>
      </c>
      <c r="AT13" s="131">
        <v>0</v>
      </c>
    </row>
    <row r="14" spans="1:53" x14ac:dyDescent="0.25">
      <c r="A14" s="5" t="str">
        <f>PLANTILLA!A15</f>
        <v>#8</v>
      </c>
      <c r="B14" s="5" t="str">
        <f>PLANTILLA!B15</f>
        <v>MED</v>
      </c>
      <c r="C14" s="77" t="str">
        <f>PLANTILLA!D15</f>
        <v>I. Stone</v>
      </c>
      <c r="D14" s="55">
        <f>PLANTILLA!E15</f>
        <v>22</v>
      </c>
      <c r="E14" s="56">
        <f ca="1">PLANTILLA!F15</f>
        <v>132</v>
      </c>
      <c r="F14" s="71" t="str">
        <f>PLANTILLA!G15</f>
        <v>RAP</v>
      </c>
      <c r="G14" s="245">
        <f>PLANTILLA!H15</f>
        <v>6</v>
      </c>
      <c r="H14" s="57">
        <f>PLANTILLA!I15</f>
        <v>4</v>
      </c>
      <c r="I14" s="142">
        <f>PLANTILLA!X15</f>
        <v>0</v>
      </c>
      <c r="J14" s="142">
        <f>PLANTILLA!Y15</f>
        <v>3</v>
      </c>
      <c r="K14" s="142">
        <f>PLANTILLA!Z15</f>
        <v>12.222222222222221</v>
      </c>
      <c r="L14" s="142">
        <f>PLANTILLA!AA15</f>
        <v>2</v>
      </c>
      <c r="M14" s="142">
        <f>PLANTILLA!AB15</f>
        <v>6</v>
      </c>
      <c r="N14" s="142">
        <f>PLANTILLA!AC15</f>
        <v>9.1428571428571423</v>
      </c>
      <c r="O14" s="142">
        <f>PLANTILLA!AD15</f>
        <v>16.5</v>
      </c>
      <c r="P14" s="70">
        <f t="shared" si="0"/>
        <v>22</v>
      </c>
      <c r="Q14" s="121">
        <f t="shared" ca="1" si="1"/>
        <v>139</v>
      </c>
      <c r="R14" s="79">
        <f t="shared" si="2"/>
        <v>4</v>
      </c>
      <c r="S14" s="157">
        <f t="shared" si="17"/>
        <v>0</v>
      </c>
      <c r="T14" s="157">
        <f>J14+T$2/3</f>
        <v>3</v>
      </c>
      <c r="U14" s="157">
        <f>K14+U$2/4</f>
        <v>22.222222222222221</v>
      </c>
      <c r="V14" s="157">
        <f t="shared" si="18"/>
        <v>2</v>
      </c>
      <c r="W14" s="157">
        <f t="shared" si="19"/>
        <v>6</v>
      </c>
      <c r="X14" s="157">
        <f>N14+X$2/6</f>
        <v>11.976190476190476</v>
      </c>
      <c r="Y14" s="157">
        <f t="shared" si="20"/>
        <v>16.5</v>
      </c>
      <c r="Z14" s="126">
        <f t="shared" si="10"/>
        <v>0</v>
      </c>
      <c r="AA14" s="126">
        <f t="shared" si="11"/>
        <v>0</v>
      </c>
      <c r="AB14" s="126">
        <f t="shared" si="12"/>
        <v>10</v>
      </c>
      <c r="AC14" s="126">
        <f t="shared" si="13"/>
        <v>0</v>
      </c>
      <c r="AD14" s="126">
        <f t="shared" si="14"/>
        <v>0</v>
      </c>
      <c r="AE14" s="126">
        <f t="shared" si="15"/>
        <v>2.8333333333333339</v>
      </c>
      <c r="AF14" s="126">
        <f t="shared" si="16"/>
        <v>0</v>
      </c>
      <c r="AH14" s="128" t="s">
        <v>140</v>
      </c>
      <c r="AI14" s="5"/>
      <c r="AJ14" s="130">
        <v>0</v>
      </c>
      <c r="AK14" s="130">
        <v>0</v>
      </c>
      <c r="AL14" s="130">
        <v>0</v>
      </c>
      <c r="AM14" s="129">
        <v>0</v>
      </c>
      <c r="AN14" s="129" t="e">
        <f>(AD12*0.142)+(AC12*0.221)+(AE12*0.26)</f>
        <v>#REF!</v>
      </c>
      <c r="AO14" s="129" t="e">
        <f>AN14</f>
        <v>#REF!</v>
      </c>
      <c r="AP14" s="129" t="e">
        <f>(AD12*0.369)+(AE12*1)</f>
        <v>#REF!</v>
      </c>
      <c r="AQ14" s="132" t="e">
        <f>(0.5*AE12+0.3*AF12)/10</f>
        <v>#REF!</v>
      </c>
      <c r="AR14" s="132" t="e">
        <f>(0.4*AA12+0.3*AF12)/10</f>
        <v>#REF!</v>
      </c>
      <c r="AS14" s="131">
        <v>0</v>
      </c>
      <c r="AT14" s="131">
        <v>0</v>
      </c>
    </row>
    <row r="15" spans="1:53" s="66" customFormat="1" x14ac:dyDescent="0.25">
      <c r="A15" s="5" t="str">
        <f>PLANTILLA!A16</f>
        <v>#14</v>
      </c>
      <c r="B15" s="5" t="str">
        <f>PLANTILLA!B16</f>
        <v>MED</v>
      </c>
      <c r="C15" s="77" t="str">
        <f>PLANTILLA!D16</f>
        <v>G. Piscaer</v>
      </c>
      <c r="D15" s="55">
        <f>PLANTILLA!E16</f>
        <v>22</v>
      </c>
      <c r="E15" s="56">
        <f ca="1">PLANTILLA!F16</f>
        <v>205</v>
      </c>
      <c r="F15" s="71" t="str">
        <f>PLANTILLA!G16</f>
        <v>IMP</v>
      </c>
      <c r="G15" s="245">
        <f>PLANTILLA!H16</f>
        <v>1</v>
      </c>
      <c r="H15" s="57">
        <f>PLANTILLA!I16</f>
        <v>3.7</v>
      </c>
      <c r="I15" s="142">
        <f>PLANTILLA!X16</f>
        <v>0</v>
      </c>
      <c r="J15" s="142">
        <f>PLANTILLA!Y16</f>
        <v>4</v>
      </c>
      <c r="K15" s="142">
        <f>PLANTILLA!Z16</f>
        <v>13.666666666666666</v>
      </c>
      <c r="L15" s="142">
        <f>PLANTILLA!AA16</f>
        <v>3</v>
      </c>
      <c r="M15" s="142">
        <f>PLANTILLA!AB16</f>
        <v>2</v>
      </c>
      <c r="N15" s="142">
        <f>PLANTILLA!AC16</f>
        <v>8.1666666666666661</v>
      </c>
      <c r="O15" s="142">
        <f>PLANTILLA!AD16</f>
        <v>15.666666666666666</v>
      </c>
      <c r="P15" s="70">
        <f t="shared" si="0"/>
        <v>22</v>
      </c>
      <c r="Q15" s="121">
        <f t="shared" ca="1" si="1"/>
        <v>212</v>
      </c>
      <c r="R15" s="79">
        <f t="shared" si="2"/>
        <v>3.7</v>
      </c>
      <c r="S15" s="157">
        <f t="shared" si="17"/>
        <v>0</v>
      </c>
      <c r="T15" s="157">
        <f>J15+T$2/4</f>
        <v>4</v>
      </c>
      <c r="U15" s="157">
        <f>K15+U$2/5</f>
        <v>21.666666666666664</v>
      </c>
      <c r="V15" s="157">
        <f t="shared" si="18"/>
        <v>3</v>
      </c>
      <c r="W15" s="157">
        <f t="shared" si="19"/>
        <v>2</v>
      </c>
      <c r="X15" s="157">
        <f>N15+X$2/5</f>
        <v>11.566666666666666</v>
      </c>
      <c r="Y15" s="157">
        <f t="shared" si="20"/>
        <v>15.666666666666666</v>
      </c>
      <c r="Z15" s="126">
        <f t="shared" si="10"/>
        <v>0</v>
      </c>
      <c r="AA15" s="126">
        <f t="shared" si="11"/>
        <v>0</v>
      </c>
      <c r="AB15" s="126">
        <f t="shared" si="12"/>
        <v>7.9999999999999982</v>
      </c>
      <c r="AC15" s="126">
        <f t="shared" si="13"/>
        <v>0</v>
      </c>
      <c r="AD15" s="126">
        <f t="shared" si="14"/>
        <v>0</v>
      </c>
      <c r="AE15" s="126">
        <f t="shared" si="15"/>
        <v>3.4000000000000004</v>
      </c>
      <c r="AF15" s="126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PLANTILLA!A17</f>
        <v>#9</v>
      </c>
      <c r="B16" s="5" t="str">
        <f>PLANTILLA!B17</f>
        <v>MED</v>
      </c>
      <c r="C16" s="77" t="str">
        <f>PLANTILLA!D17</f>
        <v>M. Bondarewski</v>
      </c>
      <c r="D16" s="55">
        <f>PLANTILLA!E17</f>
        <v>22</v>
      </c>
      <c r="E16" s="56">
        <f ca="1">PLANTILLA!F17</f>
        <v>205</v>
      </c>
      <c r="F16" s="71" t="str">
        <f>PLANTILLA!G17</f>
        <v>RAP</v>
      </c>
      <c r="G16" s="245">
        <f>PLANTILLA!H17</f>
        <v>1</v>
      </c>
      <c r="H16" s="57">
        <f>PLANTILLA!I17</f>
        <v>4</v>
      </c>
      <c r="I16" s="142">
        <f>PLANTILLA!X17</f>
        <v>0</v>
      </c>
      <c r="J16" s="142">
        <f>PLANTILLA!Y17</f>
        <v>2</v>
      </c>
      <c r="K16" s="142">
        <f>PLANTILLA!Z17</f>
        <v>13.666666666666666</v>
      </c>
      <c r="L16" s="142">
        <f>PLANTILLA!AA17</f>
        <v>5</v>
      </c>
      <c r="M16" s="142">
        <f>PLANTILLA!AB17</f>
        <v>4</v>
      </c>
      <c r="N16" s="142">
        <f>PLANTILLA!AC17</f>
        <v>8.1666666666666661</v>
      </c>
      <c r="O16" s="142">
        <f>PLANTILLA!AD17</f>
        <v>18.166666666666668</v>
      </c>
      <c r="P16" s="70">
        <f t="shared" si="0"/>
        <v>22</v>
      </c>
      <c r="Q16" s="121">
        <f t="shared" ca="1" si="1"/>
        <v>212</v>
      </c>
      <c r="R16" s="79">
        <f t="shared" si="2"/>
        <v>4</v>
      </c>
      <c r="S16" s="157">
        <f t="shared" si="17"/>
        <v>0</v>
      </c>
      <c r="T16" s="157">
        <f>J16+T$2/3</f>
        <v>2</v>
      </c>
      <c r="U16" s="157">
        <f>K16+U$2/5</f>
        <v>21.666666666666664</v>
      </c>
      <c r="V16" s="157">
        <f t="shared" si="18"/>
        <v>5</v>
      </c>
      <c r="W16" s="157">
        <f t="shared" si="19"/>
        <v>4</v>
      </c>
      <c r="X16" s="157">
        <f>N16+X$2/5</f>
        <v>11.566666666666666</v>
      </c>
      <c r="Y16" s="157">
        <f t="shared" si="20"/>
        <v>18.166666666666668</v>
      </c>
      <c r="Z16" s="126">
        <f t="shared" si="10"/>
        <v>0</v>
      </c>
      <c r="AA16" s="126">
        <f t="shared" si="11"/>
        <v>0</v>
      </c>
      <c r="AB16" s="126">
        <f t="shared" si="12"/>
        <v>7.9999999999999982</v>
      </c>
      <c r="AC16" s="126">
        <f t="shared" si="13"/>
        <v>0</v>
      </c>
      <c r="AD16" s="126">
        <f t="shared" si="14"/>
        <v>0</v>
      </c>
      <c r="AE16" s="126">
        <f t="shared" si="15"/>
        <v>3.4000000000000004</v>
      </c>
      <c r="AF16" s="126">
        <f t="shared" si="16"/>
        <v>0</v>
      </c>
      <c r="AH16" s="66"/>
      <c r="AI16" s="66"/>
      <c r="AJ16" s="133">
        <f>SUM(AJ18:AJ28)*$AY$3</f>
        <v>0</v>
      </c>
      <c r="AK16" s="133">
        <f>SUM(AK18:AK28)*$AY$3</f>
        <v>0</v>
      </c>
      <c r="AL16" s="133">
        <f>SUM(AL18:AL28)*$AY$2</f>
        <v>0</v>
      </c>
      <c r="AM16" s="133">
        <f>SUM(AM18:AM28)*$AY$4</f>
        <v>4.3637500000000005</v>
      </c>
      <c r="AN16" s="133" t="e">
        <f>SUM(AN18:AN28)*$AY$5</f>
        <v>#REF!</v>
      </c>
      <c r="AO16" s="133" t="e">
        <f>SUM(AO18:AO28)*$AY$5</f>
        <v>#REF!</v>
      </c>
      <c r="AP16" s="133" t="e">
        <f>SUM(AP18:AP28)*$AY$6</f>
        <v>#REF!</v>
      </c>
      <c r="AQ16" s="134" t="e">
        <f>SUM(AQ18:AQ28)</f>
        <v>#REF!</v>
      </c>
      <c r="AR16" s="134" t="e">
        <f>SUM(AR18:AR28)</f>
        <v>#REF!</v>
      </c>
      <c r="AS16" s="134">
        <f>SUM(AS18:AS28)</f>
        <v>8.25</v>
      </c>
      <c r="AT16" s="134">
        <f>SUM(AT18:AT28)</f>
        <v>0</v>
      </c>
    </row>
    <row r="17" spans="1:46" s="66" customFormat="1" x14ac:dyDescent="0.25">
      <c r="A17" s="5" t="str">
        <f>PLANTILLA!A13</f>
        <v>#4</v>
      </c>
      <c r="B17" s="5" t="str">
        <f>PLANTILLA!B13</f>
        <v>DEF</v>
      </c>
      <c r="C17" s="77" t="str">
        <f>PLANTILLA!D13</f>
        <v>E. Deus</v>
      </c>
      <c r="D17" s="55">
        <f>PLANTILLA!E13</f>
        <v>22</v>
      </c>
      <c r="E17" s="56">
        <f ca="1">PLANTILLA!F13</f>
        <v>129</v>
      </c>
      <c r="F17" s="71" t="str">
        <f>PLANTILLA!G13</f>
        <v>IMP</v>
      </c>
      <c r="G17" s="245">
        <f>PLANTILLA!H13</f>
        <v>3</v>
      </c>
      <c r="H17" s="57">
        <f>PLANTILLA!I13</f>
        <v>4</v>
      </c>
      <c r="I17" s="142">
        <f>PLANTILLA!X13</f>
        <v>0</v>
      </c>
      <c r="J17" s="142">
        <f>PLANTILLA!Y13</f>
        <v>11</v>
      </c>
      <c r="K17" s="142">
        <f>PLANTILLA!Z13</f>
        <v>7.2333333333333325</v>
      </c>
      <c r="L17" s="142">
        <f>PLANTILLA!AA13</f>
        <v>1</v>
      </c>
      <c r="M17" s="142">
        <f>PLANTILLA!AB13</f>
        <v>6</v>
      </c>
      <c r="N17" s="142">
        <f>PLANTILLA!AC13</f>
        <v>5.25</v>
      </c>
      <c r="O17" s="142">
        <f>PLANTILLA!AD13</f>
        <v>16.75</v>
      </c>
      <c r="P17" s="70">
        <f t="shared" si="0"/>
        <v>22</v>
      </c>
      <c r="Q17" s="121">
        <f t="shared" ca="1" si="1"/>
        <v>136</v>
      </c>
      <c r="R17" s="79">
        <f t="shared" si="2"/>
        <v>4</v>
      </c>
      <c r="S17" s="157">
        <f t="shared" si="17"/>
        <v>0</v>
      </c>
      <c r="T17" s="157">
        <f>J17+T$2/5</f>
        <v>11</v>
      </c>
      <c r="U17" s="157">
        <f>K17+U$2/5</f>
        <v>15.233333333333333</v>
      </c>
      <c r="V17" s="157">
        <f t="shared" si="18"/>
        <v>1</v>
      </c>
      <c r="W17" s="157">
        <f t="shared" si="19"/>
        <v>6</v>
      </c>
      <c r="X17" s="157">
        <f>N17+X$2/4</f>
        <v>9.5</v>
      </c>
      <c r="Y17" s="157">
        <f t="shared" si="20"/>
        <v>16.75</v>
      </c>
      <c r="Z17" s="126">
        <f t="shared" si="10"/>
        <v>0</v>
      </c>
      <c r="AA17" s="126">
        <f t="shared" si="11"/>
        <v>0</v>
      </c>
      <c r="AB17" s="126">
        <f t="shared" si="12"/>
        <v>8</v>
      </c>
      <c r="AC17" s="126">
        <f t="shared" si="13"/>
        <v>0</v>
      </c>
      <c r="AD17" s="126">
        <f t="shared" si="14"/>
        <v>0</v>
      </c>
      <c r="AE17" s="126">
        <f t="shared" si="15"/>
        <v>4.25</v>
      </c>
      <c r="AF17" s="126">
        <f t="shared" si="16"/>
        <v>0</v>
      </c>
      <c r="AH17" s="579">
        <v>550</v>
      </c>
      <c r="AI17" s="580"/>
      <c r="AJ17" s="94" t="s">
        <v>599</v>
      </c>
      <c r="AK17" s="94" t="s">
        <v>600</v>
      </c>
      <c r="AL17" s="94" t="s">
        <v>601</v>
      </c>
      <c r="AM17" s="94" t="s">
        <v>602</v>
      </c>
      <c r="AN17" s="94" t="s">
        <v>603</v>
      </c>
      <c r="AO17" s="94" t="s">
        <v>604</v>
      </c>
      <c r="AP17" s="94" t="s">
        <v>605</v>
      </c>
      <c r="AQ17" s="94" t="s">
        <v>606</v>
      </c>
      <c r="AR17" s="94" t="s">
        <v>607</v>
      </c>
      <c r="AS17" s="94" t="s">
        <v>479</v>
      </c>
      <c r="AT17" s="94" t="s">
        <v>104</v>
      </c>
    </row>
    <row r="18" spans="1:46" s="1" customFormat="1" x14ac:dyDescent="0.25">
      <c r="A18" s="5" t="str">
        <f>PLANTILLA!A19</f>
        <v>#10</v>
      </c>
      <c r="B18" s="5" t="str">
        <f>PLANTILLA!B19</f>
        <v>MED</v>
      </c>
      <c r="C18" s="77" t="str">
        <f>PLANTILLA!D19</f>
        <v>R. Forsyth</v>
      </c>
      <c r="D18" s="55">
        <f>PLANTILLA!E19</f>
        <v>23</v>
      </c>
      <c r="E18" s="56">
        <f ca="1">PLANTILLA!F19</f>
        <v>134</v>
      </c>
      <c r="F18" s="71" t="str">
        <f>PLANTILLA!G19</f>
        <v>POT</v>
      </c>
      <c r="G18" s="245">
        <f>PLANTILLA!H19</f>
        <v>4</v>
      </c>
      <c r="H18" s="57">
        <f>PLANTILLA!I19</f>
        <v>4</v>
      </c>
      <c r="I18" s="142">
        <f>PLANTILLA!X19</f>
        <v>0</v>
      </c>
      <c r="J18" s="142">
        <f>PLANTILLA!Y19</f>
        <v>7</v>
      </c>
      <c r="K18" s="142">
        <f>PLANTILLA!Z19</f>
        <v>13.222222222222221</v>
      </c>
      <c r="L18" s="142">
        <f>PLANTILLA!AA19</f>
        <v>3</v>
      </c>
      <c r="M18" s="142">
        <f>PLANTILLA!AB19</f>
        <v>4</v>
      </c>
      <c r="N18" s="142">
        <f>PLANTILLA!AC19</f>
        <v>6.2</v>
      </c>
      <c r="O18" s="142">
        <f>PLANTILLA!AD19</f>
        <v>16.25</v>
      </c>
      <c r="P18" s="70">
        <f t="shared" si="0"/>
        <v>23</v>
      </c>
      <c r="Q18" s="121">
        <f t="shared" ca="1" si="1"/>
        <v>141</v>
      </c>
      <c r="R18" s="79">
        <f t="shared" si="2"/>
        <v>4</v>
      </c>
      <c r="S18" s="157">
        <f t="shared" si="17"/>
        <v>0</v>
      </c>
      <c r="T18" s="157">
        <f>J18+T$2/5</f>
        <v>7</v>
      </c>
      <c r="U18" s="157">
        <f>K18+U$2/5</f>
        <v>21.222222222222221</v>
      </c>
      <c r="V18" s="157">
        <f t="shared" si="18"/>
        <v>3</v>
      </c>
      <c r="W18" s="157">
        <f t="shared" si="19"/>
        <v>4</v>
      </c>
      <c r="X18" s="157">
        <f>N18+X$2/4</f>
        <v>10.45</v>
      </c>
      <c r="Y18" s="157">
        <f t="shared" si="20"/>
        <v>16.25</v>
      </c>
      <c r="Z18" s="126">
        <f t="shared" si="10"/>
        <v>0</v>
      </c>
      <c r="AA18" s="126">
        <f t="shared" si="11"/>
        <v>0</v>
      </c>
      <c r="AB18" s="126">
        <f t="shared" si="12"/>
        <v>8</v>
      </c>
      <c r="AC18" s="126">
        <f t="shared" si="13"/>
        <v>0</v>
      </c>
      <c r="AD18" s="126">
        <f t="shared" si="14"/>
        <v>0</v>
      </c>
      <c r="AE18" s="126">
        <f t="shared" si="15"/>
        <v>4.2499999999999991</v>
      </c>
      <c r="AF18" s="126">
        <f t="shared" si="16"/>
        <v>0</v>
      </c>
      <c r="AH18" s="127" t="s">
        <v>14</v>
      </c>
      <c r="AI18" s="86"/>
      <c r="AJ18" s="129">
        <v>0</v>
      </c>
      <c r="AK18" s="129">
        <v>0</v>
      </c>
      <c r="AL18" s="129">
        <v>0</v>
      </c>
      <c r="AM18" s="129">
        <v>0</v>
      </c>
      <c r="AN18" s="129">
        <f t="shared" ref="AN18:AT18" si="21">AN4</f>
        <v>0</v>
      </c>
      <c r="AO18" s="129">
        <f t="shared" si="21"/>
        <v>0</v>
      </c>
      <c r="AP18" s="129">
        <f t="shared" si="21"/>
        <v>0</v>
      </c>
      <c r="AQ18" s="179">
        <f t="shared" si="21"/>
        <v>0</v>
      </c>
      <c r="AR18" s="179">
        <f t="shared" si="21"/>
        <v>0</v>
      </c>
      <c r="AS18" s="131">
        <f t="shared" si="21"/>
        <v>0</v>
      </c>
      <c r="AT18" s="131">
        <f t="shared" si="21"/>
        <v>0</v>
      </c>
    </row>
    <row r="19" spans="1:46" s="1" customFormat="1" x14ac:dyDescent="0.25">
      <c r="A19" s="5" t="str">
        <f>PLANTILLA!A12</f>
        <v>#3</v>
      </c>
      <c r="B19" s="5" t="str">
        <f>PLANTILLA!B12</f>
        <v>DEF</v>
      </c>
      <c r="C19" s="77" t="str">
        <f>PLANTILLA!D12</f>
        <v>S. Embe</v>
      </c>
      <c r="D19" s="55">
        <f>PLANTILLA!E12</f>
        <v>23</v>
      </c>
      <c r="E19" s="56">
        <f ca="1">PLANTILLA!F12</f>
        <v>146</v>
      </c>
      <c r="F19" s="71">
        <f>PLANTILLA!G12</f>
        <v>0</v>
      </c>
      <c r="G19" s="245">
        <f>PLANTILLA!H12</f>
        <v>3</v>
      </c>
      <c r="H19" s="57">
        <f>PLANTILLA!I12</f>
        <v>3</v>
      </c>
      <c r="I19" s="142">
        <f>PLANTILLA!X12</f>
        <v>0</v>
      </c>
      <c r="J19" s="142">
        <f>PLANTILLA!Y12</f>
        <v>11</v>
      </c>
      <c r="K19" s="142">
        <f>PLANTILLA!Z12</f>
        <v>5.083333333333333</v>
      </c>
      <c r="L19" s="142">
        <f>PLANTILLA!AA12</f>
        <v>1</v>
      </c>
      <c r="M19" s="142">
        <f>PLANTILLA!AB12</f>
        <v>5</v>
      </c>
      <c r="N19" s="142">
        <f>PLANTILLA!AC12</f>
        <v>6.2</v>
      </c>
      <c r="O19" s="142">
        <f>PLANTILLA!AD12</f>
        <v>18.2</v>
      </c>
      <c r="P19" s="70">
        <f t="shared" si="0"/>
        <v>23</v>
      </c>
      <c r="Q19" s="121">
        <f t="shared" ca="1" si="1"/>
        <v>153</v>
      </c>
      <c r="R19" s="79">
        <f t="shared" si="2"/>
        <v>3</v>
      </c>
      <c r="S19" s="157">
        <f t="shared" si="17"/>
        <v>0</v>
      </c>
      <c r="T19" s="157">
        <f>J19+T$2/4</f>
        <v>11</v>
      </c>
      <c r="U19" s="157">
        <f>K19+U$2/4</f>
        <v>15.083333333333332</v>
      </c>
      <c r="V19" s="157">
        <f t="shared" si="18"/>
        <v>1</v>
      </c>
      <c r="W19" s="157">
        <f t="shared" si="19"/>
        <v>5</v>
      </c>
      <c r="X19" s="157">
        <f>N19+X$2/6</f>
        <v>9.0333333333333332</v>
      </c>
      <c r="Y19" s="157">
        <f t="shared" si="20"/>
        <v>18.2</v>
      </c>
      <c r="Z19" s="126">
        <f t="shared" si="10"/>
        <v>0</v>
      </c>
      <c r="AA19" s="126">
        <f t="shared" si="11"/>
        <v>0</v>
      </c>
      <c r="AB19" s="126">
        <f t="shared" si="12"/>
        <v>10</v>
      </c>
      <c r="AC19" s="126">
        <f t="shared" si="13"/>
        <v>0</v>
      </c>
      <c r="AD19" s="126">
        <f t="shared" si="14"/>
        <v>0</v>
      </c>
      <c r="AE19" s="126">
        <f t="shared" si="15"/>
        <v>2.833333333333333</v>
      </c>
      <c r="AF19" s="126">
        <f t="shared" si="16"/>
        <v>0</v>
      </c>
      <c r="AH19" s="127" t="s">
        <v>195</v>
      </c>
      <c r="AI19" s="86"/>
      <c r="AJ19" s="129">
        <v>0</v>
      </c>
      <c r="AK19" s="129">
        <v>0</v>
      </c>
      <c r="AL19" s="129">
        <v>0</v>
      </c>
      <c r="AM19" s="129">
        <v>0</v>
      </c>
      <c r="AN19" s="129">
        <f>AC19*0.588</f>
        <v>0</v>
      </c>
      <c r="AO19" s="129">
        <v>0</v>
      </c>
      <c r="AP19" s="129">
        <v>0</v>
      </c>
      <c r="AQ19" s="131">
        <f>AQ5</f>
        <v>0.14166666666666666</v>
      </c>
      <c r="AR19" s="131">
        <f>AR5</f>
        <v>0</v>
      </c>
      <c r="AS19" s="131">
        <f>((T19+1)+(W19+1)*2)/8</f>
        <v>3</v>
      </c>
      <c r="AT19" s="131">
        <f>((AA19)+(AD19)*2)/8</f>
        <v>0</v>
      </c>
    </row>
    <row r="20" spans="1:46" x14ac:dyDescent="0.25">
      <c r="A20" s="5" t="str">
        <f>PLANTILLA!A10</f>
        <v>#19</v>
      </c>
      <c r="B20" s="5" t="str">
        <f>PLANTILLA!B10</f>
        <v>DEF</v>
      </c>
      <c r="C20" s="77" t="str">
        <f>PLANTILLA!D10</f>
        <v>A. Grimaud</v>
      </c>
      <c r="D20" s="55">
        <f>PLANTILLA!E10</f>
        <v>22</v>
      </c>
      <c r="E20" s="56">
        <f ca="1">PLANTILLA!F10</f>
        <v>213</v>
      </c>
      <c r="F20" s="71"/>
      <c r="G20" s="245">
        <f>PLANTILLA!H10</f>
        <v>2</v>
      </c>
      <c r="H20" s="57">
        <f>PLANTILLA!I10</f>
        <v>4.7</v>
      </c>
      <c r="I20" s="142">
        <f>PLANTILLA!X10</f>
        <v>0</v>
      </c>
      <c r="J20" s="142">
        <f>PLANTILLA!Y10</f>
        <v>12</v>
      </c>
      <c r="K20" s="142">
        <f>PLANTILLA!Z10</f>
        <v>7.3</v>
      </c>
      <c r="L20" s="142">
        <f>PLANTILLA!AA10</f>
        <v>3</v>
      </c>
      <c r="M20" s="142">
        <f>PLANTILLA!AB10</f>
        <v>3</v>
      </c>
      <c r="N20" s="142">
        <f>PLANTILLA!AC10</f>
        <v>5.25</v>
      </c>
      <c r="O20" s="142">
        <f>PLANTILLA!AD10</f>
        <v>15.666666666666666</v>
      </c>
      <c r="P20" s="70">
        <f t="shared" si="0"/>
        <v>22</v>
      </c>
      <c r="Q20" s="121">
        <f t="shared" ca="1" si="1"/>
        <v>220</v>
      </c>
      <c r="R20" s="79">
        <f t="shared" si="2"/>
        <v>4.7</v>
      </c>
      <c r="S20" s="157">
        <f t="shared" si="17"/>
        <v>0</v>
      </c>
      <c r="T20" s="157">
        <f>J20+T$2/3</f>
        <v>12</v>
      </c>
      <c r="U20" s="157">
        <f>K20+U$2/5</f>
        <v>15.3</v>
      </c>
      <c r="V20" s="157">
        <f t="shared" si="18"/>
        <v>3</v>
      </c>
      <c r="W20" s="157">
        <f t="shared" si="19"/>
        <v>3</v>
      </c>
      <c r="X20" s="157">
        <f>N20+X$2/5</f>
        <v>8.65</v>
      </c>
      <c r="Y20" s="157">
        <f t="shared" si="20"/>
        <v>15.666666666666666</v>
      </c>
      <c r="Z20" s="126">
        <f t="shared" si="10"/>
        <v>0</v>
      </c>
      <c r="AA20" s="126">
        <f t="shared" si="11"/>
        <v>0</v>
      </c>
      <c r="AB20" s="126">
        <f t="shared" si="12"/>
        <v>8</v>
      </c>
      <c r="AC20" s="126">
        <f t="shared" si="13"/>
        <v>0</v>
      </c>
      <c r="AD20" s="126">
        <f t="shared" si="14"/>
        <v>0</v>
      </c>
      <c r="AE20" s="126">
        <f t="shared" si="15"/>
        <v>3.4000000000000004</v>
      </c>
      <c r="AF20" s="126">
        <f t="shared" si="16"/>
        <v>0</v>
      </c>
      <c r="AH20" s="128" t="s">
        <v>608</v>
      </c>
      <c r="AI20" s="5"/>
      <c r="AJ20" s="129">
        <v>0</v>
      </c>
      <c r="AK20" s="129">
        <v>0</v>
      </c>
      <c r="AL20" s="129">
        <v>0</v>
      </c>
      <c r="AM20" s="130">
        <v>0</v>
      </c>
      <c r="AN20" s="130">
        <f>(AD22*0.142)+(AC22*0.221)+(AE22*0.26)</f>
        <v>0.7366666666666668</v>
      </c>
      <c r="AO20" s="129">
        <f>AN20</f>
        <v>0.7366666666666668</v>
      </c>
      <c r="AP20" s="130">
        <f>(AD22*0.369)+(AE22*1)</f>
        <v>2.8333333333333339</v>
      </c>
      <c r="AQ20" s="132">
        <f>(0.5*AE22+0.3*AF22)/10</f>
        <v>0.14166666666666669</v>
      </c>
      <c r="AR20" s="132">
        <f>(0.4*AA22+0.3*AF22)/10</f>
        <v>0</v>
      </c>
      <c r="AS20" s="131">
        <f>((T22+1)+(W22+1)*2)/8</f>
        <v>2.25</v>
      </c>
      <c r="AT20" s="131">
        <f>((AA22)+(AD22)*2)/8</f>
        <v>0</v>
      </c>
    </row>
    <row r="21" spans="1:46" s="66" customFormat="1" x14ac:dyDescent="0.25">
      <c r="A21" s="5" t="str">
        <f>PLANTILLA!A18</f>
        <v>#12</v>
      </c>
      <c r="B21" s="5" t="str">
        <f>PLANTILLA!B18</f>
        <v>MED</v>
      </c>
      <c r="C21" s="77" t="str">
        <f>PLANTILLA!D18</f>
        <v>P. Tuderek</v>
      </c>
      <c r="D21" s="55">
        <f>PLANTILLA!E18</f>
        <v>22</v>
      </c>
      <c r="E21" s="56">
        <f ca="1">PLANTILLA!F18</f>
        <v>191</v>
      </c>
      <c r="F21" s="71" t="str">
        <f>PLANTILLA!G18</f>
        <v>CAB</v>
      </c>
      <c r="G21" s="245">
        <f>PLANTILLA!H18</f>
        <v>4</v>
      </c>
      <c r="H21" s="57">
        <f>PLANTILLA!I18</f>
        <v>3</v>
      </c>
      <c r="I21" s="142">
        <f>PLANTILLA!X18</f>
        <v>0</v>
      </c>
      <c r="J21" s="142">
        <f>PLANTILLA!Y18</f>
        <v>6</v>
      </c>
      <c r="K21" s="142">
        <f>PLANTILLA!Z18</f>
        <v>12.444444444444445</v>
      </c>
      <c r="L21" s="142">
        <f>PLANTILLA!AA18</f>
        <v>2</v>
      </c>
      <c r="M21" s="142">
        <f>PLANTILLA!AB18</f>
        <v>3</v>
      </c>
      <c r="N21" s="142">
        <f>PLANTILLA!AC18</f>
        <v>6.2</v>
      </c>
      <c r="O21" s="142">
        <f>PLANTILLA!AD18</f>
        <v>18.399999999999999</v>
      </c>
      <c r="P21" s="70">
        <f t="shared" si="0"/>
        <v>22</v>
      </c>
      <c r="Q21" s="121">
        <f t="shared" ca="1" si="1"/>
        <v>198</v>
      </c>
      <c r="R21" s="79">
        <f t="shared" si="2"/>
        <v>3</v>
      </c>
      <c r="S21" s="157">
        <f t="shared" si="17"/>
        <v>0</v>
      </c>
      <c r="T21" s="157">
        <f>J21+T$2/5</f>
        <v>6</v>
      </c>
      <c r="U21" s="157">
        <f>K21+U$2/4</f>
        <v>22.444444444444443</v>
      </c>
      <c r="V21" s="157">
        <f t="shared" si="18"/>
        <v>2</v>
      </c>
      <c r="W21" s="157">
        <f t="shared" si="19"/>
        <v>3</v>
      </c>
      <c r="X21" s="157">
        <f>N21+X$2/4</f>
        <v>10.45</v>
      </c>
      <c r="Y21" s="157">
        <f t="shared" si="20"/>
        <v>18.399999999999999</v>
      </c>
      <c r="Z21" s="126">
        <f t="shared" si="10"/>
        <v>0</v>
      </c>
      <c r="AA21" s="126">
        <f t="shared" si="11"/>
        <v>0</v>
      </c>
      <c r="AB21" s="126">
        <f t="shared" si="12"/>
        <v>9.9999999999999982</v>
      </c>
      <c r="AC21" s="126">
        <f t="shared" si="13"/>
        <v>0</v>
      </c>
      <c r="AD21" s="126">
        <f t="shared" si="14"/>
        <v>0</v>
      </c>
      <c r="AE21" s="126">
        <f t="shared" si="15"/>
        <v>4.2499999999999991</v>
      </c>
      <c r="AF21" s="126">
        <f t="shared" si="16"/>
        <v>0</v>
      </c>
      <c r="AH21" s="128" t="s">
        <v>608</v>
      </c>
      <c r="AI21" s="5"/>
      <c r="AJ21" s="129">
        <v>0</v>
      </c>
      <c r="AK21" s="129">
        <v>0</v>
      </c>
      <c r="AL21" s="129">
        <v>0</v>
      </c>
      <c r="AM21" s="130">
        <v>0</v>
      </c>
      <c r="AN21" s="130">
        <v>0</v>
      </c>
      <c r="AO21" s="130">
        <f>AC8*0.588</f>
        <v>0</v>
      </c>
      <c r="AP21" s="130">
        <v>0</v>
      </c>
      <c r="AQ21" s="132">
        <f>AQ5</f>
        <v>0.14166666666666666</v>
      </c>
      <c r="AR21" s="132">
        <f>AR5</f>
        <v>0</v>
      </c>
      <c r="AS21" s="132">
        <f>AS5</f>
        <v>3</v>
      </c>
      <c r="AT21" s="132">
        <f>AT5</f>
        <v>0</v>
      </c>
    </row>
    <row r="22" spans="1:46" s="66" customFormat="1" x14ac:dyDescent="0.25">
      <c r="A22" s="5" t="str">
        <f>PLANTILLA!A8</f>
        <v>#2</v>
      </c>
      <c r="B22" s="5" t="str">
        <f>PLANTILLA!B8</f>
        <v>DEF</v>
      </c>
      <c r="C22" s="77" t="str">
        <f>PLANTILLA!D8</f>
        <v>L. Tutorić</v>
      </c>
      <c r="D22" s="55">
        <f>PLANTILLA!E8</f>
        <v>29</v>
      </c>
      <c r="E22" s="56">
        <f ca="1">PLANTILLA!F8</f>
        <v>188</v>
      </c>
      <c r="F22" s="71" t="str">
        <f>PLANTILLA!G8</f>
        <v>CAB</v>
      </c>
      <c r="G22" s="245">
        <f>PLANTILLA!H8</f>
        <v>3</v>
      </c>
      <c r="H22" s="57">
        <f>PLANTILLA!I8</f>
        <v>5.8</v>
      </c>
      <c r="I22" s="142">
        <f>PLANTILLA!X8</f>
        <v>0</v>
      </c>
      <c r="J22" s="142">
        <f>PLANTILLA!Y8</f>
        <v>13</v>
      </c>
      <c r="K22" s="142">
        <f>PLANTILLA!Z8</f>
        <v>6</v>
      </c>
      <c r="L22" s="142">
        <f>PLANTILLA!AA8</f>
        <v>2</v>
      </c>
      <c r="M22" s="142">
        <f>PLANTILLA!AB8</f>
        <v>1</v>
      </c>
      <c r="N22" s="142">
        <f>PLANTILLA!AC8</f>
        <v>7</v>
      </c>
      <c r="O22" s="142">
        <f>PLANTILLA!AD8</f>
        <v>16</v>
      </c>
      <c r="P22" s="70">
        <f t="shared" si="0"/>
        <v>29</v>
      </c>
      <c r="Q22" s="121">
        <f t="shared" ca="1" si="1"/>
        <v>195</v>
      </c>
      <c r="R22" s="79">
        <f t="shared" si="2"/>
        <v>5.8</v>
      </c>
      <c r="S22" s="157">
        <f t="shared" si="17"/>
        <v>0</v>
      </c>
      <c r="T22" s="157">
        <f>J22+T$2/4</f>
        <v>13</v>
      </c>
      <c r="U22" s="157">
        <f>K22+U$2/4</f>
        <v>16</v>
      </c>
      <c r="V22" s="157">
        <f t="shared" si="18"/>
        <v>2</v>
      </c>
      <c r="W22" s="157">
        <f t="shared" si="19"/>
        <v>1</v>
      </c>
      <c r="X22" s="157">
        <f>N22+X$2/6</f>
        <v>9.8333333333333339</v>
      </c>
      <c r="Y22" s="157">
        <f t="shared" si="20"/>
        <v>16</v>
      </c>
      <c r="Z22" s="126">
        <f t="shared" si="10"/>
        <v>0</v>
      </c>
      <c r="AA22" s="126">
        <f t="shared" si="11"/>
        <v>0</v>
      </c>
      <c r="AB22" s="126">
        <f t="shared" si="12"/>
        <v>10</v>
      </c>
      <c r="AC22" s="126">
        <f t="shared" si="13"/>
        <v>0</v>
      </c>
      <c r="AD22" s="126">
        <f t="shared" si="14"/>
        <v>0</v>
      </c>
      <c r="AE22" s="126">
        <f t="shared" si="15"/>
        <v>2.8333333333333339</v>
      </c>
      <c r="AF22" s="126">
        <f t="shared" si="16"/>
        <v>0</v>
      </c>
      <c r="AH22" s="128" t="s">
        <v>608</v>
      </c>
      <c r="AI22" s="86"/>
      <c r="AJ22" s="129">
        <v>0</v>
      </c>
      <c r="AK22" s="129">
        <v>0</v>
      </c>
      <c r="AL22" s="129">
        <v>0</v>
      </c>
      <c r="AM22" s="129">
        <v>0</v>
      </c>
      <c r="AN22" s="129" t="e">
        <f t="shared" ref="AN22:AT28" si="22">AN8</f>
        <v>#REF!</v>
      </c>
      <c r="AO22" s="129">
        <f t="shared" si="22"/>
        <v>0</v>
      </c>
      <c r="AP22" s="129" t="e">
        <f t="shared" si="22"/>
        <v>#REF!</v>
      </c>
      <c r="AQ22" s="131" t="e">
        <f t="shared" si="22"/>
        <v>#REF!</v>
      </c>
      <c r="AR22" s="131" t="e">
        <f t="shared" si="22"/>
        <v>#REF!</v>
      </c>
      <c r="AS22" s="131">
        <f t="shared" si="22"/>
        <v>0</v>
      </c>
      <c r="AT22" s="131">
        <f t="shared" si="22"/>
        <v>0</v>
      </c>
    </row>
    <row r="23" spans="1:46" s="1" customFormat="1" x14ac:dyDescent="0.25">
      <c r="A23" s="5" t="str">
        <f>PLANTILLA!A21</f>
        <v>#11</v>
      </c>
      <c r="B23" s="5" t="str">
        <f>PLANTILLA!B21</f>
        <v>MED</v>
      </c>
      <c r="C23" s="77" t="str">
        <f>PLANTILLA!D21</f>
        <v>J-P. Kechele</v>
      </c>
      <c r="D23" s="55">
        <f>PLANTILLA!E21</f>
        <v>30</v>
      </c>
      <c r="E23" s="56">
        <f ca="1">PLANTILLA!F21</f>
        <v>167</v>
      </c>
      <c r="F23" s="71" t="str">
        <f>PLANTILLA!G21</f>
        <v>CAB</v>
      </c>
      <c r="G23" s="245">
        <f>PLANTILLA!H21</f>
        <v>5</v>
      </c>
      <c r="H23" s="57">
        <f>PLANTILLA!I21</f>
        <v>7.5999999999999988</v>
      </c>
      <c r="I23" s="142">
        <f>PLANTILLA!X21</f>
        <v>0</v>
      </c>
      <c r="J23" s="142">
        <f>PLANTILLA!Y21</f>
        <v>4</v>
      </c>
      <c r="K23" s="142">
        <f>PLANTILLA!Z21</f>
        <v>13.95</v>
      </c>
      <c r="L23" s="142">
        <f>PLANTILLA!AA21</f>
        <v>4</v>
      </c>
      <c r="M23" s="142">
        <f>PLANTILLA!AB21</f>
        <v>9</v>
      </c>
      <c r="N23" s="142">
        <f>PLANTILLA!AC21</f>
        <v>8</v>
      </c>
      <c r="O23" s="142">
        <f>PLANTILLA!AD21</f>
        <v>19.5</v>
      </c>
      <c r="P23" s="70">
        <f t="shared" si="0"/>
        <v>30</v>
      </c>
      <c r="Q23" s="121">
        <f t="shared" ca="1" si="1"/>
        <v>174</v>
      </c>
      <c r="R23" s="79">
        <f t="shared" si="2"/>
        <v>7.5999999999999988</v>
      </c>
      <c r="S23" s="157">
        <f t="shared" si="17"/>
        <v>0</v>
      </c>
      <c r="T23" s="157">
        <f t="shared" ref="T23:U27" si="23">J23</f>
        <v>4</v>
      </c>
      <c r="U23" s="157">
        <f t="shared" si="23"/>
        <v>13.95</v>
      </c>
      <c r="V23" s="157">
        <f t="shared" si="18"/>
        <v>4</v>
      </c>
      <c r="W23" s="157">
        <f t="shared" si="19"/>
        <v>9</v>
      </c>
      <c r="X23" s="157">
        <f t="shared" ref="X23:Y27" si="24">N23</f>
        <v>8</v>
      </c>
      <c r="Y23" s="157">
        <f t="shared" si="24"/>
        <v>19.5</v>
      </c>
      <c r="Z23" s="126">
        <f t="shared" si="10"/>
        <v>0</v>
      </c>
      <c r="AA23" s="126">
        <f t="shared" si="11"/>
        <v>0</v>
      </c>
      <c r="AB23" s="126">
        <f t="shared" si="12"/>
        <v>0</v>
      </c>
      <c r="AC23" s="126">
        <f t="shared" si="13"/>
        <v>0</v>
      </c>
      <c r="AD23" s="126">
        <f t="shared" si="14"/>
        <v>0</v>
      </c>
      <c r="AE23" s="126">
        <f t="shared" si="15"/>
        <v>0</v>
      </c>
      <c r="AF23" s="126">
        <f t="shared" si="16"/>
        <v>0</v>
      </c>
      <c r="AH23" s="127" t="s">
        <v>195</v>
      </c>
      <c r="AI23" s="5"/>
      <c r="AJ23" s="129">
        <v>0</v>
      </c>
      <c r="AK23" s="129">
        <v>0</v>
      </c>
      <c r="AL23" s="129">
        <v>0</v>
      </c>
      <c r="AM23" s="130">
        <v>0</v>
      </c>
      <c r="AN23" s="130">
        <f t="shared" si="22"/>
        <v>0</v>
      </c>
      <c r="AO23" s="130">
        <f t="shared" si="22"/>
        <v>0</v>
      </c>
      <c r="AP23" s="130">
        <f t="shared" si="22"/>
        <v>0</v>
      </c>
      <c r="AQ23" s="132">
        <f t="shared" si="22"/>
        <v>0.16999999999999998</v>
      </c>
      <c r="AR23" s="132">
        <f t="shared" si="22"/>
        <v>0</v>
      </c>
      <c r="AS23" s="132">
        <f t="shared" si="22"/>
        <v>0</v>
      </c>
      <c r="AT23" s="132">
        <f t="shared" si="22"/>
        <v>0</v>
      </c>
    </row>
    <row r="24" spans="1:46" s="1" customFormat="1" x14ac:dyDescent="0.25">
      <c r="A24" s="5" t="str">
        <f>PLANTILLA!A22</f>
        <v>#29</v>
      </c>
      <c r="B24" s="5" t="str">
        <f>PLANTILLA!B22</f>
        <v>DAV</v>
      </c>
      <c r="C24" s="77" t="str">
        <f>PLANTILLA!D22</f>
        <v>S. Zobbe</v>
      </c>
      <c r="D24" s="55">
        <f>PLANTILLA!E22</f>
        <v>36</v>
      </c>
      <c r="E24" s="56">
        <f ca="1">PLANTILLA!F22</f>
        <v>169</v>
      </c>
      <c r="F24" s="71" t="str">
        <f>PLANTILLA!G22</f>
        <v>CAB</v>
      </c>
      <c r="G24" s="245">
        <f>PLANTILLA!H22</f>
        <v>2</v>
      </c>
      <c r="H24" s="57">
        <f>PLANTILLA!I22</f>
        <v>15</v>
      </c>
      <c r="I24" s="142">
        <f>PLANTILLA!X22</f>
        <v>0</v>
      </c>
      <c r="J24" s="142">
        <f>PLANTILLA!Y22</f>
        <v>7.95</v>
      </c>
      <c r="K24" s="142">
        <f>PLANTILLA!Z22</f>
        <v>11.95</v>
      </c>
      <c r="L24" s="142">
        <f>PLANTILLA!AA22</f>
        <v>11.95</v>
      </c>
      <c r="M24" s="142">
        <f>PLANTILLA!AB22</f>
        <v>8.9499999999999993</v>
      </c>
      <c r="N24" s="142">
        <f>PLANTILLA!AC22</f>
        <v>4.95</v>
      </c>
      <c r="O24" s="142">
        <f>PLANTILLA!AD22</f>
        <v>18</v>
      </c>
      <c r="P24" s="70">
        <f t="shared" si="0"/>
        <v>36</v>
      </c>
      <c r="Q24" s="121">
        <f t="shared" ca="1" si="1"/>
        <v>176</v>
      </c>
      <c r="R24" s="79">
        <f t="shared" si="2"/>
        <v>15</v>
      </c>
      <c r="S24" s="157">
        <f t="shared" si="17"/>
        <v>0</v>
      </c>
      <c r="T24" s="157">
        <f t="shared" si="23"/>
        <v>7.95</v>
      </c>
      <c r="U24" s="157">
        <f t="shared" si="23"/>
        <v>11.95</v>
      </c>
      <c r="V24" s="157">
        <f t="shared" si="18"/>
        <v>11.95</v>
      </c>
      <c r="W24" s="157">
        <f t="shared" si="19"/>
        <v>8.9499999999999993</v>
      </c>
      <c r="X24" s="157">
        <f t="shared" si="24"/>
        <v>4.95</v>
      </c>
      <c r="Y24" s="157">
        <f t="shared" si="24"/>
        <v>18</v>
      </c>
      <c r="Z24" s="126">
        <f t="shared" si="10"/>
        <v>0</v>
      </c>
      <c r="AA24" s="126">
        <f t="shared" si="11"/>
        <v>0</v>
      </c>
      <c r="AB24" s="126">
        <f t="shared" si="12"/>
        <v>0</v>
      </c>
      <c r="AC24" s="126">
        <f t="shared" si="13"/>
        <v>0</v>
      </c>
      <c r="AD24" s="126">
        <f t="shared" si="14"/>
        <v>0</v>
      </c>
      <c r="AE24" s="126">
        <f t="shared" si="15"/>
        <v>0</v>
      </c>
      <c r="AF24" s="126">
        <f t="shared" si="16"/>
        <v>0</v>
      </c>
      <c r="AH24" s="128" t="s">
        <v>135</v>
      </c>
      <c r="AI24" s="5" t="str">
        <f t="shared" ref="AI24:AM28" si="25">AI9</f>
        <v>G. Piscaer</v>
      </c>
      <c r="AJ24" s="130">
        <f t="shared" si="25"/>
        <v>0</v>
      </c>
      <c r="AK24" s="130">
        <f t="shared" si="25"/>
        <v>0</v>
      </c>
      <c r="AL24" s="130">
        <f t="shared" si="25"/>
        <v>0</v>
      </c>
      <c r="AM24" s="130">
        <f t="shared" si="25"/>
        <v>7.9999999999999982</v>
      </c>
      <c r="AN24" s="130">
        <f t="shared" si="22"/>
        <v>0</v>
      </c>
      <c r="AO24" s="130">
        <f t="shared" si="22"/>
        <v>0</v>
      </c>
      <c r="AP24" s="130">
        <f t="shared" si="22"/>
        <v>1.054</v>
      </c>
      <c r="AQ24" s="132">
        <f t="shared" si="22"/>
        <v>0.17</v>
      </c>
      <c r="AR24" s="132">
        <f t="shared" si="22"/>
        <v>0</v>
      </c>
      <c r="AS24" s="132">
        <f t="shared" si="22"/>
        <v>0</v>
      </c>
      <c r="AT24" s="132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40</v>
      </c>
      <c r="E25" s="56">
        <f ca="1">PLANTILLA!F6</f>
        <v>133</v>
      </c>
      <c r="F25" s="71"/>
      <c r="G25" s="245">
        <f>PLANTILLA!H6</f>
        <v>4</v>
      </c>
      <c r="H25" s="57">
        <f>PLANTILLA!I6</f>
        <v>19.100000000000001</v>
      </c>
      <c r="I25" s="142">
        <f>PLANTILLA!X6</f>
        <v>0</v>
      </c>
      <c r="J25" s="142">
        <f>PLANTILLA!Y6</f>
        <v>7.75</v>
      </c>
      <c r="K25" s="142">
        <f>PLANTILLA!Z6</f>
        <v>7.95</v>
      </c>
      <c r="L25" s="142">
        <f>PLANTILLA!AA6</f>
        <v>3.95</v>
      </c>
      <c r="M25" s="142">
        <f>PLANTILLA!AB6</f>
        <v>3.95</v>
      </c>
      <c r="N25" s="142">
        <f>PLANTILLA!AC6</f>
        <v>0</v>
      </c>
      <c r="O25" s="142">
        <f>PLANTILLA!AD6</f>
        <v>15</v>
      </c>
      <c r="P25" s="70">
        <f t="shared" si="0"/>
        <v>40</v>
      </c>
      <c r="Q25" s="121">
        <f t="shared" ca="1" si="1"/>
        <v>140</v>
      </c>
      <c r="R25" s="79">
        <f t="shared" si="2"/>
        <v>19.100000000000001</v>
      </c>
      <c r="S25" s="157">
        <f t="shared" si="17"/>
        <v>0</v>
      </c>
      <c r="T25" s="157">
        <f t="shared" si="23"/>
        <v>7.75</v>
      </c>
      <c r="U25" s="157">
        <f t="shared" si="23"/>
        <v>7.95</v>
      </c>
      <c r="V25" s="157">
        <f t="shared" si="18"/>
        <v>3.95</v>
      </c>
      <c r="W25" s="157">
        <f t="shared" si="19"/>
        <v>3.95</v>
      </c>
      <c r="X25" s="157">
        <f t="shared" si="24"/>
        <v>0</v>
      </c>
      <c r="Y25" s="157">
        <f t="shared" si="24"/>
        <v>15</v>
      </c>
      <c r="Z25" s="126">
        <f t="shared" si="10"/>
        <v>0</v>
      </c>
      <c r="AA25" s="126">
        <f t="shared" si="11"/>
        <v>0</v>
      </c>
      <c r="AB25" s="126">
        <f t="shared" si="12"/>
        <v>0</v>
      </c>
      <c r="AC25" s="126">
        <f t="shared" si="13"/>
        <v>0</v>
      </c>
      <c r="AD25" s="126">
        <f t="shared" si="14"/>
        <v>0</v>
      </c>
      <c r="AE25" s="126">
        <f t="shared" si="15"/>
        <v>0</v>
      </c>
      <c r="AF25" s="126">
        <f t="shared" si="16"/>
        <v>0</v>
      </c>
      <c r="AH25" s="128" t="s">
        <v>609</v>
      </c>
      <c r="AI25" s="5" t="str">
        <f t="shared" si="25"/>
        <v>R. Forsyth</v>
      </c>
      <c r="AJ25" s="130">
        <f t="shared" si="25"/>
        <v>0</v>
      </c>
      <c r="AK25" s="130">
        <f t="shared" si="25"/>
        <v>0</v>
      </c>
      <c r="AL25" s="130">
        <f t="shared" si="25"/>
        <v>0</v>
      </c>
      <c r="AM25" s="130">
        <f t="shared" si="25"/>
        <v>7.5519999999999996</v>
      </c>
      <c r="AN25" s="130">
        <f t="shared" si="22"/>
        <v>0</v>
      </c>
      <c r="AO25" s="130">
        <f t="shared" si="22"/>
        <v>0</v>
      </c>
      <c r="AP25" s="130">
        <f t="shared" si="22"/>
        <v>0</v>
      </c>
      <c r="AQ25" s="132">
        <f t="shared" si="22"/>
        <v>0.14166666666666669</v>
      </c>
      <c r="AR25" s="132">
        <f t="shared" si="22"/>
        <v>0</v>
      </c>
      <c r="AS25" s="132">
        <f t="shared" si="22"/>
        <v>0</v>
      </c>
      <c r="AT25" s="132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5" t="e">
        <f>#REF!</f>
        <v>#REF!</v>
      </c>
      <c r="H26" s="57" t="e">
        <f>#REF!</f>
        <v>#REF!</v>
      </c>
      <c r="I26" s="142" t="e">
        <f>#REF!</f>
        <v>#REF!</v>
      </c>
      <c r="J26" s="142" t="e">
        <f>#REF!</f>
        <v>#REF!</v>
      </c>
      <c r="K26" s="142" t="e">
        <f>#REF!</f>
        <v>#REF!</v>
      </c>
      <c r="L26" s="142" t="e">
        <f>#REF!</f>
        <v>#REF!</v>
      </c>
      <c r="M26" s="142" t="e">
        <f>#REF!</f>
        <v>#REF!</v>
      </c>
      <c r="N26" s="142" t="e">
        <f>#REF!</f>
        <v>#REF!</v>
      </c>
      <c r="O26" s="142" t="e">
        <f>#REF!</f>
        <v>#REF!</v>
      </c>
      <c r="P26" s="70" t="e">
        <f t="shared" si="0"/>
        <v>#REF!</v>
      </c>
      <c r="Q26" s="121" t="e">
        <f t="shared" si="1"/>
        <v>#REF!</v>
      </c>
      <c r="R26" s="79" t="e">
        <f t="shared" si="2"/>
        <v>#REF!</v>
      </c>
      <c r="S26" s="157" t="e">
        <f t="shared" si="17"/>
        <v>#REF!</v>
      </c>
      <c r="T26" s="157" t="e">
        <f t="shared" si="23"/>
        <v>#REF!</v>
      </c>
      <c r="U26" s="157" t="e">
        <f t="shared" si="23"/>
        <v>#REF!</v>
      </c>
      <c r="V26" s="157" t="e">
        <f t="shared" si="18"/>
        <v>#REF!</v>
      </c>
      <c r="W26" s="157" t="e">
        <f t="shared" si="19"/>
        <v>#REF!</v>
      </c>
      <c r="X26" s="157" t="e">
        <f t="shared" si="24"/>
        <v>#REF!</v>
      </c>
      <c r="Y26" s="157" t="e">
        <f t="shared" si="24"/>
        <v>#REF!</v>
      </c>
      <c r="Z26" s="126" t="e">
        <f t="shared" si="10"/>
        <v>#REF!</v>
      </c>
      <c r="AA26" s="126" t="e">
        <f t="shared" si="11"/>
        <v>#REF!</v>
      </c>
      <c r="AB26" s="126" t="e">
        <f t="shared" si="12"/>
        <v>#REF!</v>
      </c>
      <c r="AC26" s="126" t="e">
        <f t="shared" si="13"/>
        <v>#REF!</v>
      </c>
      <c r="AD26" s="126" t="e">
        <f t="shared" si="14"/>
        <v>#REF!</v>
      </c>
      <c r="AE26" s="126" t="e">
        <f t="shared" si="15"/>
        <v>#REF!</v>
      </c>
      <c r="AF26" s="126" t="e">
        <f t="shared" si="16"/>
        <v>#REF!</v>
      </c>
      <c r="AH26" s="128" t="s">
        <v>135</v>
      </c>
      <c r="AI26" s="5" t="str">
        <f t="shared" si="25"/>
        <v>I. Vanags</v>
      </c>
      <c r="AJ26" s="130">
        <f t="shared" si="25"/>
        <v>0</v>
      </c>
      <c r="AK26" s="130">
        <f t="shared" si="25"/>
        <v>0</v>
      </c>
      <c r="AL26" s="130">
        <f t="shared" si="25"/>
        <v>0</v>
      </c>
      <c r="AM26" s="130">
        <f t="shared" si="25"/>
        <v>8</v>
      </c>
      <c r="AN26" s="130">
        <f t="shared" si="22"/>
        <v>0</v>
      </c>
      <c r="AO26" s="130" t="e">
        <f t="shared" si="22"/>
        <v>#REF!</v>
      </c>
      <c r="AP26" s="130" t="e">
        <f t="shared" si="22"/>
        <v>#REF!</v>
      </c>
      <c r="AQ26" s="132" t="e">
        <f t="shared" si="22"/>
        <v>#REF!</v>
      </c>
      <c r="AR26" s="132" t="e">
        <f t="shared" si="22"/>
        <v>#REF!</v>
      </c>
      <c r="AS26" s="132">
        <f t="shared" si="22"/>
        <v>0</v>
      </c>
      <c r="AT26" s="132">
        <f t="shared" si="22"/>
        <v>0</v>
      </c>
    </row>
    <row r="27" spans="1:46" x14ac:dyDescent="0.25">
      <c r="A27" s="5" t="str">
        <f>PLANTILLA!A23</f>
        <v>#28</v>
      </c>
      <c r="B27" s="5" t="str">
        <f>PLANTILLA!B23</f>
        <v>DAV</v>
      </c>
      <c r="C27" s="77" t="str">
        <f>PLANTILLA!D23</f>
        <v>P .Trivadi</v>
      </c>
      <c r="D27" s="55">
        <f>PLANTILLA!E23</f>
        <v>35</v>
      </c>
      <c r="E27" s="56">
        <f ca="1">PLANTILLA!F23</f>
        <v>237</v>
      </c>
      <c r="F27" s="71"/>
      <c r="G27" s="245">
        <f>PLANTILLA!H23</f>
        <v>5</v>
      </c>
      <c r="H27" s="57">
        <f>PLANTILLA!I23</f>
        <v>6.3</v>
      </c>
      <c r="I27" s="142">
        <f>PLANTILLA!X23</f>
        <v>0</v>
      </c>
      <c r="J27" s="142">
        <f>PLANTILLA!Y23</f>
        <v>3.95</v>
      </c>
      <c r="K27" s="142">
        <f>PLANTILLA!Z23</f>
        <v>5.95</v>
      </c>
      <c r="L27" s="142">
        <f>PLANTILLA!AA23</f>
        <v>3.95</v>
      </c>
      <c r="M27" s="142">
        <f>PLANTILLA!AB23</f>
        <v>9.9499999999999993</v>
      </c>
      <c r="N27" s="142">
        <f>PLANTILLA!AC23</f>
        <v>5.95</v>
      </c>
      <c r="O27" s="142">
        <f>PLANTILLA!AD23</f>
        <v>15.95</v>
      </c>
      <c r="P27" s="70">
        <f t="shared" si="0"/>
        <v>35</v>
      </c>
      <c r="Q27" s="121">
        <f t="shared" ca="1" si="1"/>
        <v>244</v>
      </c>
      <c r="R27" s="79">
        <f t="shared" si="2"/>
        <v>6.3</v>
      </c>
      <c r="S27" s="157">
        <f t="shared" si="17"/>
        <v>0</v>
      </c>
      <c r="T27" s="157">
        <f t="shared" si="23"/>
        <v>3.95</v>
      </c>
      <c r="U27" s="157">
        <f t="shared" si="23"/>
        <v>5.95</v>
      </c>
      <c r="V27" s="157">
        <f t="shared" si="18"/>
        <v>3.95</v>
      </c>
      <c r="W27" s="157">
        <f t="shared" si="19"/>
        <v>9.9499999999999993</v>
      </c>
      <c r="X27" s="157">
        <f t="shared" si="24"/>
        <v>5.95</v>
      </c>
      <c r="Y27" s="157">
        <f t="shared" si="24"/>
        <v>15.95</v>
      </c>
      <c r="Z27" s="126">
        <f t="shared" si="10"/>
        <v>0</v>
      </c>
      <c r="AA27" s="126">
        <f t="shared" si="11"/>
        <v>0</v>
      </c>
      <c r="AB27" s="126">
        <f t="shared" si="12"/>
        <v>0</v>
      </c>
      <c r="AC27" s="126">
        <f t="shared" si="13"/>
        <v>0</v>
      </c>
      <c r="AD27" s="126">
        <f t="shared" si="14"/>
        <v>0</v>
      </c>
      <c r="AE27" s="126">
        <f t="shared" si="15"/>
        <v>0</v>
      </c>
      <c r="AF27" s="126">
        <f t="shared" si="16"/>
        <v>0</v>
      </c>
      <c r="AH27" s="128" t="s">
        <v>610</v>
      </c>
      <c r="AI27" s="5" t="str">
        <f t="shared" si="25"/>
        <v>I. Stone</v>
      </c>
      <c r="AJ27" s="130">
        <f t="shared" si="25"/>
        <v>0</v>
      </c>
      <c r="AK27" s="130">
        <f t="shared" si="25"/>
        <v>0</v>
      </c>
      <c r="AL27" s="130">
        <f t="shared" si="25"/>
        <v>0</v>
      </c>
      <c r="AM27" s="130">
        <f t="shared" si="25"/>
        <v>6.3100000000000005</v>
      </c>
      <c r="AN27" s="129">
        <f t="shared" si="22"/>
        <v>0.88400000000000012</v>
      </c>
      <c r="AO27" s="129">
        <f t="shared" si="22"/>
        <v>0.88400000000000012</v>
      </c>
      <c r="AP27" s="129">
        <f t="shared" si="22"/>
        <v>3.4000000000000004</v>
      </c>
      <c r="AQ27" s="179">
        <f t="shared" si="22"/>
        <v>0.17</v>
      </c>
      <c r="AR27" s="179">
        <f t="shared" si="22"/>
        <v>0</v>
      </c>
      <c r="AS27" s="131">
        <f t="shared" si="22"/>
        <v>0</v>
      </c>
      <c r="AT27" s="131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5"/>
      <c r="H28" s="57"/>
      <c r="I28" s="142"/>
      <c r="J28" s="142"/>
      <c r="K28" s="142"/>
      <c r="L28" s="142"/>
      <c r="M28" s="142"/>
      <c r="N28" s="142"/>
      <c r="O28" s="142"/>
      <c r="P28" s="70"/>
      <c r="Q28" s="121"/>
      <c r="R28" s="79"/>
      <c r="S28" s="157"/>
      <c r="T28" s="157"/>
      <c r="U28" s="157"/>
      <c r="V28" s="157"/>
      <c r="W28" s="157"/>
      <c r="X28" s="157"/>
      <c r="Y28" s="157"/>
      <c r="Z28" s="126"/>
      <c r="AA28" s="126"/>
      <c r="AB28" s="126"/>
      <c r="AC28" s="126"/>
      <c r="AD28" s="126"/>
      <c r="AE28" s="126"/>
      <c r="AF28" s="126"/>
      <c r="AH28" s="128" t="s">
        <v>610</v>
      </c>
      <c r="AI28" s="5" t="str">
        <f t="shared" si="25"/>
        <v>M. Bondarewski</v>
      </c>
      <c r="AJ28" s="130">
        <f t="shared" si="25"/>
        <v>0</v>
      </c>
      <c r="AK28" s="130">
        <f t="shared" si="25"/>
        <v>0</v>
      </c>
      <c r="AL28" s="130">
        <f t="shared" si="25"/>
        <v>0</v>
      </c>
      <c r="AM28" s="130">
        <f t="shared" si="25"/>
        <v>5.0479999999999992</v>
      </c>
      <c r="AN28" s="130" t="e">
        <f t="shared" si="22"/>
        <v>#REF!</v>
      </c>
      <c r="AO28" s="130" t="e">
        <f t="shared" si="22"/>
        <v>#REF!</v>
      </c>
      <c r="AP28" s="130" t="e">
        <f t="shared" si="22"/>
        <v>#REF!</v>
      </c>
      <c r="AQ28" s="131" t="e">
        <f t="shared" si="22"/>
        <v>#REF!</v>
      </c>
      <c r="AR28" s="131" t="e">
        <f t="shared" si="22"/>
        <v>#REF!</v>
      </c>
      <c r="AS28" s="131">
        <f t="shared" si="22"/>
        <v>0</v>
      </c>
      <c r="AT28" s="131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5"/>
      <c r="H29" s="57"/>
      <c r="I29" s="142"/>
      <c r="J29" s="142"/>
      <c r="K29" s="142"/>
      <c r="L29" s="142"/>
      <c r="M29" s="142"/>
      <c r="N29" s="142"/>
      <c r="O29" s="142"/>
      <c r="P29" s="70"/>
      <c r="Q29" s="121"/>
      <c r="R29" s="79"/>
      <c r="S29" s="157"/>
      <c r="T29" s="157"/>
      <c r="U29" s="157"/>
      <c r="V29" s="157"/>
      <c r="W29" s="157"/>
      <c r="X29" s="157"/>
      <c r="Y29" s="157"/>
      <c r="Z29" s="126"/>
      <c r="AA29" s="126"/>
      <c r="AB29" s="126"/>
      <c r="AC29" s="126"/>
      <c r="AD29" s="126"/>
      <c r="AE29" s="126"/>
      <c r="AF29" s="126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1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611</v>
      </c>
      <c r="C1" s="186">
        <f t="shared" ref="C1:L1" si="0">MAX(C3:C27)</f>
        <v>7.6541020779221203E-2</v>
      </c>
      <c r="D1" s="186">
        <f t="shared" si="0"/>
        <v>9.5167093706293476E-2</v>
      </c>
      <c r="E1" s="186">
        <f t="shared" si="0"/>
        <v>0.10114897692307692</v>
      </c>
      <c r="F1" s="186">
        <f t="shared" si="0"/>
        <v>5.254696863959811E-2</v>
      </c>
      <c r="G1" s="186">
        <f t="shared" si="0"/>
        <v>5.2239892473118131E-2</v>
      </c>
      <c r="H1" s="186">
        <f t="shared" si="0"/>
        <v>8.0176190476190193E-2</v>
      </c>
      <c r="I1" s="186">
        <f t="shared" si="0"/>
        <v>5.7961761904761842E-2</v>
      </c>
      <c r="J1" s="186">
        <f t="shared" si="0"/>
        <v>0</v>
      </c>
      <c r="K1" s="186">
        <f t="shared" si="0"/>
        <v>3.6222627372627401E-2</v>
      </c>
      <c r="L1" s="186">
        <f t="shared" si="0"/>
        <v>0.16964285714285698</v>
      </c>
      <c r="N1" s="58"/>
      <c r="O1" s="58"/>
      <c r="P1" s="158"/>
      <c r="Q1" s="158"/>
      <c r="R1" s="158"/>
      <c r="S1" s="158"/>
      <c r="T1" s="158"/>
      <c r="U1" s="158"/>
      <c r="V1" s="158"/>
      <c r="W1" s="158"/>
      <c r="X1" s="158"/>
      <c r="Y1" s="216"/>
      <c r="Z1" s="158"/>
      <c r="AA1" s="158"/>
      <c r="AB1" s="158"/>
      <c r="AC1" s="158"/>
      <c r="AD1" s="158"/>
      <c r="AE1" s="158"/>
      <c r="AF1" s="158"/>
      <c r="AG1" s="158"/>
    </row>
    <row r="2" spans="1:33" x14ac:dyDescent="0.25">
      <c r="A2" s="211" t="s">
        <v>612</v>
      </c>
      <c r="B2" s="212" t="s">
        <v>613</v>
      </c>
      <c r="C2" s="94" t="s">
        <v>599</v>
      </c>
      <c r="D2" s="161" t="s">
        <v>600</v>
      </c>
      <c r="E2" s="161" t="s">
        <v>601</v>
      </c>
      <c r="F2" s="161" t="s">
        <v>602</v>
      </c>
      <c r="G2" s="161" t="s">
        <v>603</v>
      </c>
      <c r="H2" s="161" t="s">
        <v>604</v>
      </c>
      <c r="I2" s="161" t="s">
        <v>605</v>
      </c>
      <c r="J2" s="161" t="s">
        <v>606</v>
      </c>
      <c r="K2" s="161" t="s">
        <v>607</v>
      </c>
      <c r="L2" s="161" t="s">
        <v>494</v>
      </c>
      <c r="N2" s="211" t="s">
        <v>612</v>
      </c>
      <c r="O2" s="212" t="s">
        <v>613</v>
      </c>
      <c r="P2" s="94" t="s">
        <v>599</v>
      </c>
      <c r="Q2" s="161" t="s">
        <v>614</v>
      </c>
      <c r="R2" s="161" t="s">
        <v>600</v>
      </c>
      <c r="S2" s="161" t="s">
        <v>614</v>
      </c>
      <c r="T2" s="161" t="s">
        <v>601</v>
      </c>
      <c r="U2" s="161" t="s">
        <v>614</v>
      </c>
      <c r="V2" s="161" t="s">
        <v>602</v>
      </c>
      <c r="W2" s="161" t="s">
        <v>614</v>
      </c>
      <c r="X2" s="161" t="s">
        <v>603</v>
      </c>
      <c r="Y2" s="161" t="s">
        <v>614</v>
      </c>
      <c r="Z2" s="161" t="s">
        <v>604</v>
      </c>
      <c r="AA2" s="161" t="s">
        <v>614</v>
      </c>
      <c r="AB2" s="161" t="s">
        <v>605</v>
      </c>
      <c r="AC2" s="161" t="s">
        <v>614</v>
      </c>
      <c r="AD2" s="183" t="s">
        <v>606</v>
      </c>
      <c r="AE2" s="183" t="s">
        <v>614</v>
      </c>
      <c r="AF2" s="183" t="s">
        <v>607</v>
      </c>
      <c r="AG2" s="183" t="s">
        <v>614</v>
      </c>
    </row>
    <row r="3" spans="1:33" x14ac:dyDescent="0.25">
      <c r="A3" s="160" t="s">
        <v>615</v>
      </c>
      <c r="B3" s="159" t="s">
        <v>616</v>
      </c>
      <c r="C3" s="169"/>
      <c r="D3" s="170"/>
      <c r="E3" s="170"/>
      <c r="F3" s="170"/>
      <c r="G3" s="170"/>
      <c r="H3" s="170"/>
      <c r="I3" s="170"/>
      <c r="J3" s="170"/>
      <c r="K3" s="170"/>
      <c r="L3" s="170"/>
      <c r="N3" s="70" t="s">
        <v>615</v>
      </c>
      <c r="O3" s="159" t="s">
        <v>616</v>
      </c>
      <c r="P3" s="172">
        <f>C3/$C$4</f>
        <v>0</v>
      </c>
      <c r="Q3" s="224" t="e">
        <f>1/C3</f>
        <v>#DIV/0!</v>
      </c>
      <c r="R3" s="172">
        <f>D3/D1</f>
        <v>0</v>
      </c>
      <c r="S3" s="224" t="e">
        <f>1/D3</f>
        <v>#DIV/0!</v>
      </c>
      <c r="T3" s="172">
        <f>E3/E1</f>
        <v>0</v>
      </c>
      <c r="U3" s="224" t="e">
        <f>1/E3</f>
        <v>#DIV/0!</v>
      </c>
      <c r="V3" s="173"/>
      <c r="W3" s="173"/>
      <c r="X3" s="173"/>
      <c r="Y3" s="217"/>
      <c r="Z3" s="173"/>
      <c r="AA3" s="173"/>
      <c r="AB3" s="173"/>
      <c r="AC3" s="173"/>
      <c r="AD3" s="173"/>
      <c r="AE3" s="173"/>
      <c r="AF3" s="173">
        <f>K3/K1</f>
        <v>0</v>
      </c>
      <c r="AG3" s="217"/>
    </row>
    <row r="4" spans="1:33" x14ac:dyDescent="0.25">
      <c r="A4" s="582" t="s">
        <v>617</v>
      </c>
      <c r="B4" s="167" t="s">
        <v>354</v>
      </c>
      <c r="C4" s="187">
        <v>5.9340247552447697E-2</v>
      </c>
      <c r="D4" s="182">
        <v>6.8999559240759498E-2</v>
      </c>
      <c r="E4" s="182">
        <v>7.5579372027972047E-2</v>
      </c>
      <c r="F4" s="182"/>
      <c r="G4" s="182"/>
      <c r="H4" s="182"/>
      <c r="I4" s="182"/>
      <c r="J4" s="182">
        <v>0</v>
      </c>
      <c r="K4" s="182">
        <v>3.6222627372627401E-2</v>
      </c>
      <c r="L4" s="182"/>
      <c r="N4" s="582" t="s">
        <v>617</v>
      </c>
      <c r="O4" s="167" t="s">
        <v>354</v>
      </c>
      <c r="P4" s="174">
        <f>C4/$C$1</f>
        <v>0.77527379369046712</v>
      </c>
      <c r="Q4" s="218">
        <f>1/C4</f>
        <v>16.851968794301929</v>
      </c>
      <c r="R4" s="175">
        <f>D4/$D$1</f>
        <v>0.72503589795131573</v>
      </c>
      <c r="S4" s="218">
        <f>1/D4</f>
        <v>14.492846200809916</v>
      </c>
      <c r="T4" s="175">
        <f>E4/$E$1</f>
        <v>0.74720846742176761</v>
      </c>
      <c r="U4" s="218">
        <f>1/E4</f>
        <v>13.231123429153373</v>
      </c>
      <c r="V4" s="175"/>
      <c r="W4" s="175"/>
      <c r="X4" s="174"/>
      <c r="Y4" s="218"/>
      <c r="Z4" s="175"/>
      <c r="AA4" s="175"/>
      <c r="AB4" s="175"/>
      <c r="AC4" s="175"/>
      <c r="AD4" s="174"/>
      <c r="AE4" s="174"/>
      <c r="AF4" s="174">
        <f>K4/K1</f>
        <v>1</v>
      </c>
      <c r="AG4" s="222"/>
    </row>
    <row r="5" spans="1:33" x14ac:dyDescent="0.25">
      <c r="A5" s="582"/>
      <c r="B5" s="167" t="s">
        <v>356</v>
      </c>
      <c r="C5" s="184"/>
      <c r="D5" s="171"/>
      <c r="E5" s="171"/>
      <c r="F5" s="171">
        <v>5.254696863959811E-2</v>
      </c>
      <c r="G5" s="171"/>
      <c r="H5" s="171"/>
      <c r="I5" s="171"/>
      <c r="J5" s="171"/>
      <c r="K5" s="171"/>
      <c r="L5" s="171"/>
      <c r="N5" s="582"/>
      <c r="O5" s="167" t="s">
        <v>356</v>
      </c>
      <c r="P5" s="176"/>
      <c r="Q5" s="219"/>
      <c r="R5" s="163"/>
      <c r="S5" s="219"/>
      <c r="T5" s="163"/>
      <c r="U5" s="219"/>
      <c r="V5" s="163">
        <f>F5/F1</f>
        <v>1</v>
      </c>
      <c r="W5" s="219">
        <f>1/F5</f>
        <v>19.03059350309362</v>
      </c>
      <c r="X5" s="176"/>
      <c r="Y5" s="219"/>
      <c r="Z5" s="163"/>
      <c r="AA5" s="163"/>
      <c r="AB5" s="163"/>
      <c r="AC5" s="163"/>
      <c r="AD5" s="176"/>
      <c r="AE5" s="176"/>
      <c r="AF5" s="176"/>
      <c r="AG5" s="221"/>
    </row>
    <row r="6" spans="1:33" x14ac:dyDescent="0.25">
      <c r="A6" s="582"/>
      <c r="B6" s="167" t="s">
        <v>618</v>
      </c>
      <c r="C6" s="184"/>
      <c r="D6" s="171"/>
      <c r="E6" s="171"/>
      <c r="F6" s="171"/>
      <c r="G6" s="171">
        <v>3.9584999999999822E-2</v>
      </c>
      <c r="H6" s="171">
        <v>6.3542692307692147E-2</v>
      </c>
      <c r="I6" s="171">
        <v>0</v>
      </c>
      <c r="J6" s="171"/>
      <c r="K6" s="171"/>
      <c r="L6" s="171"/>
      <c r="N6" s="582"/>
      <c r="O6" s="167" t="s">
        <v>618</v>
      </c>
      <c r="P6" s="176"/>
      <c r="Q6" s="219"/>
      <c r="R6" s="163"/>
      <c r="S6" s="219"/>
      <c r="T6" s="163"/>
      <c r="U6" s="219"/>
      <c r="V6" s="163"/>
      <c r="W6" s="219"/>
      <c r="X6" s="176">
        <f>G6/$G$1</f>
        <v>0.75775423964300215</v>
      </c>
      <c r="Y6" s="219">
        <f>1/G6</f>
        <v>25.262094227611584</v>
      </c>
      <c r="Z6" s="163">
        <f>H6/$H$1</f>
        <v>0.79253818284821509</v>
      </c>
      <c r="AA6" s="219">
        <f>1/H6</f>
        <v>15.737450896126811</v>
      </c>
      <c r="AB6" s="163">
        <f>I6/$I$1</f>
        <v>0</v>
      </c>
      <c r="AC6" s="163"/>
      <c r="AD6" s="176"/>
      <c r="AE6" s="176"/>
      <c r="AF6" s="176"/>
      <c r="AG6" s="221"/>
    </row>
    <row r="7" spans="1:33" x14ac:dyDescent="0.25">
      <c r="A7" s="582"/>
      <c r="B7" s="167" t="s">
        <v>619</v>
      </c>
      <c r="C7" s="184"/>
      <c r="D7" s="171"/>
      <c r="E7" s="171"/>
      <c r="F7" s="171"/>
      <c r="G7" s="171">
        <v>3.3714285714285648E-2</v>
      </c>
      <c r="H7" s="171">
        <v>3.433928571428569E-2</v>
      </c>
      <c r="I7" s="171">
        <v>4.9198011904761835E-2</v>
      </c>
      <c r="J7" s="171"/>
      <c r="K7" s="171"/>
      <c r="L7" s="171"/>
      <c r="N7" s="582"/>
      <c r="O7" s="167" t="s">
        <v>619</v>
      </c>
      <c r="P7" s="176"/>
      <c r="Q7" s="219"/>
      <c r="R7" s="163"/>
      <c r="S7" s="219"/>
      <c r="T7" s="163"/>
      <c r="U7" s="219"/>
      <c r="V7" s="163"/>
      <c r="W7" s="219"/>
      <c r="X7" s="176">
        <f>G7/$G$1</f>
        <v>0.64537433210902029</v>
      </c>
      <c r="Y7" s="219">
        <f>1/G7</f>
        <v>29.6610169491526</v>
      </c>
      <c r="Z7" s="163">
        <f>H7/$H$1</f>
        <v>0.42829779651957123</v>
      </c>
      <c r="AA7" s="219">
        <f>1/H7</f>
        <v>29.121164846593885</v>
      </c>
      <c r="AB7" s="163">
        <f>I7/$I$1</f>
        <v>0.84880118008835026</v>
      </c>
      <c r="AC7" s="219">
        <f>1/I7</f>
        <v>20.326024594973742</v>
      </c>
      <c r="AD7" s="176"/>
      <c r="AE7" s="176"/>
      <c r="AF7" s="176"/>
      <c r="AG7" s="221"/>
    </row>
    <row r="8" spans="1:33" x14ac:dyDescent="0.25">
      <c r="A8" s="582"/>
      <c r="B8" s="167" t="s">
        <v>197</v>
      </c>
      <c r="C8" s="184"/>
      <c r="D8" s="171"/>
      <c r="E8" s="171"/>
      <c r="F8" s="171"/>
      <c r="G8" s="171"/>
      <c r="H8" s="171"/>
      <c r="I8" s="171"/>
      <c r="J8" s="171"/>
      <c r="K8" s="171"/>
      <c r="L8" s="171"/>
      <c r="N8" s="582"/>
      <c r="O8" s="167" t="s">
        <v>197</v>
      </c>
      <c r="P8" s="176"/>
      <c r="Q8" s="219"/>
      <c r="R8" s="163"/>
      <c r="S8" s="219"/>
      <c r="T8" s="163"/>
      <c r="U8" s="219"/>
      <c r="V8" s="163"/>
      <c r="W8" s="219"/>
      <c r="X8" s="176"/>
      <c r="Y8" s="219"/>
      <c r="Z8" s="163"/>
      <c r="AA8" s="219"/>
      <c r="AB8" s="163"/>
      <c r="AC8" s="219"/>
      <c r="AD8" s="176"/>
      <c r="AE8" s="221"/>
      <c r="AF8" s="176"/>
      <c r="AG8" s="221"/>
    </row>
    <row r="9" spans="1:33" x14ac:dyDescent="0.25">
      <c r="A9" s="582"/>
      <c r="B9" s="167" t="s">
        <v>198</v>
      </c>
      <c r="C9" s="185"/>
      <c r="D9" s="162"/>
      <c r="E9" s="162"/>
      <c r="F9" s="162"/>
      <c r="G9" s="162"/>
      <c r="H9" s="162"/>
      <c r="I9" s="162"/>
      <c r="J9" s="162"/>
      <c r="K9" s="162"/>
      <c r="L9" s="162"/>
      <c r="N9" s="582"/>
      <c r="O9" s="167" t="s">
        <v>198</v>
      </c>
      <c r="P9" s="177"/>
      <c r="Q9" s="220"/>
      <c r="R9" s="164"/>
      <c r="S9" s="220"/>
      <c r="T9" s="164"/>
      <c r="U9" s="220"/>
      <c r="V9" s="164"/>
      <c r="W9" s="220"/>
      <c r="X9" s="177"/>
      <c r="Y9" s="220"/>
      <c r="Z9" s="164"/>
      <c r="AA9" s="164"/>
      <c r="AB9" s="164"/>
      <c r="AC9" s="164"/>
      <c r="AD9" s="177" t="e">
        <f>J9/$J$1</f>
        <v>#DIV/0!</v>
      </c>
      <c r="AE9" s="223" t="e">
        <f>1/J9</f>
        <v>#DIV/0!</v>
      </c>
      <c r="AF9" s="177">
        <f>K9/$K$1</f>
        <v>0</v>
      </c>
      <c r="AG9" s="223" t="e">
        <f>1/K9</f>
        <v>#DIV/0!</v>
      </c>
    </row>
    <row r="10" spans="1:33" x14ac:dyDescent="0.25">
      <c r="A10" s="581" t="s">
        <v>620</v>
      </c>
      <c r="B10" s="168" t="s">
        <v>354</v>
      </c>
      <c r="C10" s="187">
        <v>4.0980247552447772E-2</v>
      </c>
      <c r="D10" s="182">
        <v>7.0304873926074096E-2</v>
      </c>
      <c r="E10" s="182">
        <v>4.057937202797221E-2</v>
      </c>
      <c r="F10" s="182"/>
      <c r="G10" s="182"/>
      <c r="H10" s="182"/>
      <c r="I10" s="182"/>
      <c r="J10" s="182">
        <v>0</v>
      </c>
      <c r="K10" s="182">
        <v>3.0871978021978067E-2</v>
      </c>
      <c r="L10" s="182"/>
      <c r="N10" s="581" t="s">
        <v>620</v>
      </c>
      <c r="O10" s="168" t="s">
        <v>354</v>
      </c>
      <c r="P10" s="176">
        <f>C10/$C$1</f>
        <v>0.53540241736066307</v>
      </c>
      <c r="Q10" s="218">
        <f>1/C10</f>
        <v>24.401999981092587</v>
      </c>
      <c r="R10" s="175">
        <f>D10/$D$1</f>
        <v>0.73875192766788023</v>
      </c>
      <c r="S10" s="218">
        <f>1/D10</f>
        <v>14.223764927755999</v>
      </c>
      <c r="T10" s="175">
        <f>E10/$E$1</f>
        <v>0.40118420632996155</v>
      </c>
      <c r="U10" s="218">
        <f>1/E10</f>
        <v>24.643062472989456</v>
      </c>
      <c r="V10" s="163"/>
      <c r="W10" s="219"/>
      <c r="X10" s="176"/>
      <c r="Y10" s="219"/>
      <c r="Z10" s="163"/>
      <c r="AA10" s="163"/>
      <c r="AB10" s="163"/>
      <c r="AC10" s="163"/>
      <c r="AD10" s="176"/>
      <c r="AE10" s="163"/>
      <c r="AF10" s="163">
        <f>K10/K1</f>
        <v>0.85228433885796218</v>
      </c>
      <c r="AG10" s="219"/>
    </row>
    <row r="11" spans="1:33" x14ac:dyDescent="0.25">
      <c r="A11" s="582"/>
      <c r="B11" s="167" t="s">
        <v>356</v>
      </c>
      <c r="C11" s="184"/>
      <c r="D11" s="171"/>
      <c r="E11" s="171"/>
      <c r="F11" s="171">
        <v>5.1022557865187314E-2</v>
      </c>
      <c r="G11" s="171"/>
      <c r="H11" s="171"/>
      <c r="I11" s="171"/>
      <c r="J11" s="171"/>
      <c r="K11" s="171"/>
      <c r="L11" s="171"/>
      <c r="N11" s="582"/>
      <c r="O11" s="167" t="s">
        <v>356</v>
      </c>
      <c r="P11" s="176"/>
      <c r="Q11" s="219"/>
      <c r="R11" s="163"/>
      <c r="S11" s="219"/>
      <c r="T11" s="163"/>
      <c r="U11" s="219"/>
      <c r="V11" s="163">
        <f>F11/F1</f>
        <v>0.97098955822045196</v>
      </c>
      <c r="W11" s="219">
        <f>1/F11</f>
        <v>19.599174205303804</v>
      </c>
      <c r="X11" s="176"/>
      <c r="Y11" s="219"/>
      <c r="Z11" s="163"/>
      <c r="AA11" s="163"/>
      <c r="AB11" s="163"/>
      <c r="AC11" s="163"/>
      <c r="AD11" s="176"/>
      <c r="AE11" s="163"/>
      <c r="AF11" s="163"/>
      <c r="AG11" s="219"/>
    </row>
    <row r="12" spans="1:33" x14ac:dyDescent="0.25">
      <c r="A12" s="582"/>
      <c r="B12" s="167" t="s">
        <v>618</v>
      </c>
      <c r="C12" s="184"/>
      <c r="D12" s="171"/>
      <c r="E12" s="171"/>
      <c r="F12" s="171"/>
      <c r="G12" s="171">
        <v>4.221595238095216E-2</v>
      </c>
      <c r="H12" s="171">
        <v>6.617364468864452E-2</v>
      </c>
      <c r="I12" s="171">
        <v>0</v>
      </c>
      <c r="J12" s="171"/>
      <c r="K12" s="171"/>
      <c r="L12" s="171"/>
      <c r="N12" s="582"/>
      <c r="O12" s="167" t="s">
        <v>618</v>
      </c>
      <c r="P12" s="176"/>
      <c r="Q12" s="219"/>
      <c r="R12" s="163"/>
      <c r="S12" s="219"/>
      <c r="T12" s="163"/>
      <c r="U12" s="219"/>
      <c r="V12" s="163"/>
      <c r="W12" s="219"/>
      <c r="X12" s="176">
        <f>G12/$G$1</f>
        <v>0.80811713773484239</v>
      </c>
      <c r="Y12" s="219">
        <f>1/G12</f>
        <v>23.687728064881938</v>
      </c>
      <c r="Z12" s="163">
        <f>H12/$H$1</f>
        <v>0.82535281728427856</v>
      </c>
      <c r="AA12" s="219">
        <f>1/H12</f>
        <v>15.111756420628305</v>
      </c>
      <c r="AB12" s="163">
        <f>I12/$I$1</f>
        <v>0</v>
      </c>
      <c r="AC12" s="219"/>
      <c r="AD12" s="176"/>
      <c r="AE12" s="163"/>
      <c r="AF12" s="163"/>
      <c r="AG12" s="219"/>
    </row>
    <row r="13" spans="1:33" x14ac:dyDescent="0.25">
      <c r="A13" s="582"/>
      <c r="B13" s="167" t="s">
        <v>619</v>
      </c>
      <c r="C13" s="184"/>
      <c r="D13" s="171"/>
      <c r="E13" s="171"/>
      <c r="F13" s="171"/>
      <c r="G13" s="171">
        <v>3.8151785714285645E-2</v>
      </c>
      <c r="H13" s="171">
        <v>3.8776785714285687E-2</v>
      </c>
      <c r="I13" s="171">
        <v>5.7961761904761842E-2</v>
      </c>
      <c r="J13" s="171"/>
      <c r="K13" s="171"/>
      <c r="L13" s="171"/>
      <c r="N13" s="582"/>
      <c r="O13" s="167" t="s">
        <v>619</v>
      </c>
      <c r="P13" s="176"/>
      <c r="Q13" s="219"/>
      <c r="R13" s="163"/>
      <c r="S13" s="219"/>
      <c r="T13" s="163"/>
      <c r="U13" s="219"/>
      <c r="V13" s="163"/>
      <c r="W13" s="219"/>
      <c r="X13" s="176">
        <f>G13/$G$1</f>
        <v>0.73031899393586974</v>
      </c>
      <c r="Y13" s="219">
        <f>1/G13</f>
        <v>26.211092908963305</v>
      </c>
      <c r="Z13" s="163">
        <f>H13/$H$1</f>
        <v>0.48364465166003584</v>
      </c>
      <c r="AA13" s="219">
        <f>1/H13</f>
        <v>25.788625374165342</v>
      </c>
      <c r="AB13" s="163">
        <f>I13/$I$1</f>
        <v>1</v>
      </c>
      <c r="AC13" s="219">
        <f>1/I13</f>
        <v>17.252753662718543</v>
      </c>
      <c r="AD13" s="176"/>
      <c r="AE13" s="163"/>
      <c r="AF13" s="163"/>
      <c r="AG13" s="219"/>
    </row>
    <row r="14" spans="1:33" x14ac:dyDescent="0.25">
      <c r="A14" s="582"/>
      <c r="B14" s="167" t="s">
        <v>197</v>
      </c>
      <c r="C14" s="184"/>
      <c r="D14" s="171"/>
      <c r="E14" s="171"/>
      <c r="F14" s="171"/>
      <c r="G14" s="171"/>
      <c r="H14" s="171"/>
      <c r="I14" s="171"/>
      <c r="J14" s="171"/>
      <c r="K14" s="171"/>
      <c r="L14" s="171"/>
      <c r="N14" s="582"/>
      <c r="O14" s="167" t="s">
        <v>197</v>
      </c>
      <c r="P14" s="176"/>
      <c r="Q14" s="219"/>
      <c r="R14" s="163"/>
      <c r="S14" s="219"/>
      <c r="T14" s="163"/>
      <c r="U14" s="219"/>
      <c r="V14" s="163"/>
      <c r="W14" s="219"/>
      <c r="X14" s="176"/>
      <c r="Y14" s="219"/>
      <c r="Z14" s="163"/>
      <c r="AA14" s="219"/>
      <c r="AB14" s="163"/>
      <c r="AC14" s="219"/>
      <c r="AD14" s="176"/>
      <c r="AE14" s="221"/>
      <c r="AF14" s="176"/>
      <c r="AG14" s="221"/>
    </row>
    <row r="15" spans="1:33" x14ac:dyDescent="0.25">
      <c r="A15" s="582"/>
      <c r="B15" s="167" t="s">
        <v>198</v>
      </c>
      <c r="C15" s="185"/>
      <c r="D15" s="162"/>
      <c r="E15" s="162"/>
      <c r="F15" s="162"/>
      <c r="G15" s="162"/>
      <c r="H15" s="162"/>
      <c r="I15" s="162"/>
      <c r="J15" s="162"/>
      <c r="K15" s="162"/>
      <c r="L15" s="162"/>
      <c r="N15" s="582"/>
      <c r="O15" s="167" t="s">
        <v>198</v>
      </c>
      <c r="P15" s="177"/>
      <c r="Q15" s="220"/>
      <c r="R15" s="164"/>
      <c r="S15" s="220"/>
      <c r="T15" s="164"/>
      <c r="U15" s="220"/>
      <c r="V15" s="164"/>
      <c r="W15" s="220"/>
      <c r="X15" s="177"/>
      <c r="Y15" s="220"/>
      <c r="Z15" s="164"/>
      <c r="AA15" s="164"/>
      <c r="AB15" s="164"/>
      <c r="AC15" s="164"/>
      <c r="AD15" s="177" t="e">
        <f>J15/$J$1</f>
        <v>#DIV/0!</v>
      </c>
      <c r="AE15" s="223" t="e">
        <f>1/J15</f>
        <v>#DIV/0!</v>
      </c>
      <c r="AF15" s="177">
        <f>K15/$K$1</f>
        <v>0</v>
      </c>
      <c r="AG15" s="223" t="e">
        <f>1/K15</f>
        <v>#DIV/0!</v>
      </c>
    </row>
    <row r="16" spans="1:33" x14ac:dyDescent="0.25">
      <c r="A16" s="581" t="s">
        <v>621</v>
      </c>
      <c r="B16" s="168" t="s">
        <v>354</v>
      </c>
      <c r="C16" s="184">
        <v>5.8181020779221264E-2</v>
      </c>
      <c r="D16" s="171">
        <v>7.6807093706293572E-2</v>
      </c>
      <c r="E16" s="171">
        <v>6.614897692307703E-2</v>
      </c>
      <c r="F16" s="171"/>
      <c r="G16" s="171"/>
      <c r="H16" s="171"/>
      <c r="I16" s="171"/>
      <c r="J16" s="171">
        <v>0</v>
      </c>
      <c r="K16" s="171">
        <v>2.9990859140859208E-2</v>
      </c>
      <c r="L16" s="171">
        <v>4.1477272727272967E-2</v>
      </c>
      <c r="N16" s="581" t="s">
        <v>621</v>
      </c>
      <c r="O16" s="168" t="s">
        <v>354</v>
      </c>
      <c r="P16" s="176">
        <f>C16/$C$1</f>
        <v>0.76012862367019574</v>
      </c>
      <c r="Q16" s="218">
        <f>1/C16</f>
        <v>17.18773556405424</v>
      </c>
      <c r="R16" s="175">
        <f>D16/$D$1</f>
        <v>0.80707617218339256</v>
      </c>
      <c r="S16" s="218">
        <f>1/D16</f>
        <v>13.019630762543226</v>
      </c>
      <c r="T16" s="175">
        <f>E16/$E$1</f>
        <v>0.65397573890819338</v>
      </c>
      <c r="U16" s="218">
        <f>1/E16</f>
        <v>15.117391780115884</v>
      </c>
      <c r="V16" s="163"/>
      <c r="W16" s="219"/>
      <c r="X16" s="163"/>
      <c r="Y16" s="219"/>
      <c r="Z16" s="163"/>
      <c r="AA16" s="163"/>
      <c r="AB16" s="163"/>
      <c r="AC16" s="163"/>
      <c r="AD16" s="163"/>
      <c r="AE16" s="163"/>
      <c r="AF16" s="163">
        <f>K16/K1</f>
        <v>0.827959243053766</v>
      </c>
      <c r="AG16" s="219"/>
    </row>
    <row r="17" spans="1:33" x14ac:dyDescent="0.25">
      <c r="A17" s="582"/>
      <c r="B17" s="167" t="s">
        <v>356</v>
      </c>
      <c r="C17" s="184"/>
      <c r="D17" s="171"/>
      <c r="E17" s="171"/>
      <c r="F17" s="171">
        <v>4.2273232055429683E-2</v>
      </c>
      <c r="G17" s="171"/>
      <c r="H17" s="171"/>
      <c r="I17" s="171"/>
      <c r="J17" s="171"/>
      <c r="K17" s="171"/>
      <c r="L17" s="171"/>
      <c r="N17" s="582"/>
      <c r="O17" s="167" t="s">
        <v>356</v>
      </c>
      <c r="P17" s="176"/>
      <c r="Q17" s="219"/>
      <c r="R17" s="163"/>
      <c r="S17" s="219"/>
      <c r="T17" s="163"/>
      <c r="U17" s="219"/>
      <c r="V17" s="163">
        <f>F17/F1</f>
        <v>0.80448469530882905</v>
      </c>
      <c r="W17" s="219">
        <f>1/F17</f>
        <v>23.655631504323487</v>
      </c>
      <c r="X17" s="163"/>
      <c r="Y17" s="219"/>
      <c r="Z17" s="163"/>
      <c r="AA17" s="163"/>
      <c r="AB17" s="163"/>
      <c r="AC17" s="163"/>
      <c r="AD17" s="163"/>
      <c r="AE17" s="163"/>
      <c r="AF17" s="163"/>
      <c r="AG17" s="219"/>
    </row>
    <row r="18" spans="1:33" x14ac:dyDescent="0.25">
      <c r="A18" s="582"/>
      <c r="B18" s="167" t="s">
        <v>618</v>
      </c>
      <c r="C18" s="184"/>
      <c r="D18" s="171"/>
      <c r="E18" s="171"/>
      <c r="F18" s="171"/>
      <c r="G18" s="171">
        <v>5.2239892473118131E-2</v>
      </c>
      <c r="H18" s="171">
        <v>8.0176190476190193E-2</v>
      </c>
      <c r="I18" s="171">
        <v>0</v>
      </c>
      <c r="J18" s="171"/>
      <c r="K18" s="171"/>
      <c r="L18" s="171"/>
      <c r="N18" s="582"/>
      <c r="O18" s="167" t="s">
        <v>618</v>
      </c>
      <c r="P18" s="176"/>
      <c r="Q18" s="219"/>
      <c r="R18" s="163"/>
      <c r="S18" s="219"/>
      <c r="T18" s="163"/>
      <c r="U18" s="219"/>
      <c r="V18" s="163"/>
      <c r="W18" s="219"/>
      <c r="X18" s="163">
        <f>G18/$G$1</f>
        <v>1</v>
      </c>
      <c r="Y18" s="219">
        <f>1/G18</f>
        <v>19.142459003233689</v>
      </c>
      <c r="Z18" s="163">
        <f>H18/$H$1</f>
        <v>1</v>
      </c>
      <c r="AA18" s="219">
        <f>1/H18</f>
        <v>12.472530735879358</v>
      </c>
      <c r="AB18" s="163">
        <f>I18/$I$1</f>
        <v>0</v>
      </c>
      <c r="AC18" s="219"/>
      <c r="AD18" s="163"/>
      <c r="AE18" s="163"/>
      <c r="AF18" s="163"/>
      <c r="AG18" s="219"/>
    </row>
    <row r="19" spans="1:33" x14ac:dyDescent="0.25">
      <c r="A19" s="582"/>
      <c r="B19" s="167" t="s">
        <v>619</v>
      </c>
      <c r="C19" s="184"/>
      <c r="D19" s="171"/>
      <c r="E19" s="171"/>
      <c r="F19" s="171"/>
      <c r="G19" s="171">
        <v>2.5968749999999964E-2</v>
      </c>
      <c r="H19" s="171">
        <v>2.5281250000000002E-2</v>
      </c>
      <c r="I19" s="171">
        <v>3.0639083333333317E-2</v>
      </c>
      <c r="J19" s="171"/>
      <c r="K19" s="171"/>
      <c r="L19" s="171">
        <v>0.1339285714285714</v>
      </c>
      <c r="M19" s="227">
        <f>1/L19</f>
        <v>7.4666666666666686</v>
      </c>
      <c r="N19" s="582"/>
      <c r="O19" s="167" t="s">
        <v>619</v>
      </c>
      <c r="P19" s="176"/>
      <c r="Q19" s="219"/>
      <c r="R19" s="163"/>
      <c r="S19" s="219"/>
      <c r="T19" s="163"/>
      <c r="U19" s="219"/>
      <c r="V19" s="163"/>
      <c r="W19" s="219"/>
      <c r="X19" s="163">
        <f>G19/$G$1</f>
        <v>0.4971057322402242</v>
      </c>
      <c r="Y19" s="219">
        <f>1/G19</f>
        <v>38.507821901323759</v>
      </c>
      <c r="Z19" s="163">
        <f>H19/$H$1</f>
        <v>0.31532116766645002</v>
      </c>
      <c r="AA19" s="219">
        <f>1/H19</f>
        <v>39.555006180469711</v>
      </c>
      <c r="AB19" s="163">
        <f>I19/$I$1</f>
        <v>0.52860855720150501</v>
      </c>
      <c r="AC19" s="219">
        <f>1/I19</f>
        <v>32.63805216104705</v>
      </c>
      <c r="AD19" s="163"/>
      <c r="AE19" s="163"/>
      <c r="AF19" s="163"/>
      <c r="AG19" s="219"/>
    </row>
    <row r="20" spans="1:33" x14ac:dyDescent="0.25">
      <c r="A20" s="582"/>
      <c r="B20" s="167" t="s">
        <v>197</v>
      </c>
      <c r="C20" s="184"/>
      <c r="D20" s="171"/>
      <c r="E20" s="171"/>
      <c r="F20" s="171"/>
      <c r="G20" s="171"/>
      <c r="H20" s="171"/>
      <c r="I20" s="171"/>
      <c r="J20" s="171"/>
      <c r="K20" s="171"/>
      <c r="L20" s="171"/>
      <c r="N20" s="582"/>
      <c r="O20" s="167" t="s">
        <v>197</v>
      </c>
      <c r="P20" s="176"/>
      <c r="Q20" s="219"/>
      <c r="R20" s="163"/>
      <c r="S20" s="219"/>
      <c r="T20" s="163"/>
      <c r="U20" s="219"/>
      <c r="V20" s="163"/>
      <c r="W20" s="219"/>
      <c r="X20" s="163"/>
      <c r="Y20" s="219"/>
      <c r="Z20" s="163"/>
      <c r="AA20" s="219"/>
      <c r="AB20" s="163"/>
      <c r="AC20" s="219"/>
      <c r="AD20" s="163"/>
      <c r="AE20" s="221"/>
      <c r="AF20" s="176"/>
      <c r="AG20" s="221"/>
    </row>
    <row r="21" spans="1:33" x14ac:dyDescent="0.25">
      <c r="A21" s="582"/>
      <c r="B21" s="167" t="s">
        <v>198</v>
      </c>
      <c r="C21" s="184"/>
      <c r="D21" s="171"/>
      <c r="E21" s="171"/>
      <c r="F21" s="171"/>
      <c r="G21" s="171"/>
      <c r="H21" s="171"/>
      <c r="I21" s="171"/>
      <c r="J21" s="171"/>
      <c r="K21" s="171"/>
      <c r="L21" s="171"/>
      <c r="N21" s="582"/>
      <c r="O21" s="167" t="s">
        <v>198</v>
      </c>
      <c r="P21" s="177"/>
      <c r="Q21" s="220"/>
      <c r="R21" s="164"/>
      <c r="S21" s="220"/>
      <c r="T21" s="164"/>
      <c r="U21" s="220"/>
      <c r="V21" s="164"/>
      <c r="W21" s="220"/>
      <c r="X21" s="164"/>
      <c r="Y21" s="220"/>
      <c r="Z21" s="164"/>
      <c r="AA21" s="164"/>
      <c r="AB21" s="164"/>
      <c r="AC21" s="163"/>
      <c r="AD21" s="163" t="e">
        <f>J21/$J$1</f>
        <v>#DIV/0!</v>
      </c>
      <c r="AE21" s="223" t="e">
        <f>1/J21</f>
        <v>#DIV/0!</v>
      </c>
      <c r="AF21" s="177">
        <f>K21/$K$1</f>
        <v>0</v>
      </c>
      <c r="AG21" s="223" t="e">
        <f>1/K21</f>
        <v>#DIV/0!</v>
      </c>
    </row>
    <row r="22" spans="1:33" x14ac:dyDescent="0.25">
      <c r="A22" s="581" t="s">
        <v>622</v>
      </c>
      <c r="B22" s="180" t="s">
        <v>354</v>
      </c>
      <c r="C22" s="187">
        <v>7.6541020779221203E-2</v>
      </c>
      <c r="D22" s="182">
        <v>9.5167093706293476E-2</v>
      </c>
      <c r="E22" s="182">
        <v>0.10114897692307692</v>
      </c>
      <c r="F22" s="182"/>
      <c r="G22" s="182"/>
      <c r="H22" s="182"/>
      <c r="I22" s="182"/>
      <c r="J22" s="182">
        <v>0</v>
      </c>
      <c r="K22" s="182">
        <v>3.3705144855144906E-2</v>
      </c>
      <c r="L22" s="182">
        <v>5.9334415584415767E-2</v>
      </c>
      <c r="N22" s="581" t="s">
        <v>622</v>
      </c>
      <c r="O22" s="168" t="s">
        <v>354</v>
      </c>
      <c r="P22" s="176">
        <f>C22/$C$1</f>
        <v>1</v>
      </c>
      <c r="Q22" s="218">
        <f>1/C22</f>
        <v>13.064889778311823</v>
      </c>
      <c r="R22" s="175">
        <f>D22/$D$1</f>
        <v>1</v>
      </c>
      <c r="S22" s="218">
        <f>1/D22</f>
        <v>10.507833759074531</v>
      </c>
      <c r="T22" s="175">
        <f>E22/$E$1</f>
        <v>1</v>
      </c>
      <c r="U22" s="225">
        <f>1/E22</f>
        <v>9.8864074597659339</v>
      </c>
      <c r="V22" s="213"/>
      <c r="W22" s="222"/>
      <c r="X22" s="176"/>
      <c r="Y22" s="219"/>
      <c r="Z22" s="163"/>
      <c r="AA22" s="163"/>
      <c r="AB22" s="176"/>
      <c r="AC22" s="174"/>
      <c r="AD22" s="174"/>
      <c r="AE22" s="163"/>
      <c r="AF22" s="163">
        <f>K22/K1</f>
        <v>0.93049972627372413</v>
      </c>
      <c r="AG22" s="219"/>
    </row>
    <row r="23" spans="1:33" x14ac:dyDescent="0.25">
      <c r="A23" s="582"/>
      <c r="B23" s="181" t="s">
        <v>356</v>
      </c>
      <c r="C23" s="184"/>
      <c r="D23" s="171"/>
      <c r="E23" s="171"/>
      <c r="F23" s="171">
        <v>4.3797642829840472E-2</v>
      </c>
      <c r="G23" s="171"/>
      <c r="H23" s="171"/>
      <c r="I23" s="171"/>
      <c r="J23" s="171"/>
      <c r="K23" s="171"/>
      <c r="L23" s="171"/>
      <c r="N23" s="582"/>
      <c r="O23" s="167" t="s">
        <v>356</v>
      </c>
      <c r="P23" s="176"/>
      <c r="Q23" s="219"/>
      <c r="R23" s="163"/>
      <c r="S23" s="219"/>
      <c r="T23" s="163"/>
      <c r="U23" s="216"/>
      <c r="V23" s="214">
        <f>F23/F1</f>
        <v>0.83349513708837697</v>
      </c>
      <c r="W23" s="221">
        <f>1/F23</f>
        <v>22.832278985541066</v>
      </c>
      <c r="X23" s="176"/>
      <c r="Y23" s="219"/>
      <c r="Z23" s="163"/>
      <c r="AA23" s="163"/>
      <c r="AB23" s="176"/>
      <c r="AC23" s="176"/>
      <c r="AD23" s="176"/>
      <c r="AE23" s="163"/>
      <c r="AF23" s="163"/>
      <c r="AG23" s="219"/>
    </row>
    <row r="24" spans="1:33" x14ac:dyDescent="0.25">
      <c r="A24" s="582"/>
      <c r="B24" s="181" t="s">
        <v>618</v>
      </c>
      <c r="C24" s="184"/>
      <c r="D24" s="171"/>
      <c r="E24" s="171"/>
      <c r="F24" s="171"/>
      <c r="G24" s="171">
        <v>4.8379892473118219E-2</v>
      </c>
      <c r="H24" s="171">
        <v>7.5159999999999713E-2</v>
      </c>
      <c r="I24" s="171">
        <v>0</v>
      </c>
      <c r="J24" s="171"/>
      <c r="K24" s="171"/>
      <c r="L24" s="171"/>
      <c r="N24" s="582"/>
      <c r="O24" s="167" t="s">
        <v>618</v>
      </c>
      <c r="P24" s="176"/>
      <c r="Q24" s="219"/>
      <c r="R24" s="163"/>
      <c r="S24" s="219"/>
      <c r="T24" s="163"/>
      <c r="U24" s="216"/>
      <c r="V24" s="214"/>
      <c r="W24" s="221"/>
      <c r="X24" s="176">
        <f>G24/$G$1</f>
        <v>0.9261101082475196</v>
      </c>
      <c r="Y24" s="219">
        <f>1/G24</f>
        <v>20.669744161908575</v>
      </c>
      <c r="Z24" s="163">
        <f>H24/$H$1</f>
        <v>0.93743541010868892</v>
      </c>
      <c r="AA24" s="219">
        <f>1/H24</f>
        <v>13.304949441192175</v>
      </c>
      <c r="AB24" s="163">
        <f>I24/$I$1</f>
        <v>0</v>
      </c>
      <c r="AC24" s="221"/>
      <c r="AD24" s="176"/>
      <c r="AE24" s="163"/>
      <c r="AF24" s="163"/>
      <c r="AG24" s="219"/>
    </row>
    <row r="25" spans="1:33" x14ac:dyDescent="0.25">
      <c r="A25" s="582"/>
      <c r="B25" s="181" t="s">
        <v>619</v>
      </c>
      <c r="C25" s="184"/>
      <c r="D25" s="171"/>
      <c r="E25" s="171"/>
      <c r="F25" s="171"/>
      <c r="G25" s="171">
        <v>2.3874999999999962E-2</v>
      </c>
      <c r="H25" s="171">
        <v>2.31875E-2</v>
      </c>
      <c r="I25" s="171">
        <v>2.7005333333333322E-2</v>
      </c>
      <c r="J25" s="171"/>
      <c r="K25" s="171"/>
      <c r="L25" s="171">
        <v>0.16964285714285698</v>
      </c>
      <c r="M25" s="227">
        <f>1/L25</f>
        <v>5.894736842105269</v>
      </c>
      <c r="N25" s="582"/>
      <c r="O25" s="167" t="s">
        <v>619</v>
      </c>
      <c r="P25" s="176"/>
      <c r="Q25" s="219"/>
      <c r="R25" s="163"/>
      <c r="S25" s="219"/>
      <c r="T25" s="163"/>
      <c r="U25" s="216"/>
      <c r="V25" s="214"/>
      <c r="W25" s="221"/>
      <c r="X25" s="176">
        <f>G25/$G$1</f>
        <v>0.45702620870220362</v>
      </c>
      <c r="Y25" s="219">
        <f>1/G25</f>
        <v>41.884816753926771</v>
      </c>
      <c r="Z25" s="163">
        <f>H25/$H$1</f>
        <v>0.28920680643820262</v>
      </c>
      <c r="AA25" s="219">
        <f>1/H25</f>
        <v>43.126684636118597</v>
      </c>
      <c r="AB25" s="163">
        <f>I25/$I$1</f>
        <v>0.46591636357960164</v>
      </c>
      <c r="AC25" s="221">
        <f>1/I25</f>
        <v>37.0297225239459</v>
      </c>
      <c r="AD25" s="176"/>
      <c r="AE25" s="163"/>
      <c r="AF25" s="163"/>
      <c r="AG25" s="219"/>
    </row>
    <row r="26" spans="1:33" x14ac:dyDescent="0.25">
      <c r="A26" s="582"/>
      <c r="B26" s="181" t="s">
        <v>197</v>
      </c>
      <c r="C26" s="184"/>
      <c r="D26" s="171"/>
      <c r="E26" s="171"/>
      <c r="F26" s="171"/>
      <c r="G26" s="171"/>
      <c r="H26" s="171"/>
      <c r="I26" s="171"/>
      <c r="J26" s="171"/>
      <c r="K26" s="171"/>
      <c r="L26" s="171"/>
      <c r="N26" s="582"/>
      <c r="O26" s="167" t="s">
        <v>197</v>
      </c>
      <c r="P26" s="176"/>
      <c r="Q26" s="219"/>
      <c r="R26" s="163"/>
      <c r="S26" s="219"/>
      <c r="T26" s="163"/>
      <c r="U26" s="216"/>
      <c r="V26" s="214"/>
      <c r="W26" s="176"/>
      <c r="X26" s="176"/>
      <c r="Y26" s="219"/>
      <c r="Z26" s="163"/>
      <c r="AA26" s="219"/>
      <c r="AB26" s="163"/>
      <c r="AC26" s="221"/>
      <c r="AD26" s="176"/>
      <c r="AE26" s="221"/>
      <c r="AF26" s="176"/>
      <c r="AG26" s="221"/>
    </row>
    <row r="27" spans="1:33" x14ac:dyDescent="0.25">
      <c r="A27" s="582"/>
      <c r="B27" s="167" t="s">
        <v>198</v>
      </c>
      <c r="C27" s="185"/>
      <c r="D27" s="162"/>
      <c r="E27" s="162"/>
      <c r="F27" s="162"/>
      <c r="G27" s="162"/>
      <c r="H27" s="162"/>
      <c r="I27" s="162"/>
      <c r="J27" s="162"/>
      <c r="K27" s="162"/>
      <c r="L27" s="162"/>
      <c r="N27" s="582"/>
      <c r="O27" s="167" t="s">
        <v>198</v>
      </c>
      <c r="P27" s="177"/>
      <c r="Q27" s="220"/>
      <c r="R27" s="164"/>
      <c r="S27" s="220"/>
      <c r="T27" s="164"/>
      <c r="U27" s="226"/>
      <c r="V27" s="215"/>
      <c r="W27" s="177"/>
      <c r="X27" s="177"/>
      <c r="Y27" s="220"/>
      <c r="Z27" s="164"/>
      <c r="AA27" s="164"/>
      <c r="AB27" s="177"/>
      <c r="AC27" s="177"/>
      <c r="AD27" s="177" t="e">
        <f>J27/$J$1</f>
        <v>#DIV/0!</v>
      </c>
      <c r="AE27" s="223" t="e">
        <f>1/J27</f>
        <v>#DIV/0!</v>
      </c>
      <c r="AF27" s="177">
        <f>K27/$K$1</f>
        <v>0</v>
      </c>
      <c r="AG27" s="223" t="e">
        <f>1/K27</f>
        <v>#DIV/0!</v>
      </c>
    </row>
    <row r="28" spans="1:33" x14ac:dyDescent="0.25">
      <c r="Q28" s="141"/>
      <c r="S28" s="141"/>
      <c r="U28" s="141"/>
    </row>
    <row r="29" spans="1:33" x14ac:dyDescent="0.25">
      <c r="Q29" s="141"/>
      <c r="S29" s="141"/>
      <c r="U29" s="141"/>
    </row>
    <row r="30" spans="1:33" x14ac:dyDescent="0.25">
      <c r="B30" s="165" t="s">
        <v>192</v>
      </c>
      <c r="Q30" s="141"/>
      <c r="S30" s="141"/>
      <c r="U30" s="141"/>
    </row>
    <row r="31" spans="1:33" x14ac:dyDescent="0.25">
      <c r="B31" s="166">
        <v>42724</v>
      </c>
      <c r="Q31" s="141"/>
      <c r="S31" s="141"/>
    </row>
    <row r="32" spans="1:33" x14ac:dyDescent="0.25">
      <c r="Q32" s="141"/>
    </row>
    <row r="33" spans="17:17" x14ac:dyDescent="0.25">
      <c r="Q33" s="141"/>
    </row>
    <row r="34" spans="17:17" x14ac:dyDescent="0.25">
      <c r="Q34" s="141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8" t="s">
        <v>85</v>
      </c>
      <c r="C2" s="148" t="s">
        <v>87</v>
      </c>
      <c r="D2" s="148" t="s">
        <v>350</v>
      </c>
      <c r="E2" s="148" t="s">
        <v>14</v>
      </c>
      <c r="F2" s="148" t="s">
        <v>37</v>
      </c>
      <c r="G2" s="148" t="s">
        <v>194</v>
      </c>
      <c r="H2" s="148" t="s">
        <v>30</v>
      </c>
      <c r="I2" s="148" t="s">
        <v>196</v>
      </c>
      <c r="J2" s="148" t="s">
        <v>197</v>
      </c>
      <c r="K2" s="148" t="s">
        <v>198</v>
      </c>
      <c r="M2" s="92">
        <v>352</v>
      </c>
      <c r="N2" s="58" t="s">
        <v>623</v>
      </c>
      <c r="O2" s="46" t="s">
        <v>482</v>
      </c>
      <c r="P2" s="46" t="s">
        <v>624</v>
      </c>
      <c r="Q2" s="46" t="s">
        <v>482</v>
      </c>
      <c r="R2" s="46" t="s">
        <v>28</v>
      </c>
      <c r="S2" s="46" t="s">
        <v>484</v>
      </c>
      <c r="T2" s="46" t="s">
        <v>485</v>
      </c>
      <c r="U2" s="46" t="s">
        <v>484</v>
      </c>
      <c r="V2" s="46" t="s">
        <v>479</v>
      </c>
      <c r="W2" s="46" t="s">
        <v>625</v>
      </c>
      <c r="X2" s="46" t="s">
        <v>626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13.95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1">
        <v>1</v>
      </c>
      <c r="O3" s="132">
        <f ca="1">Evaluacion!X3</f>
        <v>13.308562770025123</v>
      </c>
      <c r="P3" s="132">
        <f ca="1">Evaluacion!Y3</f>
        <v>19.596574497253648</v>
      </c>
      <c r="Q3" s="132">
        <f ca="1">Evaluacion!Z3</f>
        <v>13.308562770025123</v>
      </c>
      <c r="R3" s="132">
        <v>0</v>
      </c>
      <c r="S3" s="132">
        <v>0</v>
      </c>
      <c r="T3" s="132">
        <v>0</v>
      </c>
      <c r="U3" s="132">
        <v>0</v>
      </c>
      <c r="V3" s="132">
        <v>0</v>
      </c>
      <c r="W3" s="132">
        <f>Evaluacion!T3</f>
        <v>0.53849999999999998</v>
      </c>
      <c r="X3" s="132">
        <f>Evaluacion!U3</f>
        <v>0.89649999999999996</v>
      </c>
      <c r="Y3" s="195"/>
    </row>
    <row r="4" spans="2:25" x14ac:dyDescent="0.25">
      <c r="B4" t="s">
        <v>627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627</v>
      </c>
      <c r="N4" s="191">
        <v>1</v>
      </c>
      <c r="O4" s="132">
        <f>Evaluacion!AI6</f>
        <v>10.658210241095398</v>
      </c>
      <c r="P4" s="132">
        <f>Evaluacion!AJ6</f>
        <v>4.7961946084929288</v>
      </c>
      <c r="Q4" s="132">
        <v>0</v>
      </c>
      <c r="R4" s="132">
        <f>Evaluacion!AK6</f>
        <v>1.7676968589814472</v>
      </c>
      <c r="S4" s="132">
        <f>Evaluacion!AL6</f>
        <v>4.459986545395755</v>
      </c>
      <c r="T4" s="132">
        <v>0</v>
      </c>
      <c r="U4" s="132">
        <v>0</v>
      </c>
      <c r="V4" s="132">
        <f>Evaluacion!R6</f>
        <v>3.4812499999999993</v>
      </c>
      <c r="W4" s="132">
        <f>Evaluacion!T6</f>
        <v>0.46749999999999997</v>
      </c>
      <c r="X4" s="132">
        <f>Evaluacion!U6</f>
        <v>0.77799999999999991</v>
      </c>
    </row>
    <row r="5" spans="2:25" x14ac:dyDescent="0.25">
      <c r="B5" t="s">
        <v>628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7.2333333333333325</v>
      </c>
      <c r="H5" s="72">
        <f>Evaluacion!N14</f>
        <v>1</v>
      </c>
      <c r="I5" s="72">
        <f>Evaluacion!O14</f>
        <v>6</v>
      </c>
      <c r="J5" s="72">
        <f>Evaluacion!P14</f>
        <v>5.25</v>
      </c>
      <c r="K5" s="72">
        <f>Evaluacion!Q14</f>
        <v>16.75</v>
      </c>
      <c r="M5" t="s">
        <v>628</v>
      </c>
      <c r="N5" s="191">
        <v>1</v>
      </c>
      <c r="O5" s="132">
        <f ca="1">(Evaluacion!AA14+Evaluacion!AC14)/2</f>
        <v>4.9352204746533195</v>
      </c>
      <c r="P5" s="132">
        <f ca="1">Evaluacion!AB14</f>
        <v>12.752507686442685</v>
      </c>
      <c r="Q5" s="132">
        <f ca="1">O5</f>
        <v>4.9352204746533195</v>
      </c>
      <c r="R5" s="132">
        <f ca="1">Evaluacion!AD14</f>
        <v>2.1386301627066922</v>
      </c>
      <c r="S5" s="132">
        <v>0</v>
      </c>
      <c r="T5" s="132">
        <v>0</v>
      </c>
      <c r="U5" s="132">
        <v>0</v>
      </c>
      <c r="V5" s="132">
        <f>Evaluacion!R14</f>
        <v>3.25</v>
      </c>
      <c r="W5" s="132">
        <f>Evaluacion!T14</f>
        <v>0.7649999999999999</v>
      </c>
      <c r="X5" s="132">
        <f>Evaluacion!U14</f>
        <v>0.94250000000000012</v>
      </c>
    </row>
    <row r="6" spans="2:25" x14ac:dyDescent="0.25">
      <c r="B6" t="s">
        <v>627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16</v>
      </c>
      <c r="M6" t="s">
        <v>627</v>
      </c>
      <c r="N6" s="191">
        <v>1</v>
      </c>
      <c r="O6" s="132">
        <v>0</v>
      </c>
      <c r="P6" s="132">
        <f ca="1">Evaluacion!AJ9</f>
        <v>6.1246100840041198</v>
      </c>
      <c r="Q6" s="132">
        <f ca="1">Evaluacion!AI9</f>
        <v>13.610244631120267</v>
      </c>
      <c r="R6" s="132">
        <f ca="1">Evaluacion!AK9</f>
        <v>1.3015552754316138</v>
      </c>
      <c r="S6" s="132">
        <v>0</v>
      </c>
      <c r="T6" s="132">
        <f>0</f>
        <v>0</v>
      </c>
      <c r="U6" s="132">
        <f ca="1">Evaluacion!AL9</f>
        <v>2.2307215685855621</v>
      </c>
      <c r="V6" s="132">
        <f>Evaluacion!R9</f>
        <v>2.25</v>
      </c>
      <c r="W6" s="132">
        <f>Evaluacion!T9</f>
        <v>0.83000000000000007</v>
      </c>
      <c r="X6" s="132">
        <f>Evaluacion!U9</f>
        <v>1</v>
      </c>
    </row>
    <row r="7" spans="2:25" x14ac:dyDescent="0.25">
      <c r="B7" t="s">
        <v>471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6.125</v>
      </c>
      <c r="H7" s="72">
        <f>Evaluacion!N12</f>
        <v>3</v>
      </c>
      <c r="I7" s="72">
        <f>Evaluacion!O12</f>
        <v>5</v>
      </c>
      <c r="J7" s="72">
        <f>Evaluacion!P12</f>
        <v>6.2</v>
      </c>
      <c r="K7" s="72">
        <f>Evaluacion!Q12</f>
        <v>17.25</v>
      </c>
      <c r="M7" t="s">
        <v>471</v>
      </c>
      <c r="N7" s="191">
        <v>0.82499999999999984</v>
      </c>
      <c r="O7" s="132">
        <f ca="1">Evaluacion!BE12*N7</f>
        <v>3.302856371873844</v>
      </c>
      <c r="P7" s="132">
        <f ca="1">Evaluacion!BF12*N7</f>
        <v>3.9498076199728445</v>
      </c>
      <c r="Q7" s="132">
        <v>0</v>
      </c>
      <c r="R7" s="132">
        <f ca="1">Evaluacion!BG12*N7</f>
        <v>5.7292724157933241</v>
      </c>
      <c r="S7" s="132">
        <f ca="1">Evaluacion!BH12*N7</f>
        <v>4.0090944659651138</v>
      </c>
      <c r="T7" s="132">
        <f ca="1">Evaluacion!BI12*N7</f>
        <v>1.3435802770501601</v>
      </c>
      <c r="U7" s="132">
        <v>0</v>
      </c>
      <c r="V7" s="132">
        <v>0</v>
      </c>
      <c r="W7" s="132">
        <f>Evaluacion!T12*N7</f>
        <v>0.68268749999999989</v>
      </c>
      <c r="X7" s="132">
        <f>Evaluacion!U12*N7</f>
        <v>0.82293749999999999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13.222222222222221</v>
      </c>
      <c r="H8" s="72">
        <f>Evaluacion!N15</f>
        <v>3</v>
      </c>
      <c r="I8" s="72">
        <f>Evaluacion!O15</f>
        <v>4</v>
      </c>
      <c r="J8" s="72">
        <f>Evaluacion!P15</f>
        <v>7.2</v>
      </c>
      <c r="K8" s="72">
        <f>Evaluacion!Q15</f>
        <v>17.666666666666668</v>
      </c>
      <c r="M8" t="s">
        <v>135</v>
      </c>
      <c r="N8" s="191">
        <v>0.82499999999999984</v>
      </c>
      <c r="O8" s="132">
        <f ca="1">((Evaluacion!AX15+Evaluacion!AZ15)/2)*N8</f>
        <v>0.64942346928234973</v>
      </c>
      <c r="P8" s="132">
        <f ca="1">Evaluacion!AY15*N8</f>
        <v>1.8325882731071597</v>
      </c>
      <c r="Q8" s="132">
        <f ca="1">O8</f>
        <v>0.64942346928234973</v>
      </c>
      <c r="R8" s="132">
        <f ca="1">Evaluacion!BA15*N8</f>
        <v>12.189804016101229</v>
      </c>
      <c r="S8" s="132">
        <f ca="1">((Evaluacion!BB15+Evaluacion!BD15)/2)*N8</f>
        <v>0.8693340620552088</v>
      </c>
      <c r="T8" s="132">
        <f ca="1">Evaluacion!BC15*N8</f>
        <v>3.0787903462051123</v>
      </c>
      <c r="U8" s="132">
        <f ca="1">S8</f>
        <v>0.8693340620552088</v>
      </c>
      <c r="V8" s="132">
        <v>0</v>
      </c>
      <c r="W8" s="132">
        <f>Evaluacion!T15*N8</f>
        <v>0.73424999999999985</v>
      </c>
      <c r="X8" s="132">
        <f>Evaluacion!U15*N8</f>
        <v>0.56924999999999992</v>
      </c>
    </row>
    <row r="9" spans="2:25" x14ac:dyDescent="0.25">
      <c r="B9" t="s">
        <v>471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5.083333333333333</v>
      </c>
      <c r="H9" s="72">
        <f>Evaluacion!N13</f>
        <v>1</v>
      </c>
      <c r="I9" s="72">
        <f>Evaluacion!O13</f>
        <v>5</v>
      </c>
      <c r="J9" s="72">
        <f>Evaluacion!P13</f>
        <v>6.2</v>
      </c>
      <c r="K9" s="72">
        <f>Evaluacion!Q13</f>
        <v>18.2</v>
      </c>
      <c r="M9" t="s">
        <v>471</v>
      </c>
      <c r="N9" s="191">
        <v>0.82499999999999984</v>
      </c>
      <c r="O9" s="132">
        <v>0</v>
      </c>
      <c r="P9" s="132">
        <f ca="1">Evaluacion!BF13*N9</f>
        <v>3.6008701033126003</v>
      </c>
      <c r="Q9" s="132">
        <f ca="1">Evaluacion!BE13*N9</f>
        <v>3.0110724139769158</v>
      </c>
      <c r="R9" s="132">
        <f ca="1">Evaluacion!BG13*N9</f>
        <v>4.8156146149954049</v>
      </c>
      <c r="S9" s="132">
        <v>0</v>
      </c>
      <c r="T9" s="132">
        <f ca="1">Evaluacion!BI13*N9</f>
        <v>1.3007560198228068</v>
      </c>
      <c r="U9" s="132">
        <f ca="1">Evaluacion!BH13*N9</f>
        <v>2.9040244880600636</v>
      </c>
      <c r="V9" s="132">
        <v>0</v>
      </c>
      <c r="W9" s="132">
        <f>Evaluacion!T13*N9</f>
        <v>0.70619999999999994</v>
      </c>
      <c r="X9" s="132">
        <f>Evaluacion!U13*N9</f>
        <v>0.81344999999999978</v>
      </c>
    </row>
    <row r="10" spans="2:25" x14ac:dyDescent="0.25">
      <c r="B10" t="s">
        <v>474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474</v>
      </c>
      <c r="N10" s="191">
        <v>1</v>
      </c>
      <c r="O10" s="132" t="e">
        <f>#REF!</f>
        <v>#REF!</v>
      </c>
      <c r="P10" s="132" t="e">
        <f>#REF!</f>
        <v>#REF!</v>
      </c>
      <c r="Q10" s="132">
        <v>0</v>
      </c>
      <c r="R10" s="132" t="e">
        <f>#REF!</f>
        <v>#REF!</v>
      </c>
      <c r="S10" s="132" t="e">
        <f>#REF!</f>
        <v>#REF!</v>
      </c>
      <c r="T10" s="132" t="e">
        <f>#REF!</f>
        <v>#REF!</v>
      </c>
      <c r="U10" s="132">
        <v>0</v>
      </c>
      <c r="V10" s="132">
        <v>0</v>
      </c>
      <c r="W10" s="132" t="e">
        <f>#REF!*N10</f>
        <v>#REF!</v>
      </c>
      <c r="X10" s="132" t="e">
        <f>#REF!*N10</f>
        <v>#REF!</v>
      </c>
    </row>
    <row r="11" spans="2:25" x14ac:dyDescent="0.25">
      <c r="B11" t="s">
        <v>474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7.2</v>
      </c>
      <c r="H11" s="72">
        <f>Evaluacion!N10</f>
        <v>1</v>
      </c>
      <c r="I11" s="72">
        <f>Evaluacion!O10</f>
        <v>3</v>
      </c>
      <c r="J11" s="72">
        <f>Evaluacion!P10</f>
        <v>6.2</v>
      </c>
      <c r="K11" s="72">
        <f>Evaluacion!Q10</f>
        <v>16.5</v>
      </c>
      <c r="M11" t="s">
        <v>474</v>
      </c>
      <c r="N11" s="191">
        <v>1</v>
      </c>
      <c r="O11" s="132">
        <v>0</v>
      </c>
      <c r="P11" s="132">
        <f ca="1">Evaluacion!BU10</f>
        <v>3.385042247519026</v>
      </c>
      <c r="Q11" s="132">
        <f ca="1">Evaluacion!BT10</f>
        <v>3.9399672061287023</v>
      </c>
      <c r="R11" s="132">
        <f ca="1">Evaluacion!BV10</f>
        <v>4.1282714041850692</v>
      </c>
      <c r="S11" s="132">
        <v>0</v>
      </c>
      <c r="T11" s="132">
        <f ca="1">Evaluacion!BX10</f>
        <v>0.58964799979427107</v>
      </c>
      <c r="U11" s="132">
        <f ca="1">Evaluacion!BW10</f>
        <v>3.6714213534880367</v>
      </c>
      <c r="V11" s="132">
        <v>0</v>
      </c>
      <c r="W11" s="132">
        <f>Evaluacion!T10*N11</f>
        <v>0.80500000000000005</v>
      </c>
      <c r="X11" s="132">
        <f>Evaluacion!U10*N11</f>
        <v>0.97499999999999998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13.666666666666666</v>
      </c>
      <c r="H12" s="72">
        <f>Evaluacion!N18</f>
        <v>5</v>
      </c>
      <c r="I12" s="72">
        <f>Evaluacion!O18</f>
        <v>4</v>
      </c>
      <c r="J12" s="72">
        <f>Evaluacion!P18</f>
        <v>8.1666666666666661</v>
      </c>
      <c r="K12" s="72">
        <f>Evaluacion!Q18</f>
        <v>18.166666666666668</v>
      </c>
      <c r="M12" t="s">
        <v>21</v>
      </c>
      <c r="N12" s="191">
        <v>0.94499999999999995</v>
      </c>
      <c r="O12" s="132">
        <v>0</v>
      </c>
      <c r="P12" s="132">
        <v>0</v>
      </c>
      <c r="Q12" s="132">
        <v>0</v>
      </c>
      <c r="R12" s="132">
        <f ca="1">N12*Evaluacion!CK18</f>
        <v>3.654648897268308</v>
      </c>
      <c r="S12" s="132">
        <f ca="1">N12*Evaluacion!CH18</f>
        <v>4.6488750519926239</v>
      </c>
      <c r="T12" s="132">
        <f ca="1">N12*Evaluacion!CI18</f>
        <v>11.444542361441254</v>
      </c>
      <c r="U12" s="132">
        <f ca="1">S12</f>
        <v>4.6488750519926239</v>
      </c>
      <c r="V12" s="132">
        <v>0</v>
      </c>
      <c r="W12" s="132">
        <f>Evaluacion!T18*N12</f>
        <v>0.90090000000000003</v>
      </c>
      <c r="X12" s="132">
        <f>Evaluacion!U18*N12</f>
        <v>0.59062499999999996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12.444444444444445</v>
      </c>
      <c r="H13" s="72">
        <f>Evaluacion!N19</f>
        <v>2</v>
      </c>
      <c r="I13" s="72">
        <f>Evaluacion!O19</f>
        <v>3</v>
      </c>
      <c r="J13" s="72">
        <f>Evaluacion!P19</f>
        <v>6.2</v>
      </c>
      <c r="K13" s="72">
        <f>Evaluacion!Q19</f>
        <v>18.399999999999999</v>
      </c>
      <c r="M13" t="s">
        <v>140</v>
      </c>
      <c r="N13" s="191">
        <f>1-0.055</f>
        <v>0.94499999999999995</v>
      </c>
      <c r="O13" s="132">
        <v>0</v>
      </c>
      <c r="P13" s="132">
        <v>0</v>
      </c>
      <c r="Q13" s="132">
        <v>0</v>
      </c>
      <c r="R13" s="132">
        <f ca="1">N13*Evaluacion!CD19</f>
        <v>5.4023061490643904</v>
      </c>
      <c r="S13" s="132">
        <f ca="1">N13*Evaluacion!CE19</f>
        <v>2.5305590188732694</v>
      </c>
      <c r="T13" s="132">
        <f ca="1">N13*Evaluacion!CF19</f>
        <v>6.6961925513460674</v>
      </c>
      <c r="U13" s="132">
        <f ca="1">S13</f>
        <v>2.5305590188732694</v>
      </c>
      <c r="V13" s="132">
        <v>0</v>
      </c>
      <c r="W13" s="132">
        <f>Evaluacion!T19*N13</f>
        <v>0.81458999999999981</v>
      </c>
      <c r="X13" s="132">
        <f>Evaluacion!U19*N13</f>
        <v>0.74843999999999999</v>
      </c>
    </row>
    <row r="14" spans="2:25" x14ac:dyDescent="0.25">
      <c r="N14" s="58"/>
      <c r="O14" s="192" t="e">
        <f t="shared" ref="O14:X14" ca="1" si="0">SUM(O3:O13)</f>
        <v>#REF!</v>
      </c>
      <c r="P14" s="192" t="e">
        <f t="shared" ca="1" si="0"/>
        <v>#REF!</v>
      </c>
      <c r="Q14" s="192">
        <f t="shared" ca="1" si="0"/>
        <v>39.454490965186679</v>
      </c>
      <c r="R14" s="192" t="e">
        <f t="shared" ca="1" si="0"/>
        <v>#REF!</v>
      </c>
      <c r="S14" s="192" t="e">
        <f t="shared" ca="1" si="0"/>
        <v>#REF!</v>
      </c>
      <c r="T14" s="192" t="e">
        <f t="shared" ca="1" si="0"/>
        <v>#REF!</v>
      </c>
      <c r="U14" s="192">
        <f t="shared" ca="1" si="0"/>
        <v>16.854935543054765</v>
      </c>
      <c r="V14" s="192">
        <f t="shared" si="0"/>
        <v>8.9812499999999993</v>
      </c>
      <c r="W14" s="192" t="e">
        <f t="shared" si="0"/>
        <v>#REF!</v>
      </c>
      <c r="X14" s="192" t="e">
        <f t="shared" si="0"/>
        <v>#REF!</v>
      </c>
    </row>
    <row r="15" spans="2:25" ht="15.75" x14ac:dyDescent="0.25">
      <c r="N15" t="s">
        <v>629</v>
      </c>
      <c r="O15" s="194" t="e">
        <f ca="1">O14*0.34</f>
        <v>#REF!</v>
      </c>
      <c r="P15" s="194" t="e">
        <f ca="1">P14*0.245</f>
        <v>#REF!</v>
      </c>
      <c r="Q15" s="194">
        <f ca="1">Q14*0.34</f>
        <v>13.414526928163472</v>
      </c>
      <c r="R15" s="194" t="e">
        <f ca="1">R14*0.125</f>
        <v>#REF!</v>
      </c>
      <c r="S15" s="194" t="e">
        <f ca="1">S14*0.25</f>
        <v>#REF!</v>
      </c>
      <c r="T15" s="194" t="e">
        <f ca="1">T14*0.19</f>
        <v>#REF!</v>
      </c>
      <c r="U15" s="194">
        <f ca="1">U14*0.25</f>
        <v>4.2137338857636912</v>
      </c>
    </row>
    <row r="16" spans="2:25" ht="15.75" x14ac:dyDescent="0.25">
      <c r="N16" t="s">
        <v>630</v>
      </c>
      <c r="O16" s="199" t="e">
        <f ca="1">O15*1.2/1.05</f>
        <v>#REF!</v>
      </c>
      <c r="P16" s="199" t="e">
        <f ca="1">P15*1.2/1.05</f>
        <v>#REF!</v>
      </c>
      <c r="Q16" s="199">
        <f ca="1">Q15*1.2/1.05</f>
        <v>15.330887917901109</v>
      </c>
      <c r="R16" s="199" t="e">
        <f ca="1">R15</f>
        <v>#REF!</v>
      </c>
      <c r="S16" s="199" t="e">
        <f ca="1">S15*0.925/1.05</f>
        <v>#REF!</v>
      </c>
      <c r="T16" s="199" t="e">
        <f ca="1">T15*0.925/1.05</f>
        <v>#REF!</v>
      </c>
      <c r="U16" s="199">
        <f ca="1">U15*0.925/1.05</f>
        <v>3.7120988993632515</v>
      </c>
    </row>
    <row r="17" spans="14:21" ht="15.75" x14ac:dyDescent="0.25">
      <c r="N17" t="s">
        <v>631</v>
      </c>
      <c r="O17" s="199" t="e">
        <f ca="1">O15*0.925/1.05</f>
        <v>#REF!</v>
      </c>
      <c r="P17" s="199" t="e">
        <f ca="1">P15*0.925/1.05</f>
        <v>#REF!</v>
      </c>
      <c r="Q17" s="199">
        <f ca="1">Q15*0.925/1.05</f>
        <v>11.81755943671544</v>
      </c>
      <c r="R17" s="199" t="e">
        <f ca="1">R16</f>
        <v>#REF!</v>
      </c>
      <c r="S17" s="199" t="e">
        <f ca="1">S15*1.135/1.05</f>
        <v>#REF!</v>
      </c>
      <c r="T17" s="199" t="e">
        <f ca="1">T15*1.135/1.05</f>
        <v>#REF!</v>
      </c>
      <c r="U17" s="199">
        <f ca="1">U15*1.135/1.05</f>
        <v>4.5548456765159901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8" t="s">
        <v>85</v>
      </c>
      <c r="B1" s="148" t="s">
        <v>87</v>
      </c>
      <c r="C1" s="148" t="s">
        <v>350</v>
      </c>
      <c r="D1" s="148" t="s">
        <v>14</v>
      </c>
      <c r="E1" s="148" t="s">
        <v>37</v>
      </c>
      <c r="F1" s="148" t="s">
        <v>194</v>
      </c>
      <c r="G1" s="148" t="s">
        <v>30</v>
      </c>
      <c r="H1" s="148" t="s">
        <v>196</v>
      </c>
      <c r="I1" s="148" t="s">
        <v>197</v>
      </c>
      <c r="J1" s="148" t="s">
        <v>198</v>
      </c>
      <c r="L1" s="92">
        <v>541</v>
      </c>
      <c r="M1" s="58" t="s">
        <v>623</v>
      </c>
      <c r="N1" s="46" t="s">
        <v>482</v>
      </c>
      <c r="O1" s="46" t="s">
        <v>624</v>
      </c>
      <c r="P1" s="46" t="s">
        <v>482</v>
      </c>
      <c r="Q1" s="46" t="s">
        <v>28</v>
      </c>
      <c r="R1" s="46" t="s">
        <v>484</v>
      </c>
      <c r="S1" s="46" t="s">
        <v>485</v>
      </c>
      <c r="T1" s="46" t="s">
        <v>484</v>
      </c>
      <c r="U1" s="46" t="s">
        <v>479</v>
      </c>
      <c r="V1" s="46" t="s">
        <v>625</v>
      </c>
      <c r="W1" s="46" t="s">
        <v>626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13.95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1">
        <v>1</v>
      </c>
      <c r="N2" s="132">
        <f ca="1">Evaluacion!X3</f>
        <v>13.308562770025123</v>
      </c>
      <c r="O2" s="132">
        <f ca="1">Evaluacion!Y3</f>
        <v>19.596574497253648</v>
      </c>
      <c r="P2" s="132">
        <f ca="1">Evaluacion!Z3</f>
        <v>13.308562770025123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f>Evaluacion!T3</f>
        <v>0.53849999999999998</v>
      </c>
      <c r="W2" s="132">
        <f>Evaluacion!U3</f>
        <v>0.89649999999999996</v>
      </c>
      <c r="AA2" s="50"/>
    </row>
    <row r="3" spans="1:27" x14ac:dyDescent="0.25">
      <c r="A3" t="s">
        <v>627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16</v>
      </c>
      <c r="L3" t="str">
        <f t="shared" si="0"/>
        <v>LATN</v>
      </c>
      <c r="M3" s="191">
        <v>1</v>
      </c>
      <c r="N3" s="132">
        <f ca="1">Evaluacion!AI9</f>
        <v>13.610244631120267</v>
      </c>
      <c r="O3" s="132">
        <f ca="1">Evaluacion!AJ9</f>
        <v>6.1246100840041198</v>
      </c>
      <c r="P3" s="132">
        <v>0</v>
      </c>
      <c r="Q3" s="132">
        <f ca="1">Evaluacion!AK9</f>
        <v>1.3015552754316138</v>
      </c>
      <c r="R3" s="132">
        <f ca="1">Evaluacion!AL9</f>
        <v>2.2307215685855621</v>
      </c>
      <c r="S3" s="132">
        <v>0</v>
      </c>
      <c r="T3" s="132">
        <v>0</v>
      </c>
      <c r="U3" s="132">
        <f>Evaluacion!R9</f>
        <v>2.25</v>
      </c>
      <c r="V3" s="132">
        <f>Evaluacion!T9</f>
        <v>0.83000000000000007</v>
      </c>
      <c r="W3" s="132">
        <f>Evaluacion!U9</f>
        <v>1</v>
      </c>
      <c r="AA3" s="50"/>
    </row>
    <row r="4" spans="1:27" x14ac:dyDescent="0.25">
      <c r="A4" t="s">
        <v>632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1">
        <v>0.9</v>
      </c>
      <c r="N4" s="132" t="e">
        <f>M4*Evaluacion!AM7</f>
        <v>#REF!</v>
      </c>
      <c r="O4" s="132" t="e">
        <f>M4*Evaluacion!AN7</f>
        <v>#REF!</v>
      </c>
      <c r="P4" s="132">
        <v>0</v>
      </c>
      <c r="Q4" s="132" t="e">
        <f>M4*Evaluacion!AO7</f>
        <v>#REF!</v>
      </c>
      <c r="R4" s="132" t="e">
        <f>M4*Evaluacion!AP7</f>
        <v>#REF!</v>
      </c>
      <c r="S4" s="132">
        <v>0</v>
      </c>
      <c r="T4" s="132">
        <v>0</v>
      </c>
      <c r="U4" s="132" t="e">
        <f>Evaluacion!R7</f>
        <v>#REF!</v>
      </c>
      <c r="V4" s="132" t="e">
        <f>Evaluacion!T7*M4</f>
        <v>#REF!</v>
      </c>
      <c r="W4" s="132" t="e">
        <f>Evaluacion!U7*M4</f>
        <v>#REF!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1">
        <v>0.9</v>
      </c>
      <c r="N5" s="132">
        <f>M5*(Evaluacion!AA6+Evaluacion!AC6)/2</f>
        <v>4.0350593771451386</v>
      </c>
      <c r="O5" s="132">
        <f>M5*Evaluacion!AB6</f>
        <v>10.426510018462888</v>
      </c>
      <c r="P5" s="132">
        <f>N5</f>
        <v>4.0350593771451386</v>
      </c>
      <c r="Q5" s="132">
        <f>M5*Evaluacion!AD6</f>
        <v>2.2673093843941676</v>
      </c>
      <c r="R5" s="132">
        <v>0</v>
      </c>
      <c r="S5" s="132">
        <f>0</f>
        <v>0</v>
      </c>
      <c r="T5" s="132">
        <v>0</v>
      </c>
      <c r="U5" s="132">
        <f>Evaluacion!R6</f>
        <v>3.4812499999999993</v>
      </c>
      <c r="V5" s="132">
        <f>Evaluacion!T6*M5</f>
        <v>0.42074999999999996</v>
      </c>
      <c r="W5" s="132">
        <f>Evaluacion!U6*M5</f>
        <v>0.70019999999999993</v>
      </c>
      <c r="AA5" s="50"/>
    </row>
    <row r="6" spans="1:27" x14ac:dyDescent="0.25">
      <c r="A6" t="s">
        <v>632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7.75</v>
      </c>
      <c r="F6" s="72">
        <f>Evaluacion!M5</f>
        <v>7.95</v>
      </c>
      <c r="G6" s="72">
        <f>Evaluacion!N5</f>
        <v>3.95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1">
        <v>0.9</v>
      </c>
      <c r="N6" s="132">
        <v>0</v>
      </c>
      <c r="O6" s="132">
        <f>M6*Evaluacion!AN5</f>
        <v>6.9824659488136689</v>
      </c>
      <c r="P6" s="132">
        <f>M6*Evaluacion!AM5</f>
        <v>7.4361289906857442</v>
      </c>
      <c r="Q6" s="132">
        <f>M6*Evaluacion!AO5</f>
        <v>2.7366690867964447</v>
      </c>
      <c r="R6" s="132">
        <v>0</v>
      </c>
      <c r="S6" s="132">
        <v>0</v>
      </c>
      <c r="T6" s="132">
        <f>M6*Evaluacion!AP5</f>
        <v>1.4357851317208146</v>
      </c>
      <c r="U6" s="132">
        <f>Evaluacion!R5</f>
        <v>2.3312499999999998</v>
      </c>
      <c r="V6" s="132">
        <f>Evaluacion!T5*M6</f>
        <v>0.40500000000000003</v>
      </c>
      <c r="W6" s="132">
        <f>Evaluacion!U5*M6</f>
        <v>0.68400000000000005</v>
      </c>
      <c r="AA6" s="50"/>
    </row>
    <row r="7" spans="1:27" x14ac:dyDescent="0.25">
      <c r="A7" t="s">
        <v>627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1">
        <v>1</v>
      </c>
      <c r="N7" s="132">
        <v>0</v>
      </c>
      <c r="O7" s="132" t="e">
        <f>#REF!</f>
        <v>#REF!</v>
      </c>
      <c r="P7" s="132" t="e">
        <f>#REF!</f>
        <v>#REF!</v>
      </c>
      <c r="Q7" s="132" t="e">
        <f>#REF!</f>
        <v>#REF!</v>
      </c>
      <c r="R7" s="132">
        <v>0</v>
      </c>
      <c r="S7" s="132">
        <v>0</v>
      </c>
      <c r="T7" s="132" t="e">
        <f>#REF!</f>
        <v>#REF!</v>
      </c>
      <c r="U7" s="132" t="e">
        <f>#REF!</f>
        <v>#REF!</v>
      </c>
      <c r="V7" s="132" t="e">
        <f>#REF!</f>
        <v>#REF!</v>
      </c>
      <c r="W7" s="132" t="e">
        <f>#REF!</f>
        <v>#REF!</v>
      </c>
      <c r="AA7" s="50"/>
    </row>
    <row r="8" spans="1:27" x14ac:dyDescent="0.25">
      <c r="A8" t="s">
        <v>471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5.083333333333333</v>
      </c>
      <c r="G8" s="72">
        <f>Evaluacion!N13</f>
        <v>1</v>
      </c>
      <c r="H8" s="72">
        <f>Evaluacion!O13</f>
        <v>5</v>
      </c>
      <c r="I8" s="72">
        <f>Evaluacion!P13</f>
        <v>6.2</v>
      </c>
      <c r="J8" s="72">
        <f>Evaluacion!Q13</f>
        <v>18.2</v>
      </c>
      <c r="L8" t="str">
        <f t="shared" si="0"/>
        <v>IHL</v>
      </c>
      <c r="M8" s="191">
        <f>1-0.065</f>
        <v>0.93500000000000005</v>
      </c>
      <c r="N8" s="132">
        <f ca="1">M8*Evaluacion!BE13</f>
        <v>3.4125487358405056</v>
      </c>
      <c r="O8" s="132">
        <f ca="1">M8*Evaluacion!BF13</f>
        <v>4.0809861170876145</v>
      </c>
      <c r="P8" s="132">
        <v>0</v>
      </c>
      <c r="Q8" s="132">
        <f ca="1">Evaluacion!BG13*M8</f>
        <v>5.4576965636614601</v>
      </c>
      <c r="R8" s="132">
        <f ca="1">Evaluacion!BH13*M8</f>
        <v>3.2912277531347396</v>
      </c>
      <c r="S8" s="132">
        <f ca="1">Evaluacion!BI13*M8</f>
        <v>1.4741901557991814</v>
      </c>
      <c r="T8" s="132">
        <v>0</v>
      </c>
      <c r="U8" s="132">
        <v>0</v>
      </c>
      <c r="V8" s="132">
        <f>Evaluacion!T13*M8</f>
        <v>0.80036000000000018</v>
      </c>
      <c r="W8" s="132">
        <f>Evaluacion!U13*M8</f>
        <v>0.92191000000000001</v>
      </c>
      <c r="AA8" s="50"/>
    </row>
    <row r="9" spans="1:27" x14ac:dyDescent="0.25">
      <c r="A9" t="s">
        <v>471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6.125</v>
      </c>
      <c r="G9" s="72">
        <f>Evaluacion!N12</f>
        <v>3</v>
      </c>
      <c r="H9" s="72">
        <f>Evaluacion!O12</f>
        <v>5</v>
      </c>
      <c r="I9" s="72">
        <f>Evaluacion!P12</f>
        <v>6.2</v>
      </c>
      <c r="J9" s="72">
        <f>Evaluacion!Q12</f>
        <v>17.25</v>
      </c>
      <c r="L9" t="str">
        <f t="shared" si="0"/>
        <v>IHL</v>
      </c>
      <c r="M9" s="191">
        <f>1-0.065</f>
        <v>0.93500000000000005</v>
      </c>
      <c r="N9" s="132">
        <v>0</v>
      </c>
      <c r="O9" s="132">
        <f ca="1">M9*Evaluacion!BF12</f>
        <v>4.4764486359692253</v>
      </c>
      <c r="P9" s="132">
        <f ca="1">M9*Evaluacion!BE12</f>
        <v>3.743237221457024</v>
      </c>
      <c r="Q9" s="132">
        <f ca="1">Evaluacion!BG12*M9</f>
        <v>6.4931754045657692</v>
      </c>
      <c r="R9" s="132">
        <v>0</v>
      </c>
      <c r="S9" s="132">
        <f ca="1">Evaluacion!BI12*M9</f>
        <v>1.5227243139901818</v>
      </c>
      <c r="T9" s="132">
        <f ca="1">Evaluacion!BH12*M9</f>
        <v>4.5436403947604633</v>
      </c>
      <c r="U9" s="132">
        <v>0</v>
      </c>
      <c r="V9" s="132">
        <f>Evaluacion!T12*M9</f>
        <v>0.77371250000000003</v>
      </c>
      <c r="W9" s="132">
        <f>Evaluacion!U12*M9</f>
        <v>0.93266250000000017</v>
      </c>
      <c r="AA9" s="50"/>
    </row>
    <row r="10" spans="1:27" x14ac:dyDescent="0.25">
      <c r="A10" t="s">
        <v>474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7.2</v>
      </c>
      <c r="G10" s="72">
        <f>Evaluacion!N10</f>
        <v>1</v>
      </c>
      <c r="H10" s="72">
        <f>Evaluacion!O10</f>
        <v>3</v>
      </c>
      <c r="I10" s="72">
        <f>Evaluacion!P10</f>
        <v>6.2</v>
      </c>
      <c r="J10" s="72">
        <f>Evaluacion!Q10</f>
        <v>16.5</v>
      </c>
      <c r="L10" t="str">
        <f t="shared" si="0"/>
        <v>EXTN</v>
      </c>
      <c r="M10" s="191">
        <v>1</v>
      </c>
      <c r="N10" s="132">
        <f ca="1">Evaluacion!BT10</f>
        <v>3.9399672061287023</v>
      </c>
      <c r="O10" s="132">
        <f ca="1">Evaluacion!BU10</f>
        <v>3.385042247519026</v>
      </c>
      <c r="P10" s="132">
        <v>0</v>
      </c>
      <c r="Q10" s="132">
        <f ca="1">Evaluacion!BV10</f>
        <v>4.1282714041850692</v>
      </c>
      <c r="R10" s="132">
        <f ca="1">Evaluacion!BW10</f>
        <v>3.6714213534880367</v>
      </c>
      <c r="S10" s="132">
        <f ca="1">Evaluacion!BX10</f>
        <v>0.58964799979427107</v>
      </c>
      <c r="T10" s="132">
        <v>0</v>
      </c>
      <c r="U10" s="132">
        <v>0</v>
      </c>
      <c r="V10" s="132">
        <f>Evaluacion!T10</f>
        <v>0.80500000000000005</v>
      </c>
      <c r="W10" s="132">
        <f>Evaluacion!U10</f>
        <v>0.97499999999999998</v>
      </c>
      <c r="AA10" s="50"/>
    </row>
    <row r="11" spans="1:27" x14ac:dyDescent="0.25">
      <c r="A11" t="s">
        <v>474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7.3</v>
      </c>
      <c r="G11" s="72">
        <f>Evaluacion!N11</f>
        <v>3</v>
      </c>
      <c r="H11" s="72">
        <f>Evaluacion!O11</f>
        <v>3</v>
      </c>
      <c r="I11" s="72">
        <f>Evaluacion!P11</f>
        <v>5.25</v>
      </c>
      <c r="J11" s="72">
        <f>Evaluacion!Q11</f>
        <v>15.666666666666666</v>
      </c>
      <c r="L11" t="str">
        <f t="shared" si="0"/>
        <v>EXTN</v>
      </c>
      <c r="M11" s="191">
        <v>1</v>
      </c>
      <c r="N11" s="132">
        <v>0</v>
      </c>
      <c r="O11" s="132">
        <f ca="1">Evaluacion!BU11</f>
        <v>3.3906558364484201</v>
      </c>
      <c r="P11" s="132">
        <f ca="1">Evaluacion!BT11</f>
        <v>3.9465010555383246</v>
      </c>
      <c r="Q11" s="132">
        <f ca="1">Evaluacion!BV11</f>
        <v>4.1842393671476694</v>
      </c>
      <c r="R11" s="132">
        <v>0</v>
      </c>
      <c r="S11" s="132">
        <f ca="1">Evaluacion!BX11</f>
        <v>0.59243178774696237</v>
      </c>
      <c r="T11" s="132">
        <f ca="1">Evaluacion!BW11</f>
        <v>5.4249125687903659</v>
      </c>
      <c r="U11" s="132">
        <v>0</v>
      </c>
      <c r="V11" s="132">
        <f>Evaluacion!T11</f>
        <v>0.73249999999999993</v>
      </c>
      <c r="W11" s="132">
        <f>Evaluacion!U11</f>
        <v>0.95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12.444444444444445</v>
      </c>
      <c r="G12" s="72">
        <f>Evaluacion!N19</f>
        <v>2</v>
      </c>
      <c r="H12" s="72">
        <f>Evaluacion!O19</f>
        <v>3</v>
      </c>
      <c r="I12" s="72">
        <f>Evaluacion!P19</f>
        <v>6.2</v>
      </c>
      <c r="J12" s="72">
        <f>Evaluacion!Q19</f>
        <v>18.399999999999999</v>
      </c>
      <c r="L12" t="str">
        <f t="shared" si="0"/>
        <v>DD</v>
      </c>
      <c r="M12" s="191">
        <v>1</v>
      </c>
      <c r="N12" s="132">
        <v>0</v>
      </c>
      <c r="O12" s="132">
        <v>0</v>
      </c>
      <c r="P12" s="132">
        <v>0</v>
      </c>
      <c r="Q12" s="132">
        <f ca="1">M12*Evaluacion!CD19</f>
        <v>5.7167260836660221</v>
      </c>
      <c r="R12" s="132">
        <f ca="1">M12*Evaluacion!CE19</f>
        <v>2.6778402316119254</v>
      </c>
      <c r="S12" s="132">
        <f ca="1">M12*Evaluacion!CF19</f>
        <v>7.0859180437524527</v>
      </c>
      <c r="T12" s="132">
        <f ca="1">R12</f>
        <v>2.6778402316119254</v>
      </c>
      <c r="U12" s="132">
        <v>0</v>
      </c>
      <c r="V12" s="132">
        <f>Evaluacion!T19*M12</f>
        <v>0.86199999999999988</v>
      </c>
      <c r="W12" s="132">
        <f>Evaluacion!U19*M12</f>
        <v>0.79200000000000004</v>
      </c>
      <c r="AA12" s="50"/>
    </row>
    <row r="13" spans="1:27" x14ac:dyDescent="0.25">
      <c r="M13" s="58"/>
      <c r="N13" s="192" t="e">
        <f t="shared" ref="N13:W13" ca="1" si="1">SUM(N2:N12)</f>
        <v>#REF!</v>
      </c>
      <c r="O13" s="192" t="e">
        <f t="shared" ca="1" si="1"/>
        <v>#REF!</v>
      </c>
      <c r="P13" s="192" t="e">
        <f t="shared" ca="1" si="1"/>
        <v>#REF!</v>
      </c>
      <c r="Q13" s="192" t="e">
        <f t="shared" ca="1" si="1"/>
        <v>#REF!</v>
      </c>
      <c r="R13" s="192" t="e">
        <f t="shared" ca="1" si="1"/>
        <v>#REF!</v>
      </c>
      <c r="S13" s="192">
        <f t="shared" ca="1" si="1"/>
        <v>11.264912301083051</v>
      </c>
      <c r="T13" s="192" t="e">
        <f t="shared" si="1"/>
        <v>#REF!</v>
      </c>
      <c r="U13" s="193" t="e">
        <f t="shared" si="1"/>
        <v>#REF!</v>
      </c>
      <c r="V13" s="193" t="e">
        <f t="shared" si="1"/>
        <v>#REF!</v>
      </c>
      <c r="W13" s="193" t="e">
        <f t="shared" si="1"/>
        <v>#REF!</v>
      </c>
    </row>
    <row r="14" spans="1:27" ht="15.75" x14ac:dyDescent="0.25">
      <c r="M14" t="s">
        <v>629</v>
      </c>
      <c r="N14" s="194" t="e">
        <f ca="1">N13*0.34</f>
        <v>#REF!</v>
      </c>
      <c r="O14" s="194" t="e">
        <f ca="1">O13*0.245</f>
        <v>#REF!</v>
      </c>
      <c r="P14" s="194" t="e">
        <f ca="1">P13*0.34</f>
        <v>#REF!</v>
      </c>
      <c r="Q14" s="194" t="e">
        <f ca="1">Q13*0.125</f>
        <v>#REF!</v>
      </c>
      <c r="R14" s="194" t="e">
        <f ca="1">R13*0.25</f>
        <v>#REF!</v>
      </c>
      <c r="S14" s="194">
        <f ca="1">S13*0.19</f>
        <v>2.1403333372057798</v>
      </c>
      <c r="T14" s="194" t="e">
        <f>T13*0.25</f>
        <v>#REF!</v>
      </c>
    </row>
    <row r="15" spans="1:27" ht="15.75" x14ac:dyDescent="0.25">
      <c r="M15" t="s">
        <v>630</v>
      </c>
      <c r="N15" s="199" t="e">
        <f ca="1">N14*1.2/1.05</f>
        <v>#REF!</v>
      </c>
      <c r="O15" s="199" t="e">
        <f ca="1">O14*1.2/1.05</f>
        <v>#REF!</v>
      </c>
      <c r="P15" s="199" t="e">
        <f ca="1">P14*1.2/1.05</f>
        <v>#REF!</v>
      </c>
      <c r="Q15" s="199" t="e">
        <f ca="1">Q14</f>
        <v>#REF!</v>
      </c>
      <c r="R15" s="199" t="e">
        <f ca="1">R14*0.925/1.05</f>
        <v>#REF!</v>
      </c>
      <c r="S15" s="199">
        <f ca="1">S14*0.925/1.05</f>
        <v>1.8855317494431869</v>
      </c>
      <c r="T15" s="199" t="e">
        <f>T14*0.925/1.05</f>
        <v>#REF!</v>
      </c>
    </row>
    <row r="16" spans="1:27" ht="15.75" x14ac:dyDescent="0.25">
      <c r="M16" t="s">
        <v>631</v>
      </c>
      <c r="N16" s="199" t="e">
        <f ca="1">N14*0.925/1.05</f>
        <v>#REF!</v>
      </c>
      <c r="O16" s="199" t="e">
        <f ca="1">O14*0.925/1.05</f>
        <v>#REF!</v>
      </c>
      <c r="P16" s="199" t="e">
        <f ca="1">P14*0.925/1.05</f>
        <v>#REF!</v>
      </c>
      <c r="Q16" s="199" t="e">
        <f ca="1">Q15</f>
        <v>#REF!</v>
      </c>
      <c r="R16" s="199" t="e">
        <f ca="1">R14*1.135/1.05</f>
        <v>#REF!</v>
      </c>
      <c r="S16" s="199">
        <f ca="1">S14*1.135/1.05</f>
        <v>2.3135984168843429</v>
      </c>
      <c r="T16" s="19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633</v>
      </c>
      <c r="AA1" t="s">
        <v>634</v>
      </c>
      <c r="AD1" t="s">
        <v>635</v>
      </c>
    </row>
    <row r="2" spans="1:31" x14ac:dyDescent="0.25">
      <c r="B2" s="74">
        <v>44035</v>
      </c>
      <c r="X2" s="205"/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3" t="s">
        <v>14</v>
      </c>
      <c r="O3" s="202" t="s">
        <v>628</v>
      </c>
      <c r="P3" s="201" t="s">
        <v>639</v>
      </c>
      <c r="Q3" s="508" t="s">
        <v>707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642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PLANTILLA!A12</f>
        <v>#3</v>
      </c>
      <c r="B4" s="505" t="str">
        <f>PLANTILLA!D12</f>
        <v>S. Embe</v>
      </c>
      <c r="C4" s="5">
        <f>PLANTILLA!E12</f>
        <v>23</v>
      </c>
      <c r="D4" s="455">
        <f ca="1">PLANTILLA!F12</f>
        <v>146</v>
      </c>
      <c r="E4" s="49">
        <f>PLANTILLA!X12</f>
        <v>0</v>
      </c>
      <c r="F4" s="49">
        <f>PLANTILLA!Y12</f>
        <v>11</v>
      </c>
      <c r="G4" s="49">
        <f>PLANTILLA!Z12</f>
        <v>5.083333333333333</v>
      </c>
      <c r="H4" s="49">
        <f>PLANTILLA!AA12</f>
        <v>1</v>
      </c>
      <c r="I4" s="49">
        <f>PLANTILLA!AB12</f>
        <v>5</v>
      </c>
      <c r="J4" s="49">
        <f>PLANTILLA!AC12</f>
        <v>6.2</v>
      </c>
      <c r="K4" s="49">
        <f>PLANTILLA!AD12</f>
        <v>18.2</v>
      </c>
      <c r="L4" s="96">
        <f>1/10</f>
        <v>0.1</v>
      </c>
      <c r="M4" s="96">
        <f t="shared" ref="M4:M15" si="0">L4/6</f>
        <v>1.6666666666666666E-2</v>
      </c>
      <c r="N4" s="116"/>
      <c r="O4" s="116">
        <f>L4*(0.245*1+0.34*0.516+0.34*0.258)/(0.245+0.34)</f>
        <v>8.6864957264957285E-2</v>
      </c>
      <c r="P4" s="116">
        <f>L4*(0.245*0.708+0.34*0.754)/(0.245+0.34)</f>
        <v>7.3473504273504284E-2</v>
      </c>
      <c r="Q4" s="116">
        <f>L4*(0.245*0.479+0.34*1)/(0.245+0.34)</f>
        <v>7.8180341880341897E-2</v>
      </c>
      <c r="R4" s="116">
        <f>L4*(0.245*0.414+0.34*0.919)/(0.245+0.34)</f>
        <v>7.0750427350427358E-2</v>
      </c>
      <c r="S4" s="116"/>
      <c r="T4" s="116"/>
      <c r="U4" s="116"/>
      <c r="V4" s="116"/>
      <c r="W4" s="116"/>
      <c r="X4" s="116">
        <f t="shared" ref="X4:X25" si="1">MAX(N4:U4)</f>
        <v>8.6864957264957285E-2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505" t="str">
        <f>PLANTILLA!D13</f>
        <v>E. Deus</v>
      </c>
      <c r="C5" s="5">
        <f>PLANTILLA!E13</f>
        <v>22</v>
      </c>
      <c r="D5" s="455">
        <f ca="1">PLANTILLA!F13</f>
        <v>129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1/10</f>
        <v>0.1</v>
      </c>
      <c r="M5" s="96">
        <f t="shared" si="0"/>
        <v>1.6666666666666666E-2</v>
      </c>
      <c r="N5" s="116"/>
      <c r="O5" s="116">
        <f>L5*(0.245*1+0.34*0.516+0.34*0.258)/(0.245+0.34)</f>
        <v>8.6864957264957285E-2</v>
      </c>
      <c r="P5" s="116">
        <f>L5*(0.245*0.708+0.34*0.754)/(0.245+0.34)</f>
        <v>7.3473504273504284E-2</v>
      </c>
      <c r="Q5" s="116">
        <f>L5*(0.245*0.479+0.34*1)/(0.245+0.34)</f>
        <v>7.8180341880341897E-2</v>
      </c>
      <c r="R5" s="116">
        <f>L5*(0.245*0.414+0.34*0.919)/(0.245+0.34)</f>
        <v>7.0750427350427358E-2</v>
      </c>
      <c r="S5" s="116"/>
      <c r="T5" s="116"/>
      <c r="U5" s="116"/>
      <c r="V5" s="116"/>
      <c r="W5" s="116"/>
      <c r="X5" s="116">
        <f t="shared" si="1"/>
        <v>8.6864957264957285E-2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PLANTILLA!A5</f>
        <v>#1</v>
      </c>
      <c r="B6" s="505" t="str">
        <f>PLANTILLA!D5</f>
        <v>L. Guangwei</v>
      </c>
      <c r="C6" s="5">
        <f>PLANTILLA!E5</f>
        <v>23</v>
      </c>
      <c r="D6" s="455">
        <f ca="1">PLANTILLA!F5</f>
        <v>161</v>
      </c>
      <c r="E6" s="49">
        <f>PLANTILLA!X5</f>
        <v>15</v>
      </c>
      <c r="F6" s="49">
        <f>PLANTILLA!Y5</f>
        <v>5</v>
      </c>
      <c r="G6" s="49">
        <f>PLANTILLA!Z5</f>
        <v>2</v>
      </c>
      <c r="H6" s="49">
        <f>PLANTILLA!AA5</f>
        <v>1</v>
      </c>
      <c r="I6" s="49">
        <f>PLANTILLA!AB5</f>
        <v>5</v>
      </c>
      <c r="J6" s="49">
        <f>PLANTILLA!AC5</f>
        <v>3.1428571428571428</v>
      </c>
      <c r="K6" s="49">
        <f>PLANTILLA!AD5</f>
        <v>20.125</v>
      </c>
      <c r="L6" s="96">
        <f>1/4</f>
        <v>0.25</v>
      </c>
      <c r="M6" s="96">
        <f t="shared" si="0"/>
        <v>4.1666666666666664E-2</v>
      </c>
      <c r="N6" s="116">
        <f>L6*(0.245*0.425+0.34*0.276)/(0.245+0.34)</f>
        <v>8.460042735042736E-2</v>
      </c>
      <c r="O6" s="116"/>
      <c r="P6" s="116"/>
      <c r="Q6" s="116"/>
      <c r="R6" s="116"/>
      <c r="S6" s="116"/>
      <c r="T6" s="116"/>
      <c r="U6" s="116"/>
      <c r="V6" s="116"/>
      <c r="W6" s="116"/>
      <c r="X6" s="116">
        <f t="shared" si="1"/>
        <v>8.460042735042736E-2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PLANTILLA!A9</f>
        <v>#2</v>
      </c>
      <c r="B7" s="505" t="str">
        <f>PLANTILLA!D9</f>
        <v>S. Swärdborn</v>
      </c>
      <c r="C7" s="5">
        <f>PLANTILLA!E9</f>
        <v>22</v>
      </c>
      <c r="D7" s="455">
        <f ca="1">PLANTILLA!F9</f>
        <v>190</v>
      </c>
      <c r="E7" s="49">
        <f>PLANTILLA!X9</f>
        <v>0</v>
      </c>
      <c r="F7" s="49">
        <f>PLANTILLA!Y9</f>
        <v>12</v>
      </c>
      <c r="G7" s="49">
        <f>PLANTILLA!Z9</f>
        <v>7.2</v>
      </c>
      <c r="H7" s="49">
        <f>PLANTILLA!AA9</f>
        <v>1</v>
      </c>
      <c r="I7" s="49">
        <f>PLANTILLA!AB9</f>
        <v>3</v>
      </c>
      <c r="J7" s="49">
        <f>PLANTILLA!AC9</f>
        <v>6.2</v>
      </c>
      <c r="K7" s="49">
        <f>PLANTILLA!AD9</f>
        <v>16.5</v>
      </c>
      <c r="L7" s="96">
        <f>1/11</f>
        <v>9.0909090909090912E-2</v>
      </c>
      <c r="M7" s="96">
        <f t="shared" si="0"/>
        <v>1.5151515151515152E-2</v>
      </c>
      <c r="N7" s="116"/>
      <c r="O7" s="116">
        <f>L7*(0.245*1+0.34*0.516+0.34*0.258)/(0.245+0.34)</f>
        <v>7.8968142968142974E-2</v>
      </c>
      <c r="P7" s="116">
        <f>L7*(0.245*0.708+0.34*0.754)/(0.245+0.34)</f>
        <v>6.6794094794094788E-2</v>
      </c>
      <c r="Q7" s="116">
        <f>L7*(0.245*0.479+0.34*1)/(0.245+0.34)</f>
        <v>7.1073038073038081E-2</v>
      </c>
      <c r="R7" s="116">
        <f>L7*(0.245*0.414+0.34*0.919)/(0.245+0.34)</f>
        <v>6.4318570318570328E-2</v>
      </c>
      <c r="S7" s="116"/>
      <c r="T7" s="116"/>
      <c r="U7" s="116"/>
      <c r="V7" s="116"/>
      <c r="W7" s="116"/>
      <c r="X7" s="116">
        <f t="shared" si="1"/>
        <v>7.8968142968142974E-2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PLANTILLA!A10</f>
        <v>#19</v>
      </c>
      <c r="B8" s="505" t="str">
        <f>PLANTILLA!D10</f>
        <v>A. Grimaud</v>
      </c>
      <c r="C8" s="5">
        <f>PLANTILLA!E10</f>
        <v>22</v>
      </c>
      <c r="D8" s="455">
        <f ca="1">PLANTILLA!F10</f>
        <v>213</v>
      </c>
      <c r="E8" s="49">
        <f>PLANTILLA!X10</f>
        <v>0</v>
      </c>
      <c r="F8" s="49">
        <f>PLANTILLA!Y10</f>
        <v>12</v>
      </c>
      <c r="G8" s="49">
        <f>PLANTILLA!Z10</f>
        <v>7.3</v>
      </c>
      <c r="H8" s="49">
        <f>PLANTILLA!AA10</f>
        <v>3</v>
      </c>
      <c r="I8" s="49">
        <f>PLANTILLA!AB10</f>
        <v>3</v>
      </c>
      <c r="J8" s="49">
        <f>PLANTILLA!AC10</f>
        <v>5.25</v>
      </c>
      <c r="K8" s="49">
        <f>PLANTILLA!AD10</f>
        <v>15.666666666666666</v>
      </c>
      <c r="L8" s="96">
        <f>1/11</f>
        <v>9.0909090909090912E-2</v>
      </c>
      <c r="M8" s="96">
        <f t="shared" si="0"/>
        <v>1.5151515151515152E-2</v>
      </c>
      <c r="N8" s="116"/>
      <c r="O8" s="116">
        <f>L8*(0.245*1+0.34*0.516+0.34*0.258)/(0.245+0.34)</f>
        <v>7.8968142968142974E-2</v>
      </c>
      <c r="P8" s="116">
        <f>L8*(0.245*0.708+0.34*0.754)/(0.245+0.34)</f>
        <v>6.6794094794094788E-2</v>
      </c>
      <c r="Q8" s="116">
        <f>L8*(0.245*0.479+0.34*1)/(0.245+0.34)</f>
        <v>7.1073038073038081E-2</v>
      </c>
      <c r="R8" s="116">
        <f>L8*(0.245*0.414+0.34*0.919)/(0.245+0.34)</f>
        <v>6.4318570318570328E-2</v>
      </c>
      <c r="S8" s="116"/>
      <c r="T8" s="116"/>
      <c r="U8" s="116"/>
      <c r="V8" s="116"/>
      <c r="W8" s="116"/>
      <c r="X8" s="116">
        <f t="shared" si="1"/>
        <v>7.8968142968142974E-2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PLANTILLA!A11</f>
        <v>#22</v>
      </c>
      <c r="B9" s="505" t="str">
        <f>PLANTILLA!D11</f>
        <v>V. Gardner</v>
      </c>
      <c r="C9" s="5">
        <f>PLANTILLA!E11</f>
        <v>22</v>
      </c>
      <c r="D9" s="455">
        <f ca="1">PLANTILLA!F11</f>
        <v>202</v>
      </c>
      <c r="E9" s="49">
        <f>PLANTILLA!X11</f>
        <v>0</v>
      </c>
      <c r="F9" s="49">
        <f>PLANTILLA!Y11</f>
        <v>12</v>
      </c>
      <c r="G9" s="49">
        <f>PLANTILLA!Z11</f>
        <v>6.125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1/11</f>
        <v>9.0909090909090912E-2</v>
      </c>
      <c r="M9" s="96">
        <f t="shared" si="0"/>
        <v>1.5151515151515152E-2</v>
      </c>
      <c r="N9" s="116"/>
      <c r="O9" s="116">
        <f>L9*(0.245*1+0.34*0.516+0.34*0.258)/(0.245+0.34)</f>
        <v>7.8968142968142974E-2</v>
      </c>
      <c r="P9" s="116">
        <f>L9*(0.245*0.708+0.34*0.754)/(0.245+0.34)</f>
        <v>6.6794094794094788E-2</v>
      </c>
      <c r="Q9" s="116">
        <f>L9*(0.245*0.479+0.34*1)/(0.245+0.34)</f>
        <v>7.1073038073038081E-2</v>
      </c>
      <c r="R9" s="116">
        <f>L9*(0.245*0.414+0.34*0.919)/(0.245+0.34)</f>
        <v>6.4318570318570328E-2</v>
      </c>
      <c r="S9" s="116"/>
      <c r="T9" s="116"/>
      <c r="U9" s="116"/>
      <c r="V9" s="116"/>
      <c r="W9" s="116"/>
      <c r="X9" s="116">
        <f t="shared" si="1"/>
        <v>7.8968142968142974E-2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PLANTILLA!A15</f>
        <v>#8</v>
      </c>
      <c r="B10" s="507" t="str">
        <f>PLANTILLA!D15</f>
        <v>I. Stone</v>
      </c>
      <c r="C10" s="5">
        <f>PLANTILLA!E15</f>
        <v>22</v>
      </c>
      <c r="D10" s="455">
        <f ca="1">PLANTILLA!F15</f>
        <v>132</v>
      </c>
      <c r="E10" s="49">
        <f>PLANTILLA!X15</f>
        <v>0</v>
      </c>
      <c r="F10" s="49">
        <f>PLANTILLA!Y15</f>
        <v>3</v>
      </c>
      <c r="G10" s="49">
        <f>PLANTILLA!Z15</f>
        <v>12.222222222222221</v>
      </c>
      <c r="H10" s="49">
        <f>PLANTILLA!AA15</f>
        <v>2</v>
      </c>
      <c r="I10" s="49">
        <f>PLANTILLA!AB15</f>
        <v>6</v>
      </c>
      <c r="J10" s="49">
        <f>PLANTILLA!AC15</f>
        <v>9.1428571428571423</v>
      </c>
      <c r="K10" s="49">
        <f>PLANTILLA!AD15</f>
        <v>16.5</v>
      </c>
      <c r="L10" s="96">
        <f>1/3</f>
        <v>0.33333333333333331</v>
      </c>
      <c r="M10" s="96">
        <f t="shared" si="0"/>
        <v>5.5555555555555552E-2</v>
      </c>
      <c r="N10" s="116"/>
      <c r="O10" s="116"/>
      <c r="P10" s="116"/>
      <c r="Q10" s="116"/>
      <c r="R10" s="116"/>
      <c r="S10" s="116">
        <f t="shared" ref="S10:S15" si="2">L10*(0.245*0.4+0.34*0.189+0.34*0.095)</f>
        <v>6.4853333333333332E-2</v>
      </c>
      <c r="T10" s="116">
        <f t="shared" ref="T10:T15" si="3">L10*(0.245*0.348+0.34*0.291)</f>
        <v>6.1399999999999989E-2</v>
      </c>
      <c r="U10" s="116">
        <f t="shared" ref="U10:U15" si="4">L10*(0.245*0.201+0.34*0.349)</f>
        <v>5.5968333333333328E-2</v>
      </c>
      <c r="V10" s="116"/>
      <c r="W10" s="116"/>
      <c r="X10" s="116">
        <f t="shared" si="1"/>
        <v>6.4853333333333332E-2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PLANTILLA!A17</f>
        <v>#9</v>
      </c>
      <c r="B11" s="507" t="str">
        <f>PLANTILLA!D17</f>
        <v>M. Bondarewski</v>
      </c>
      <c r="C11" s="5">
        <f>PLANTILLA!E17</f>
        <v>22</v>
      </c>
      <c r="D11" s="455">
        <f ca="1">PLANTILLA!F17</f>
        <v>205</v>
      </c>
      <c r="E11" s="49">
        <f>PLANTILLA!X17</f>
        <v>0</v>
      </c>
      <c r="F11" s="49">
        <f>PLANTILLA!Y17</f>
        <v>2</v>
      </c>
      <c r="G11" s="49">
        <f>PLANTILLA!Z17</f>
        <v>13.666666666666666</v>
      </c>
      <c r="H11" s="49">
        <f>PLANTILLA!AA17</f>
        <v>5</v>
      </c>
      <c r="I11" s="49">
        <f>PLANTILLA!AB17</f>
        <v>4</v>
      </c>
      <c r="J11" s="49">
        <f>PLANTILLA!AC17</f>
        <v>8.1666666666666661</v>
      </c>
      <c r="K11" s="49">
        <f>PLANTILLA!AD17</f>
        <v>18.166666666666668</v>
      </c>
      <c r="L11" s="96">
        <f>1/3</f>
        <v>0.33333333333333331</v>
      </c>
      <c r="M11" s="96">
        <f t="shared" si="0"/>
        <v>5.5555555555555552E-2</v>
      </c>
      <c r="N11" s="116"/>
      <c r="O11" s="116"/>
      <c r="P11" s="116"/>
      <c r="Q11" s="116"/>
      <c r="R11" s="116"/>
      <c r="S11" s="116">
        <f t="shared" si="2"/>
        <v>6.4853333333333332E-2</v>
      </c>
      <c r="T11" s="116">
        <f t="shared" si="3"/>
        <v>6.1399999999999989E-2</v>
      </c>
      <c r="U11" s="116">
        <f t="shared" si="4"/>
        <v>5.5968333333333328E-2</v>
      </c>
      <c r="V11" s="116"/>
      <c r="W11" s="116"/>
      <c r="X11" s="116">
        <f t="shared" si="1"/>
        <v>6.4853333333333332E-2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PLANTILLA!A14</f>
        <v>#16</v>
      </c>
      <c r="B12" s="506" t="str">
        <f>PLANTILLA!D14</f>
        <v>I. Vanags</v>
      </c>
      <c r="C12" s="5">
        <f>PLANTILLA!E14</f>
        <v>22</v>
      </c>
      <c r="D12" s="455">
        <f ca="1">PLANTILLA!F14</f>
        <v>189</v>
      </c>
      <c r="E12" s="49">
        <f>PLANTILLA!X14</f>
        <v>0</v>
      </c>
      <c r="F12" s="49">
        <f>PLANTILLA!Y14</f>
        <v>4</v>
      </c>
      <c r="G12" s="49">
        <f>PLANTILLA!Z14</f>
        <v>13.222222222222221</v>
      </c>
      <c r="H12" s="49">
        <f>PLANTILLA!AA14</f>
        <v>3</v>
      </c>
      <c r="I12" s="49">
        <f>PLANTILLA!AB14</f>
        <v>4</v>
      </c>
      <c r="J12" s="49">
        <f>PLANTILLA!AC14</f>
        <v>7.2</v>
      </c>
      <c r="K12" s="49">
        <f>PLANTILLA!AD14</f>
        <v>17.666666666666668</v>
      </c>
      <c r="L12" s="96">
        <f>1/4</f>
        <v>0.25</v>
      </c>
      <c r="M12" s="96">
        <f t="shared" si="0"/>
        <v>4.1666666666666664E-2</v>
      </c>
      <c r="N12" s="116"/>
      <c r="O12" s="116"/>
      <c r="P12" s="116"/>
      <c r="Q12" s="116"/>
      <c r="R12" s="116"/>
      <c r="S12" s="116">
        <f t="shared" si="2"/>
        <v>4.8640000000000003E-2</v>
      </c>
      <c r="T12" s="116">
        <f t="shared" si="3"/>
        <v>4.6049999999999994E-2</v>
      </c>
      <c r="U12" s="116">
        <f t="shared" si="4"/>
        <v>4.197625E-2</v>
      </c>
      <c r="V12" s="116"/>
      <c r="W12" s="116"/>
      <c r="X12" s="116">
        <f t="shared" si="1"/>
        <v>4.8640000000000003E-2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PLANTILLA!A16</f>
        <v>#14</v>
      </c>
      <c r="B13" s="506" t="str">
        <f>PLANTILLA!D16</f>
        <v>G. Piscaer</v>
      </c>
      <c r="C13" s="5">
        <f>PLANTILLA!E16</f>
        <v>22</v>
      </c>
      <c r="D13" s="455">
        <f ca="1">PLANTILLA!F16</f>
        <v>205</v>
      </c>
      <c r="E13" s="49">
        <f>PLANTILLA!X16</f>
        <v>0</v>
      </c>
      <c r="F13" s="49">
        <f>PLANTILLA!Y16</f>
        <v>4</v>
      </c>
      <c r="G13" s="49">
        <f>PLANTILLA!Z16</f>
        <v>13.666666666666666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1/4</f>
        <v>0.25</v>
      </c>
      <c r="M13" s="96">
        <f t="shared" si="0"/>
        <v>4.1666666666666664E-2</v>
      </c>
      <c r="N13" s="116"/>
      <c r="O13" s="116"/>
      <c r="P13" s="116"/>
      <c r="Q13" s="116"/>
      <c r="R13" s="116"/>
      <c r="S13" s="116">
        <f t="shared" si="2"/>
        <v>4.8640000000000003E-2</v>
      </c>
      <c r="T13" s="116">
        <f t="shared" si="3"/>
        <v>4.6049999999999994E-2</v>
      </c>
      <c r="U13" s="116">
        <f t="shared" si="4"/>
        <v>4.197625E-2</v>
      </c>
      <c r="V13" s="116"/>
      <c r="W13" s="116"/>
      <c r="X13" s="116">
        <f t="shared" si="1"/>
        <v>4.8640000000000003E-2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PLANTILLA!A18</f>
        <v>#12</v>
      </c>
      <c r="B14" s="506" t="str">
        <f>PLANTILLA!D18</f>
        <v>P. Tuderek</v>
      </c>
      <c r="C14" s="5">
        <f>PLANTILLA!E18</f>
        <v>22</v>
      </c>
      <c r="D14" s="455">
        <f ca="1">PLANTILLA!F18</f>
        <v>191</v>
      </c>
      <c r="E14" s="49">
        <f>PLANTILLA!X18</f>
        <v>0</v>
      </c>
      <c r="F14" s="49">
        <f>PLANTILLA!Y18</f>
        <v>6</v>
      </c>
      <c r="G14" s="49">
        <f>PLANTILLA!Z18</f>
        <v>12.444444444444445</v>
      </c>
      <c r="H14" s="49">
        <f>PLANTILLA!AA18</f>
        <v>2</v>
      </c>
      <c r="I14" s="49">
        <f>PLANTILLA!AB18</f>
        <v>3</v>
      </c>
      <c r="J14" s="49">
        <f>PLANTILLA!AC18</f>
        <v>6.2</v>
      </c>
      <c r="K14" s="49">
        <f>PLANTILLA!AD18</f>
        <v>18.399999999999999</v>
      </c>
      <c r="L14" s="96">
        <f>1/5</f>
        <v>0.2</v>
      </c>
      <c r="M14" s="96">
        <f t="shared" si="0"/>
        <v>3.3333333333333333E-2</v>
      </c>
      <c r="N14" s="116"/>
      <c r="O14" s="116"/>
      <c r="P14" s="116"/>
      <c r="Q14" s="116"/>
      <c r="R14" s="116"/>
      <c r="S14" s="116">
        <f t="shared" si="2"/>
        <v>3.8912000000000002E-2</v>
      </c>
      <c r="T14" s="116">
        <f t="shared" si="3"/>
        <v>3.6839999999999998E-2</v>
      </c>
      <c r="U14" s="116">
        <f t="shared" si="4"/>
        <v>3.3581E-2</v>
      </c>
      <c r="V14" s="116"/>
      <c r="W14" s="116"/>
      <c r="X14" s="116">
        <f t="shared" si="1"/>
        <v>3.8912000000000002E-2</v>
      </c>
    </row>
    <row r="15" spans="1:31" x14ac:dyDescent="0.25">
      <c r="A15" s="5" t="str">
        <f>PLANTILLA!A19</f>
        <v>#10</v>
      </c>
      <c r="B15" s="506" t="str">
        <f>PLANTILLA!D19</f>
        <v>R. Forsyth</v>
      </c>
      <c r="C15" s="5">
        <f>PLANTILLA!E19</f>
        <v>23</v>
      </c>
      <c r="D15" s="455">
        <f ca="1">PLANTILLA!F19</f>
        <v>134</v>
      </c>
      <c r="E15" s="49">
        <f>PLANTILLA!X19</f>
        <v>0</v>
      </c>
      <c r="F15" s="49">
        <f>PLANTILLA!Y19</f>
        <v>7</v>
      </c>
      <c r="G15" s="49">
        <f>PLANTILLA!Z19</f>
        <v>13.222222222222221</v>
      </c>
      <c r="H15" s="49">
        <f>PLANTILLA!AA19</f>
        <v>3</v>
      </c>
      <c r="I15" s="49">
        <f>PLANTILLA!AB19</f>
        <v>4</v>
      </c>
      <c r="J15" s="49">
        <f>PLANTILLA!AC19</f>
        <v>6.2</v>
      </c>
      <c r="K15" s="49">
        <f>PLANTILLA!AD19</f>
        <v>16.25</v>
      </c>
      <c r="L15" s="96">
        <f>1/6</f>
        <v>0.16666666666666666</v>
      </c>
      <c r="M15" s="96">
        <f t="shared" si="0"/>
        <v>2.7777777777777776E-2</v>
      </c>
      <c r="N15" s="116"/>
      <c r="O15" s="116"/>
      <c r="P15" s="116"/>
      <c r="Q15" s="116"/>
      <c r="R15" s="116"/>
      <c r="S15" s="116">
        <f t="shared" si="2"/>
        <v>3.2426666666666666E-2</v>
      </c>
      <c r="T15" s="116">
        <f t="shared" si="3"/>
        <v>3.0699999999999995E-2</v>
      </c>
      <c r="U15" s="116">
        <f t="shared" si="4"/>
        <v>2.7984166666666664E-2</v>
      </c>
      <c r="V15" s="116"/>
      <c r="W15" s="116"/>
      <c r="X15" s="116">
        <f t="shared" si="1"/>
        <v>3.2426666666666666E-2</v>
      </c>
    </row>
    <row r="16" spans="1:31" x14ac:dyDescent="0.25">
      <c r="A16" s="5" t="str">
        <f>PLANTILLA!A20</f>
        <v>#11</v>
      </c>
      <c r="B16" s="504" t="str">
        <f>PLANTILLA!D20</f>
        <v>S. Botam</v>
      </c>
      <c r="C16" s="5">
        <f>PLANTILLA!E20</f>
        <v>29</v>
      </c>
      <c r="D16" s="455">
        <f ca="1">PLANTILLA!F20</f>
        <v>212</v>
      </c>
      <c r="E16" s="49">
        <f>PLANTILLA!X20</f>
        <v>0</v>
      </c>
      <c r="F16" s="49">
        <f>PLANTILLA!Y20</f>
        <v>10</v>
      </c>
      <c r="G16" s="49">
        <f>PLANTILLA!Z20</f>
        <v>13</v>
      </c>
      <c r="H16" s="49">
        <f>PLANTILLA!AA20</f>
        <v>3</v>
      </c>
      <c r="I16" s="49">
        <f>PLANTILLA!AB20</f>
        <v>4</v>
      </c>
      <c r="J16" s="49">
        <f>PLANTILLA!AC20</f>
        <v>9</v>
      </c>
      <c r="K16" s="49">
        <f>PLANTILLA!AD20</f>
        <v>16</v>
      </c>
      <c r="L16" s="96"/>
      <c r="M16" s="9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1"/>
        <v>0</v>
      </c>
    </row>
    <row r="17" spans="1:24" x14ac:dyDescent="0.25">
      <c r="A17" s="5" t="str">
        <f>PLANTILLA!A4</f>
        <v>#30</v>
      </c>
      <c r="B17" s="504" t="str">
        <f>PLANTILLA!D4</f>
        <v>D. Gehmacher</v>
      </c>
      <c r="C17" s="5">
        <f>PLANTILLA!E4</f>
        <v>38</v>
      </c>
      <c r="D17" s="455">
        <f ca="1">PLANTILLA!F4</f>
        <v>234</v>
      </c>
      <c r="E17" s="49">
        <f>PLANTILLA!X4</f>
        <v>13.95</v>
      </c>
      <c r="F17" s="49">
        <f>PLANTILLA!Y4</f>
        <v>8.9499999999999993</v>
      </c>
      <c r="G17" s="49">
        <f>PLANTILLA!Z4</f>
        <v>0.95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17.95</v>
      </c>
      <c r="L17" s="96"/>
      <c r="M17" s="9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1"/>
        <v>0</v>
      </c>
    </row>
    <row r="18" spans="1:24" x14ac:dyDescent="0.25">
      <c r="A18" s="5" t="str">
        <f>PLANTILLA!A7</f>
        <v>#36</v>
      </c>
      <c r="B18" s="504" t="str">
        <f>PLANTILLA!D7</f>
        <v>F. Lasprilla</v>
      </c>
      <c r="C18" s="5">
        <f>PLANTILLA!E7</f>
        <v>36</v>
      </c>
      <c r="D18" s="455">
        <f ca="1">PLANTILLA!F7</f>
        <v>141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1"/>
        <v>0</v>
      </c>
    </row>
    <row r="19" spans="1:24" x14ac:dyDescent="0.25">
      <c r="A19" s="5" t="e">
        <f>PLANTILLA!#REF!</f>
        <v>#REF!</v>
      </c>
      <c r="B19" s="504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1"/>
        <v>0</v>
      </c>
    </row>
    <row r="20" spans="1:24" x14ac:dyDescent="0.25">
      <c r="A20" s="5" t="e">
        <f>PLANTILLA!#REF!</f>
        <v>#REF!</v>
      </c>
      <c r="B20" s="504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1"/>
        <v>0</v>
      </c>
    </row>
    <row r="21" spans="1:24" x14ac:dyDescent="0.25">
      <c r="A21" s="5" t="str">
        <f>PLANTILLA!A8</f>
        <v>#2</v>
      </c>
      <c r="B21" s="504" t="str">
        <f>PLANTILLA!D8</f>
        <v>L. Tutorić</v>
      </c>
      <c r="C21" s="5">
        <f>PLANTILLA!E8</f>
        <v>29</v>
      </c>
      <c r="D21" s="455">
        <f ca="1">PLANTILLA!F8</f>
        <v>188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1"/>
        <v>0</v>
      </c>
    </row>
    <row r="22" spans="1:24" x14ac:dyDescent="0.25">
      <c r="A22" s="5" t="str">
        <f>PLANTILLA!A21</f>
        <v>#11</v>
      </c>
      <c r="B22" s="504" t="str">
        <f>PLANTILLA!D21</f>
        <v>J-P. Kechele</v>
      </c>
      <c r="C22" s="5">
        <f>PLANTILLA!E21</f>
        <v>30</v>
      </c>
      <c r="D22" s="455">
        <f ca="1">PLANTILLA!F21</f>
        <v>167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1"/>
        <v>0</v>
      </c>
    </row>
    <row r="23" spans="1:24" x14ac:dyDescent="0.25">
      <c r="A23" s="5" t="str">
        <f>PLANTILLA!A22</f>
        <v>#29</v>
      </c>
      <c r="B23" s="504" t="str">
        <f>PLANTILLA!D22</f>
        <v>S. Zobbe</v>
      </c>
      <c r="C23" s="5">
        <f>PLANTILLA!E22</f>
        <v>36</v>
      </c>
      <c r="D23" s="455">
        <f ca="1">PLANTILLA!F22</f>
        <v>169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>
        <f t="shared" si="1"/>
        <v>0</v>
      </c>
    </row>
    <row r="24" spans="1:24" x14ac:dyDescent="0.25">
      <c r="A24" s="5" t="str">
        <f>PLANTILLA!A6</f>
        <v>#40</v>
      </c>
      <c r="B24" s="504" t="str">
        <f>PLANTILLA!D6</f>
        <v>E. Toney</v>
      </c>
      <c r="C24" s="5">
        <f>PLANTILLA!E6</f>
        <v>40</v>
      </c>
      <c r="D24" s="455">
        <f ca="1">PLANTILLA!F6</f>
        <v>133</v>
      </c>
      <c r="E24" s="49">
        <f>PLANTILLA!X6</f>
        <v>0</v>
      </c>
      <c r="F24" s="49">
        <f>PLANTILLA!Y6</f>
        <v>7.75</v>
      </c>
      <c r="G24" s="49">
        <f>PLANTILLA!Z6</f>
        <v>7.95</v>
      </c>
      <c r="H24" s="49">
        <f>PLANTILLA!AA6</f>
        <v>3.95</v>
      </c>
      <c r="I24" s="49">
        <f>PLANTILLA!AB6</f>
        <v>3.95</v>
      </c>
      <c r="J24" s="49">
        <f>PLANTILLA!AC6</f>
        <v>0</v>
      </c>
      <c r="K24" s="49">
        <f>PLANTILLA!AD6</f>
        <v>15</v>
      </c>
      <c r="L24" s="96"/>
      <c r="M24" s="9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>
        <f t="shared" si="1"/>
        <v>0</v>
      </c>
    </row>
    <row r="25" spans="1:24" x14ac:dyDescent="0.25">
      <c r="A25" s="5" t="str">
        <f>PLANTILLA!A23</f>
        <v>#28</v>
      </c>
      <c r="B25" s="504" t="str">
        <f>PLANTILLA!D23</f>
        <v>P .Trivadi</v>
      </c>
      <c r="C25" s="5">
        <f>PLANTILLA!E23</f>
        <v>35</v>
      </c>
      <c r="D25" s="455">
        <f ca="1">PLANTILLA!F23</f>
        <v>237</v>
      </c>
      <c r="E25" s="49">
        <f>PLANTILLA!X23</f>
        <v>0</v>
      </c>
      <c r="F25" s="49">
        <f>PLANTILLA!Y23</f>
        <v>3.95</v>
      </c>
      <c r="G25" s="49">
        <f>PLANTILLA!Z23</f>
        <v>5.95</v>
      </c>
      <c r="H25" s="49">
        <f>PLANTILLA!AA23</f>
        <v>3.95</v>
      </c>
      <c r="I25" s="49">
        <f>PLANTILLA!AB23</f>
        <v>9.9499999999999993</v>
      </c>
      <c r="J25" s="49">
        <f>PLANTILLA!AC23</f>
        <v>5.95</v>
      </c>
      <c r="K25" s="49">
        <f>PLANTILLA!AD23</f>
        <v>15.95</v>
      </c>
      <c r="M25" s="9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tabSelected="1" workbookViewId="0">
      <selection activeCell="G6" sqref="G6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633</v>
      </c>
      <c r="AA1" t="s">
        <v>634</v>
      </c>
      <c r="AD1" t="s">
        <v>635</v>
      </c>
    </row>
    <row r="2" spans="1:31" x14ac:dyDescent="0.25">
      <c r="B2" s="74">
        <v>44035</v>
      </c>
      <c r="X2" s="205"/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0.5</v>
      </c>
      <c r="N3" s="81" t="s">
        <v>644</v>
      </c>
      <c r="O3" s="202" t="s">
        <v>14</v>
      </c>
      <c r="P3" s="202" t="s">
        <v>628</v>
      </c>
      <c r="Q3" s="202" t="s">
        <v>709</v>
      </c>
      <c r="R3" s="201" t="s">
        <v>639</v>
      </c>
      <c r="S3" s="201" t="s">
        <v>640</v>
      </c>
      <c r="T3" s="201" t="s">
        <v>135</v>
      </c>
      <c r="U3" s="201" t="s">
        <v>708</v>
      </c>
      <c r="V3" s="202" t="s">
        <v>140</v>
      </c>
      <c r="W3" s="204" t="s">
        <v>21</v>
      </c>
      <c r="X3" s="203" t="s">
        <v>642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PLANTILLA!A14</f>
        <v>#16</v>
      </c>
      <c r="B4" s="51" t="str">
        <f>PLANTILLA!D14</f>
        <v>I. Vanags</v>
      </c>
      <c r="C4" s="5">
        <f>PLANTILLA!E14</f>
        <v>22</v>
      </c>
      <c r="D4" s="455">
        <f ca="1">PLANTILLA!F14</f>
        <v>189</v>
      </c>
      <c r="E4" s="49">
        <f>PLANTILLA!X14</f>
        <v>0</v>
      </c>
      <c r="F4" s="49">
        <f>PLANTILLA!Y14</f>
        <v>4</v>
      </c>
      <c r="G4" s="49">
        <f>PLANTILLA!Z14</f>
        <v>13.222222222222221</v>
      </c>
      <c r="H4" s="49">
        <f>PLANTILLA!AA14</f>
        <v>3</v>
      </c>
      <c r="I4" s="49">
        <f>PLANTILLA!AB14</f>
        <v>4</v>
      </c>
      <c r="J4" s="49">
        <f>PLANTILLA!AC14</f>
        <v>7.2</v>
      </c>
      <c r="K4" s="49">
        <f>PLANTILLA!AD14</f>
        <v>17.666666666666668</v>
      </c>
      <c r="L4" s="96">
        <f>1/12.5</f>
        <v>0.08</v>
      </c>
      <c r="M4" s="96">
        <f t="shared" ref="M4:M14" si="0">L4*0.5</f>
        <v>0.04</v>
      </c>
      <c r="N4" s="96">
        <f t="shared" ref="N4:N14" si="1">L4*0.125</f>
        <v>0.01</v>
      </c>
      <c r="O4" s="116"/>
      <c r="P4" s="116"/>
      <c r="Q4" s="116"/>
      <c r="R4" s="116"/>
      <c r="S4" s="116"/>
      <c r="T4" s="116">
        <f t="shared" ref="T4:T9" si="2">L4*1</f>
        <v>0.08</v>
      </c>
      <c r="U4" s="116">
        <f>L4*0.631</f>
        <v>5.0480000000000004E-2</v>
      </c>
      <c r="V4" s="116"/>
      <c r="W4" s="116"/>
      <c r="X4" s="116">
        <f t="shared" ref="X4:X22" si="3">MAX(O4:W4)</f>
        <v>0.08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PLANTILLA!A15</f>
        <v>#8</v>
      </c>
      <c r="B5" s="51" t="str">
        <f>PLANTILLA!D15</f>
        <v>I. Stone</v>
      </c>
      <c r="C5" s="5">
        <f>PLANTILLA!E15</f>
        <v>22</v>
      </c>
      <c r="D5" s="455">
        <f ca="1">PLANTILLA!F15</f>
        <v>132</v>
      </c>
      <c r="E5" s="49">
        <f>PLANTILLA!X15</f>
        <v>0</v>
      </c>
      <c r="F5" s="49">
        <f>PLANTILLA!Y15</f>
        <v>3</v>
      </c>
      <c r="G5" s="49">
        <f>PLANTILLA!Z15</f>
        <v>12.222222222222221</v>
      </c>
      <c r="H5" s="49">
        <f>PLANTILLA!AA15</f>
        <v>2</v>
      </c>
      <c r="I5" s="49">
        <f>PLANTILLA!AB15</f>
        <v>6</v>
      </c>
      <c r="J5" s="49">
        <f>PLANTILLA!AC15</f>
        <v>9.1428571428571423</v>
      </c>
      <c r="K5" s="49">
        <f>PLANTILLA!AD15</f>
        <v>16.5</v>
      </c>
      <c r="L5" s="96">
        <f>1/11</f>
        <v>9.0909090909090912E-2</v>
      </c>
      <c r="M5" s="96">
        <f t="shared" si="0"/>
        <v>4.5454545454545456E-2</v>
      </c>
      <c r="N5" s="96">
        <f t="shared" si="1"/>
        <v>1.1363636363636364E-2</v>
      </c>
      <c r="O5" s="116"/>
      <c r="P5" s="116"/>
      <c r="Q5" s="116"/>
      <c r="R5" s="116"/>
      <c r="S5" s="116"/>
      <c r="T5" s="116">
        <f t="shared" si="2"/>
        <v>9.0909090909090912E-2</v>
      </c>
      <c r="U5" s="116">
        <f t="shared" ref="U5:U9" si="4">L5*0.631</f>
        <v>5.7363636363636367E-2</v>
      </c>
      <c r="V5" s="116"/>
      <c r="W5" s="116"/>
      <c r="X5" s="116">
        <f t="shared" si="3"/>
        <v>9.0909090909090912E-2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PLANTILLA!A18</f>
        <v>#12</v>
      </c>
      <c r="B6" s="51" t="str">
        <f>PLANTILLA!D18</f>
        <v>P. Tuderek</v>
      </c>
      <c r="C6" s="5">
        <f>PLANTILLA!E18</f>
        <v>22</v>
      </c>
      <c r="D6" s="455">
        <f ca="1">PLANTILLA!F18</f>
        <v>191</v>
      </c>
      <c r="E6" s="49">
        <f>PLANTILLA!X18</f>
        <v>0</v>
      </c>
      <c r="F6" s="49">
        <f>PLANTILLA!Y18</f>
        <v>6</v>
      </c>
      <c r="G6" s="49">
        <f>PLANTILLA!Z18</f>
        <v>12.444444444444445</v>
      </c>
      <c r="H6" s="49">
        <f>PLANTILLA!AA18</f>
        <v>2</v>
      </c>
      <c r="I6" s="49">
        <f>PLANTILLA!AB18</f>
        <v>3</v>
      </c>
      <c r="J6" s="49">
        <f>PLANTILLA!AC18</f>
        <v>6.2</v>
      </c>
      <c r="K6" s="49">
        <f>PLANTILLA!AD18</f>
        <v>18.399999999999999</v>
      </c>
      <c r="L6" s="96">
        <f>1/11</f>
        <v>9.0909090909090912E-2</v>
      </c>
      <c r="M6" s="96">
        <f t="shared" si="0"/>
        <v>4.5454545454545456E-2</v>
      </c>
      <c r="N6" s="96">
        <f t="shared" si="1"/>
        <v>1.1363636363636364E-2</v>
      </c>
      <c r="O6" s="116"/>
      <c r="P6" s="116"/>
      <c r="Q6" s="116"/>
      <c r="R6" s="116"/>
      <c r="S6" s="116"/>
      <c r="T6" s="116">
        <f t="shared" si="2"/>
        <v>9.0909090909090912E-2</v>
      </c>
      <c r="U6" s="116">
        <f t="shared" si="4"/>
        <v>5.7363636363636367E-2</v>
      </c>
      <c r="V6" s="116"/>
      <c r="W6" s="116"/>
      <c r="X6" s="116">
        <f t="shared" si="3"/>
        <v>9.0909090909090912E-2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PLANTILLA!A16</f>
        <v>#14</v>
      </c>
      <c r="B7" s="51" t="str">
        <f>PLANTILLA!D16</f>
        <v>G. Piscaer</v>
      </c>
      <c r="C7" s="5">
        <f>PLANTILLA!E16</f>
        <v>22</v>
      </c>
      <c r="D7" s="455">
        <f ca="1">PLANTILLA!F16</f>
        <v>205</v>
      </c>
      <c r="E7" s="49">
        <f>PLANTILLA!X16</f>
        <v>0</v>
      </c>
      <c r="F7" s="49">
        <f>PLANTILLA!Y16</f>
        <v>4</v>
      </c>
      <c r="G7" s="49">
        <f>PLANTILLA!Z16</f>
        <v>13.666666666666666</v>
      </c>
      <c r="H7" s="49">
        <f>PLANTILLA!AA16</f>
        <v>3</v>
      </c>
      <c r="I7" s="49">
        <f>PLANTILLA!AB16</f>
        <v>2</v>
      </c>
      <c r="J7" s="49">
        <f>PLANTILLA!AC16</f>
        <v>8.1666666666666661</v>
      </c>
      <c r="K7" s="49">
        <f>PLANTILLA!AD16</f>
        <v>15.666666666666666</v>
      </c>
      <c r="L7" s="96">
        <f>1/13</f>
        <v>7.6923076923076927E-2</v>
      </c>
      <c r="M7" s="96">
        <f t="shared" si="0"/>
        <v>3.8461538461538464E-2</v>
      </c>
      <c r="N7" s="96">
        <f t="shared" si="1"/>
        <v>9.6153846153846159E-3</v>
      </c>
      <c r="O7" s="116"/>
      <c r="P7" s="116"/>
      <c r="Q7" s="116"/>
      <c r="R7" s="116"/>
      <c r="S7" s="116"/>
      <c r="T7" s="116">
        <f t="shared" si="2"/>
        <v>7.6923076923076927E-2</v>
      </c>
      <c r="U7" s="116">
        <f t="shared" si="4"/>
        <v>4.8538461538461544E-2</v>
      </c>
      <c r="V7" s="116"/>
      <c r="W7" s="116"/>
      <c r="X7" s="116">
        <f t="shared" si="3"/>
        <v>7.6923076923076927E-2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PLANTILLA!A17</f>
        <v>#9</v>
      </c>
      <c r="B8" s="51" t="str">
        <f>PLANTILLA!D17</f>
        <v>M. Bondarewski</v>
      </c>
      <c r="C8" s="5">
        <f>PLANTILLA!E17</f>
        <v>22</v>
      </c>
      <c r="D8" s="455">
        <f ca="1">PLANTILLA!F17</f>
        <v>205</v>
      </c>
      <c r="E8" s="49">
        <f>PLANTILLA!X17</f>
        <v>0</v>
      </c>
      <c r="F8" s="49">
        <f>PLANTILLA!Y17</f>
        <v>2</v>
      </c>
      <c r="G8" s="49">
        <f>PLANTILLA!Z17</f>
        <v>13.666666666666666</v>
      </c>
      <c r="H8" s="49">
        <f>PLANTILLA!AA17</f>
        <v>5</v>
      </c>
      <c r="I8" s="49">
        <f>PLANTILLA!AB17</f>
        <v>4</v>
      </c>
      <c r="J8" s="49">
        <f>PLANTILLA!AC17</f>
        <v>8.1666666666666661</v>
      </c>
      <c r="K8" s="49">
        <f>PLANTILLA!AD17</f>
        <v>18.166666666666668</v>
      </c>
      <c r="L8" s="96">
        <f>1/13</f>
        <v>7.6923076923076927E-2</v>
      </c>
      <c r="M8" s="96">
        <f t="shared" si="0"/>
        <v>3.8461538461538464E-2</v>
      </c>
      <c r="N8" s="96">
        <f t="shared" si="1"/>
        <v>9.6153846153846159E-3</v>
      </c>
      <c r="O8" s="116"/>
      <c r="P8" s="116"/>
      <c r="Q8" s="116"/>
      <c r="R8" s="116"/>
      <c r="S8" s="116"/>
      <c r="T8" s="116">
        <f t="shared" si="2"/>
        <v>7.6923076923076927E-2</v>
      </c>
      <c r="U8" s="116">
        <f t="shared" si="4"/>
        <v>4.8538461538461544E-2</v>
      </c>
      <c r="V8" s="116"/>
      <c r="W8" s="116"/>
      <c r="X8" s="116">
        <f t="shared" si="3"/>
        <v>7.6923076923076927E-2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PLANTILLA!A19</f>
        <v>#10</v>
      </c>
      <c r="B9" s="51" t="str">
        <f>PLANTILLA!D19</f>
        <v>R. Forsyth</v>
      </c>
      <c r="C9" s="5">
        <f>PLANTILLA!E19</f>
        <v>23</v>
      </c>
      <c r="D9" s="455">
        <f ca="1">PLANTILLA!F19</f>
        <v>134</v>
      </c>
      <c r="E9" s="49">
        <f>PLANTILLA!X19</f>
        <v>0</v>
      </c>
      <c r="F9" s="49">
        <f>PLANTILLA!Y19</f>
        <v>7</v>
      </c>
      <c r="G9" s="49">
        <f>PLANTILLA!Z19</f>
        <v>13.222222222222221</v>
      </c>
      <c r="H9" s="49">
        <f>PLANTILLA!AA19</f>
        <v>3</v>
      </c>
      <c r="I9" s="49">
        <f>PLANTILLA!AB19</f>
        <v>4</v>
      </c>
      <c r="J9" s="49">
        <f>PLANTILLA!AC19</f>
        <v>6.2</v>
      </c>
      <c r="K9" s="49">
        <f>PLANTILLA!AD19</f>
        <v>16.25</v>
      </c>
      <c r="L9" s="96">
        <f>1/13</f>
        <v>7.6923076923076927E-2</v>
      </c>
      <c r="M9" s="96">
        <f t="shared" si="0"/>
        <v>3.8461538461538464E-2</v>
      </c>
      <c r="N9" s="96">
        <f t="shared" si="1"/>
        <v>9.6153846153846159E-3</v>
      </c>
      <c r="O9" s="116"/>
      <c r="P9" s="116"/>
      <c r="Q9" s="116"/>
      <c r="R9" s="116"/>
      <c r="S9" s="116"/>
      <c r="T9" s="116">
        <f t="shared" si="2"/>
        <v>7.6923076923076927E-2</v>
      </c>
      <c r="U9" s="116">
        <f t="shared" si="4"/>
        <v>4.8538461538461544E-2</v>
      </c>
      <c r="V9" s="116"/>
      <c r="W9" s="116"/>
      <c r="X9" s="116">
        <f t="shared" si="3"/>
        <v>7.6923076923076927E-2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PLANTILLA!A9</f>
        <v>#2</v>
      </c>
      <c r="B10" s="51" t="str">
        <f>PLANTILLA!D9</f>
        <v>S. Swärdborn</v>
      </c>
      <c r="C10" s="5">
        <f>PLANTILLA!E9</f>
        <v>22</v>
      </c>
      <c r="D10" s="455">
        <f ca="1">PLANTILLA!F9</f>
        <v>190</v>
      </c>
      <c r="E10" s="49">
        <f>PLANTILLA!X9</f>
        <v>0</v>
      </c>
      <c r="F10" s="49">
        <f>PLANTILLA!Y9</f>
        <v>12</v>
      </c>
      <c r="G10" s="49">
        <f>PLANTILLA!Z9</f>
        <v>7.2</v>
      </c>
      <c r="H10" s="49">
        <f>PLANTILLA!AA9</f>
        <v>1</v>
      </c>
      <c r="I10" s="49">
        <f>PLANTILLA!AB9</f>
        <v>3</v>
      </c>
      <c r="J10" s="49">
        <f>PLANTILLA!AC9</f>
        <v>6.2</v>
      </c>
      <c r="K10" s="49">
        <f>PLANTILLA!AD9</f>
        <v>16.5</v>
      </c>
      <c r="L10" s="96">
        <f>1/5.5</f>
        <v>0.18181818181818182</v>
      </c>
      <c r="M10" s="96">
        <f t="shared" si="0"/>
        <v>9.0909090909090912E-2</v>
      </c>
      <c r="N10" s="96">
        <f t="shared" si="1"/>
        <v>2.2727272727272728E-2</v>
      </c>
      <c r="O10" s="116"/>
      <c r="P10" s="116">
        <f>L10*0.236</f>
        <v>4.2909090909090911E-2</v>
      </c>
      <c r="Q10" s="116">
        <f>L10*0.363</f>
        <v>6.6000000000000003E-2</v>
      </c>
      <c r="R10" s="116">
        <f>L10*0.165</f>
        <v>3.0000000000000002E-2</v>
      </c>
      <c r="S10" s="116">
        <f>L10*0.167</f>
        <v>3.0363636363636367E-2</v>
      </c>
      <c r="T10" s="116"/>
      <c r="U10" s="116"/>
      <c r="V10" s="116"/>
      <c r="W10" s="116"/>
      <c r="X10" s="116">
        <f t="shared" si="3"/>
        <v>6.6000000000000003E-2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PLANTILLA!A10</f>
        <v>#19</v>
      </c>
      <c r="B11" s="51" t="str">
        <f>PLANTILLA!D10</f>
        <v>A. Grimaud</v>
      </c>
      <c r="C11" s="5">
        <f>PLANTILLA!E10</f>
        <v>22</v>
      </c>
      <c r="D11" s="455">
        <f ca="1">PLANTILLA!F10</f>
        <v>213</v>
      </c>
      <c r="E11" s="49">
        <f>PLANTILLA!X10</f>
        <v>0</v>
      </c>
      <c r="F11" s="49">
        <f>PLANTILLA!Y10</f>
        <v>12</v>
      </c>
      <c r="G11" s="49">
        <f>PLANTILLA!Z10</f>
        <v>7.3</v>
      </c>
      <c r="H11" s="49">
        <f>PLANTILLA!AA10</f>
        <v>3</v>
      </c>
      <c r="I11" s="49">
        <f>PLANTILLA!AB10</f>
        <v>3</v>
      </c>
      <c r="J11" s="49">
        <f>PLANTILLA!AC10</f>
        <v>5.25</v>
      </c>
      <c r="K11" s="49">
        <f>PLANTILLA!AD10</f>
        <v>15.666666666666666</v>
      </c>
      <c r="L11" s="96">
        <f>1/5.5</f>
        <v>0.18181818181818182</v>
      </c>
      <c r="M11" s="96">
        <f t="shared" si="0"/>
        <v>9.0909090909090912E-2</v>
      </c>
      <c r="N11" s="96">
        <f t="shared" si="1"/>
        <v>2.2727272727272728E-2</v>
      </c>
      <c r="O11" s="116"/>
      <c r="P11" s="116">
        <f>L11*0.236</f>
        <v>4.2909090909090911E-2</v>
      </c>
      <c r="Q11" s="116">
        <f t="shared" ref="Q11:Q14" si="5">L11*0.363</f>
        <v>6.6000000000000003E-2</v>
      </c>
      <c r="R11" s="116">
        <f>L11*0.165</f>
        <v>3.0000000000000002E-2</v>
      </c>
      <c r="S11" s="116">
        <f>L11*0.167</f>
        <v>3.0363636363636367E-2</v>
      </c>
      <c r="T11" s="116"/>
      <c r="U11" s="116"/>
      <c r="V11" s="116"/>
      <c r="W11" s="116"/>
      <c r="X11" s="116">
        <f t="shared" si="3"/>
        <v>6.6000000000000003E-2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PLANTILLA!A13</f>
        <v>#4</v>
      </c>
      <c r="B12" s="51" t="str">
        <f>PLANTILLA!D13</f>
        <v>E. Deus</v>
      </c>
      <c r="C12" s="5">
        <f>PLANTILLA!E13</f>
        <v>22</v>
      </c>
      <c r="D12" s="455">
        <f ca="1">PLANTILLA!F13</f>
        <v>129</v>
      </c>
      <c r="E12" s="49">
        <f>PLANTILLA!X13</f>
        <v>0</v>
      </c>
      <c r="F12" s="49">
        <f>PLANTILLA!Y13</f>
        <v>11</v>
      </c>
      <c r="G12" s="49">
        <f>PLANTILLA!Z13</f>
        <v>7.2333333333333325</v>
      </c>
      <c r="H12" s="49">
        <f>PLANTILLA!AA13</f>
        <v>1</v>
      </c>
      <c r="I12" s="49">
        <f>PLANTILLA!AB13</f>
        <v>6</v>
      </c>
      <c r="J12" s="49">
        <f>PLANTILLA!AC13</f>
        <v>5.25</v>
      </c>
      <c r="K12" s="49">
        <f>PLANTILLA!AD13</f>
        <v>16.75</v>
      </c>
      <c r="L12" s="96">
        <f>1/5.5</f>
        <v>0.18181818181818182</v>
      </c>
      <c r="M12" s="96">
        <f t="shared" si="0"/>
        <v>9.0909090909090912E-2</v>
      </c>
      <c r="N12" s="96">
        <f t="shared" si="1"/>
        <v>2.2727272727272728E-2</v>
      </c>
      <c r="O12" s="116"/>
      <c r="P12" s="116">
        <f>L12*0.236</f>
        <v>4.2909090909090911E-2</v>
      </c>
      <c r="Q12" s="116">
        <f t="shared" si="5"/>
        <v>6.6000000000000003E-2</v>
      </c>
      <c r="R12" s="116">
        <f>L12*0.165</f>
        <v>3.0000000000000002E-2</v>
      </c>
      <c r="S12" s="116">
        <f>L12*0.167</f>
        <v>3.0363636363636367E-2</v>
      </c>
      <c r="T12" s="116"/>
      <c r="U12" s="116"/>
      <c r="V12" s="116"/>
      <c r="W12" s="116"/>
      <c r="X12" s="116">
        <f t="shared" si="3"/>
        <v>6.6000000000000003E-2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PLANTILLA!A11</f>
        <v>#22</v>
      </c>
      <c r="B13" s="51" t="str">
        <f>PLANTILLA!D11</f>
        <v>V. Gardner</v>
      </c>
      <c r="C13" s="5">
        <f>PLANTILLA!E11</f>
        <v>22</v>
      </c>
      <c r="D13" s="455">
        <f ca="1">PLANTILLA!F11</f>
        <v>202</v>
      </c>
      <c r="E13" s="49">
        <f>PLANTILLA!X11</f>
        <v>0</v>
      </c>
      <c r="F13" s="49">
        <f>PLANTILLA!Y11</f>
        <v>12</v>
      </c>
      <c r="G13" s="49">
        <f>PLANTILLA!Z11</f>
        <v>6.125</v>
      </c>
      <c r="H13" s="49">
        <f>PLANTILLA!AA11</f>
        <v>3</v>
      </c>
      <c r="I13" s="49">
        <f>PLANTILLA!AB11</f>
        <v>5</v>
      </c>
      <c r="J13" s="49">
        <f>PLANTILLA!AC11</f>
        <v>6.2</v>
      </c>
      <c r="K13" s="49">
        <f>PLANTILLA!AD11</f>
        <v>17.25</v>
      </c>
      <c r="L13" s="96">
        <f>1/5.5</f>
        <v>0.18181818181818182</v>
      </c>
      <c r="M13" s="96">
        <f t="shared" si="0"/>
        <v>9.0909090909090912E-2</v>
      </c>
      <c r="N13" s="96">
        <f t="shared" si="1"/>
        <v>2.2727272727272728E-2</v>
      </c>
      <c r="O13" s="116"/>
      <c r="P13" s="116"/>
      <c r="Q13" s="116">
        <f>L13*0.363</f>
        <v>6.6000000000000003E-2</v>
      </c>
      <c r="R13" s="116">
        <f>L13*0.165</f>
        <v>3.0000000000000002E-2</v>
      </c>
      <c r="S13" s="116">
        <f>L13*0.167</f>
        <v>3.0363636363636367E-2</v>
      </c>
      <c r="T13" s="116"/>
      <c r="U13" s="116"/>
      <c r="V13" s="116"/>
      <c r="W13" s="116"/>
      <c r="X13" s="116">
        <f t="shared" si="3"/>
        <v>6.6000000000000003E-2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PLANTILLA!A12</f>
        <v>#3</v>
      </c>
      <c r="B14" s="51" t="str">
        <f>PLANTILLA!D12</f>
        <v>S. Embe</v>
      </c>
      <c r="C14" s="5">
        <f>PLANTILLA!E12</f>
        <v>23</v>
      </c>
      <c r="D14" s="455">
        <f ca="1">PLANTILLA!F12</f>
        <v>146</v>
      </c>
      <c r="E14" s="49">
        <f>PLANTILLA!X12</f>
        <v>0</v>
      </c>
      <c r="F14" s="49">
        <f>PLANTILLA!Y12</f>
        <v>11</v>
      </c>
      <c r="G14" s="49">
        <f>PLANTILLA!Z12</f>
        <v>5.083333333333333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1/5.5</f>
        <v>0.18181818181818182</v>
      </c>
      <c r="M14" s="96">
        <f t="shared" si="0"/>
        <v>9.0909090909090912E-2</v>
      </c>
      <c r="N14" s="96">
        <f t="shared" si="1"/>
        <v>2.2727272727272728E-2</v>
      </c>
      <c r="O14" s="116"/>
      <c r="P14" s="116"/>
      <c r="Q14" s="116">
        <f t="shared" si="5"/>
        <v>6.6000000000000003E-2</v>
      </c>
      <c r="R14" s="116">
        <f>L14*0.165</f>
        <v>3.0000000000000002E-2</v>
      </c>
      <c r="S14" s="116">
        <f>L14*0.167</f>
        <v>3.0363636363636367E-2</v>
      </c>
      <c r="T14" s="116"/>
      <c r="U14" s="116"/>
      <c r="V14" s="116"/>
      <c r="W14" s="116"/>
      <c r="X14" s="116">
        <f t="shared" si="3"/>
        <v>6.6000000000000003E-2</v>
      </c>
    </row>
    <row r="15" spans="1:31" x14ac:dyDescent="0.25">
      <c r="A15" s="5" t="str">
        <f>PLANTILLA!A4</f>
        <v>#30</v>
      </c>
      <c r="B15" s="51" t="str">
        <f>PLANTILLA!D4</f>
        <v>D. Gehmacher</v>
      </c>
      <c r="C15" s="5">
        <f>PLANTILLA!E4</f>
        <v>38</v>
      </c>
      <c r="D15" s="455">
        <f ca="1">PLANTILLA!F4</f>
        <v>234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96"/>
      <c r="O15" s="116"/>
      <c r="P15" s="116"/>
      <c r="Q15" s="116"/>
      <c r="R15" s="116"/>
      <c r="S15" s="116"/>
      <c r="T15" s="116"/>
      <c r="U15" s="116"/>
      <c r="V15" s="116"/>
      <c r="W15" s="116"/>
      <c r="X15" s="116">
        <f t="shared" si="3"/>
        <v>0</v>
      </c>
    </row>
    <row r="16" spans="1:31" x14ac:dyDescent="0.25">
      <c r="A16" s="5" t="str">
        <f>PLANTILLA!A5</f>
        <v>#1</v>
      </c>
      <c r="B16" s="51" t="str">
        <f>PLANTILLA!D5</f>
        <v>L. Guangwei</v>
      </c>
      <c r="C16" s="5">
        <f>PLANTILLA!E5</f>
        <v>23</v>
      </c>
      <c r="D16" s="455">
        <f ca="1">PLANTILLA!F5</f>
        <v>161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9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3"/>
        <v>0</v>
      </c>
    </row>
    <row r="17" spans="1:24" x14ac:dyDescent="0.25">
      <c r="A17" s="5" t="str">
        <f>PLANTILLA!A7</f>
        <v>#36</v>
      </c>
      <c r="B17" s="51" t="str">
        <f>PLANTILLA!D7</f>
        <v>F. Lasprilla</v>
      </c>
      <c r="C17" s="5">
        <f>PLANTILLA!E7</f>
        <v>36</v>
      </c>
      <c r="D17" s="455">
        <f ca="1">PLANTILLA!F7</f>
        <v>141</v>
      </c>
      <c r="E17" s="49">
        <f>PLANTILLA!X7</f>
        <v>0</v>
      </c>
      <c r="F17" s="49">
        <f>PLANTILLA!Y7</f>
        <v>8.9499999999999975</v>
      </c>
      <c r="G17" s="49">
        <f>PLANTILLA!Z7</f>
        <v>7.95</v>
      </c>
      <c r="H17" s="49">
        <f>PLANTILLA!AA7</f>
        <v>4.95</v>
      </c>
      <c r="I17" s="49">
        <f>PLANTILLA!AB7</f>
        <v>7.95</v>
      </c>
      <c r="J17" s="49">
        <f>PLANTILLA!AC7</f>
        <v>0.95</v>
      </c>
      <c r="K17" s="49">
        <f>PLANTILLA!AD7</f>
        <v>14</v>
      </c>
      <c r="L17"/>
      <c r="M17" s="96"/>
      <c r="N17" s="9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3"/>
        <v>0</v>
      </c>
    </row>
    <row r="18" spans="1:24" x14ac:dyDescent="0.25">
      <c r="A18" s="5" t="str">
        <f>PLANTILLA!A8</f>
        <v>#2</v>
      </c>
      <c r="B18" s="51" t="str">
        <f>PLANTILLA!D8</f>
        <v>L. Tutorić</v>
      </c>
      <c r="C18" s="5">
        <f>PLANTILLA!E8</f>
        <v>29</v>
      </c>
      <c r="D18" s="455">
        <f ca="1">PLANTILLA!F8</f>
        <v>188</v>
      </c>
      <c r="E18" s="49">
        <f>PLANTILLA!X8</f>
        <v>0</v>
      </c>
      <c r="F18" s="49">
        <f>PLANTILLA!Y8</f>
        <v>13</v>
      </c>
      <c r="G18" s="49">
        <f>PLANTILLA!Z8</f>
        <v>6</v>
      </c>
      <c r="H18" s="49">
        <f>PLANTILLA!AA8</f>
        <v>2</v>
      </c>
      <c r="I18" s="49">
        <f>PLANTILLA!AB8</f>
        <v>1</v>
      </c>
      <c r="J18" s="49">
        <f>PLANTILLA!AC8</f>
        <v>7</v>
      </c>
      <c r="K18" s="49">
        <f>PLANTILLA!AD8</f>
        <v>16</v>
      </c>
      <c r="L18" s="96"/>
      <c r="M18" s="96"/>
      <c r="N18" s="9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3"/>
        <v>0</v>
      </c>
    </row>
    <row r="19" spans="1:24" x14ac:dyDescent="0.25">
      <c r="A19" s="5" t="str">
        <f>PLANTILLA!A21</f>
        <v>#11</v>
      </c>
      <c r="B19" s="51" t="str">
        <f>PLANTILLA!D21</f>
        <v>J-P. Kechele</v>
      </c>
      <c r="C19" s="5">
        <f>PLANTILLA!E21</f>
        <v>30</v>
      </c>
      <c r="D19" s="455">
        <f ca="1">PLANTILLA!F21</f>
        <v>167</v>
      </c>
      <c r="E19" s="49">
        <f>PLANTILLA!X21</f>
        <v>0</v>
      </c>
      <c r="F19" s="49">
        <f>PLANTILLA!Y21</f>
        <v>4</v>
      </c>
      <c r="G19" s="49">
        <f>PLANTILLA!Z21</f>
        <v>13.95</v>
      </c>
      <c r="H19" s="49">
        <f>PLANTILLA!AA21</f>
        <v>4</v>
      </c>
      <c r="I19" s="49">
        <f>PLANTILLA!AB21</f>
        <v>9</v>
      </c>
      <c r="J19" s="49">
        <f>PLANTILLA!AC21</f>
        <v>8</v>
      </c>
      <c r="K19" s="49">
        <f>PLANTILLA!AD21</f>
        <v>19.5</v>
      </c>
      <c r="L19" s="96"/>
      <c r="M19" s="96"/>
      <c r="N19" s="9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3"/>
        <v>0</v>
      </c>
    </row>
    <row r="20" spans="1:24" x14ac:dyDescent="0.25">
      <c r="A20" s="5" t="str">
        <f>PLANTILLA!A22</f>
        <v>#29</v>
      </c>
      <c r="B20" s="51" t="str">
        <f>PLANTILLA!D22</f>
        <v>S. Zobbe</v>
      </c>
      <c r="C20" s="5">
        <f>PLANTILLA!E22</f>
        <v>36</v>
      </c>
      <c r="D20" s="455">
        <f ca="1">PLANTILLA!F22</f>
        <v>169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11.95</v>
      </c>
      <c r="I20" s="49">
        <f>PLANTILLA!AB22</f>
        <v>8.9499999999999993</v>
      </c>
      <c r="J20" s="49">
        <f>PLANTILLA!AC22</f>
        <v>4.95</v>
      </c>
      <c r="K20" s="49">
        <f>PLANTILLA!AD22</f>
        <v>18</v>
      </c>
      <c r="L20" s="96"/>
      <c r="M20" s="96"/>
      <c r="N20" s="9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3"/>
        <v>0</v>
      </c>
    </row>
    <row r="21" spans="1:24" x14ac:dyDescent="0.25">
      <c r="A21" s="5" t="str">
        <f>PLANTILLA!A6</f>
        <v>#40</v>
      </c>
      <c r="B21" s="51" t="str">
        <f>PLANTILLA!D6</f>
        <v>E. Toney</v>
      </c>
      <c r="C21" s="5">
        <f>PLANTILLA!E6</f>
        <v>40</v>
      </c>
      <c r="D21" s="455">
        <f ca="1">PLANTILLA!F6</f>
        <v>133</v>
      </c>
      <c r="E21" s="49">
        <f>PLANTILLA!X6</f>
        <v>0</v>
      </c>
      <c r="F21" s="49">
        <f>PLANTILLA!Y6</f>
        <v>7.75</v>
      </c>
      <c r="G21" s="49">
        <f>PLANTILLA!Z6</f>
        <v>7.95</v>
      </c>
      <c r="H21" s="49">
        <f>PLANTILLA!AA6</f>
        <v>3.95</v>
      </c>
      <c r="I21" s="49">
        <f>PLANTILLA!AB6</f>
        <v>3.95</v>
      </c>
      <c r="J21" s="49">
        <f>PLANTILLA!AC6</f>
        <v>0</v>
      </c>
      <c r="K21" s="49">
        <f>PLANTILLA!AD6</f>
        <v>15</v>
      </c>
      <c r="L21" s="96"/>
      <c r="M21" s="96"/>
      <c r="N21" s="9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3"/>
        <v>0</v>
      </c>
    </row>
    <row r="22" spans="1:24" x14ac:dyDescent="0.25">
      <c r="A22" s="5" t="str">
        <f>PLANTILLA!A23</f>
        <v>#28</v>
      </c>
      <c r="B22" s="51" t="str">
        <f>PLANTILLA!D23</f>
        <v>P .Trivadi</v>
      </c>
      <c r="C22" s="5">
        <f>PLANTILLA!E23</f>
        <v>35</v>
      </c>
      <c r="D22" s="455">
        <f ca="1">PLANTILLA!F23</f>
        <v>237</v>
      </c>
      <c r="E22" s="49">
        <f>PLANTILLA!X23</f>
        <v>0</v>
      </c>
      <c r="F22" s="49">
        <f>PLANTILLA!Y23</f>
        <v>3.95</v>
      </c>
      <c r="G22" s="49">
        <f>PLANTILLA!Z23</f>
        <v>5.95</v>
      </c>
      <c r="H22" s="49">
        <f>PLANTILLA!AA23</f>
        <v>3.95</v>
      </c>
      <c r="I22" s="49">
        <f>PLANTILLA!AB23</f>
        <v>9.9499999999999993</v>
      </c>
      <c r="J22" s="49">
        <f>PLANTILLA!AC23</f>
        <v>5.95</v>
      </c>
      <c r="K22" s="49">
        <f>PLANTILLA!AD23</f>
        <v>15.95</v>
      </c>
      <c r="L22" s="96"/>
      <c r="M22" s="96"/>
      <c r="N22" s="9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7"/>
  <sheetViews>
    <sheetView zoomScale="110" workbookViewId="0">
      <pane xSplit="9" ySplit="3" topLeftCell="J4" activePane="bottomRight" state="frozen"/>
      <selection pane="topRight"/>
      <selection pane="bottomLeft"/>
      <selection pane="bottomRight" activeCell="D11" sqref="D11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44" customWidth="1"/>
    <col min="34" max="34" width="6.5703125" style="444" customWidth="1"/>
    <col min="35" max="35" width="8.42578125" style="460" bestFit="1" customWidth="1"/>
    <col min="36" max="36" width="7.5703125" style="444" customWidth="1"/>
    <col min="37" max="39" width="6.5703125" style="444" customWidth="1"/>
    <col min="40" max="40" width="7" style="44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0"/>
      <c r="D1" s="99">
        <f ca="1">TODAY()</f>
        <v>44208</v>
      </c>
      <c r="E1" s="543">
        <v>41471</v>
      </c>
      <c r="F1" s="543"/>
      <c r="G1" s="543"/>
      <c r="H1" s="67"/>
      <c r="I1" s="67"/>
      <c r="J1" s="67"/>
      <c r="K1" s="68"/>
      <c r="L1" s="67"/>
      <c r="M1" s="68"/>
      <c r="N1" s="68"/>
      <c r="O1" s="68"/>
      <c r="P1" s="68"/>
      <c r="Q1" s="210"/>
      <c r="R1" s="68"/>
      <c r="S1" s="68"/>
      <c r="T1" s="67"/>
      <c r="U1" s="67"/>
      <c r="V1" s="67"/>
      <c r="W1" s="67"/>
      <c r="X1" s="88"/>
      <c r="Y1" s="67"/>
      <c r="Z1" s="67"/>
      <c r="AA1" s="67"/>
      <c r="AB1" s="67"/>
      <c r="AC1" s="67"/>
      <c r="AD1" s="67"/>
      <c r="AE1" s="88"/>
      <c r="AF1" s="437"/>
      <c r="AG1" s="437"/>
      <c r="AH1" s="438"/>
      <c r="AI1" s="459"/>
      <c r="AJ1" s="439"/>
      <c r="AK1" s="438"/>
      <c r="AL1" s="438"/>
      <c r="AM1" s="438"/>
      <c r="AN1" s="43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7"/>
      <c r="D2" s="248"/>
      <c r="E2" s="210"/>
      <c r="F2" s="210"/>
      <c r="I2" s="249">
        <f>AVERAGE(I4:I23)</f>
        <v>6.9850000000000012</v>
      </c>
      <c r="J2" s="210"/>
      <c r="K2" s="210"/>
      <c r="M2" s="249">
        <f>AVERAGE(M4:M23)</f>
        <v>5.6550000000000002</v>
      </c>
      <c r="N2" s="210"/>
      <c r="O2" s="210"/>
      <c r="P2" s="210"/>
      <c r="Q2" s="249">
        <f t="shared" ref="Q2:V2" si="0">AVERAGE(Q4:Q23)</f>
        <v>5.3</v>
      </c>
      <c r="R2" s="250">
        <f t="shared" si="0"/>
        <v>0.86525687524104788</v>
      </c>
      <c r="S2" s="250">
        <f t="shared" si="0"/>
        <v>0.94083400692302577</v>
      </c>
      <c r="T2" s="251">
        <f t="shared" si="0"/>
        <v>44336</v>
      </c>
      <c r="U2" s="251">
        <f t="shared" si="0"/>
        <v>373</v>
      </c>
      <c r="V2" s="251">
        <f t="shared" si="0"/>
        <v>11966.6</v>
      </c>
      <c r="W2" s="76"/>
      <c r="X2" s="252">
        <f>(X4+X5)/2</f>
        <v>14.475</v>
      </c>
      <c r="Y2" s="252">
        <f>AVERAGE(Y4:Y20)</f>
        <v>8.0970588235294123</v>
      </c>
      <c r="Z2" s="252">
        <f>AVERAGE(Z14:Z19)</f>
        <v>13.074074074074071</v>
      </c>
      <c r="AA2" s="252">
        <f>AVERAGE(AA12:AA13)</f>
        <v>1</v>
      </c>
      <c r="AB2" s="252">
        <f>AVERAGE(AB5:AB23)</f>
        <v>4.9894736842105267</v>
      </c>
      <c r="AC2" s="252">
        <f>AVERAGE(AC21:AC23)</f>
        <v>6.3</v>
      </c>
      <c r="AD2" s="252">
        <f>AVERAGE(AD4:AD23)</f>
        <v>16.977083333333333</v>
      </c>
      <c r="AE2" s="76"/>
      <c r="AF2" s="440"/>
      <c r="AG2" s="440"/>
      <c r="AH2" s="441"/>
      <c r="AI2" s="440"/>
      <c r="AJ2" s="441"/>
      <c r="AK2" s="441"/>
      <c r="AL2" s="441"/>
      <c r="AM2" s="441"/>
      <c r="AN2" s="44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6" t="s">
        <v>101</v>
      </c>
      <c r="S3" s="146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8" t="s">
        <v>114</v>
      </c>
      <c r="AG3" s="98" t="s">
        <v>115</v>
      </c>
      <c r="AH3" s="98" t="s">
        <v>116</v>
      </c>
      <c r="AI3" s="98" t="s">
        <v>117</v>
      </c>
      <c r="AJ3" s="98" t="s">
        <v>118</v>
      </c>
      <c r="AK3" s="98" t="s">
        <v>119</v>
      </c>
      <c r="AL3" s="98" t="s">
        <v>120</v>
      </c>
      <c r="AM3" s="98" t="s">
        <v>121</v>
      </c>
      <c r="AN3" s="98" t="s">
        <v>122</v>
      </c>
      <c r="AO3" s="81" t="s">
        <v>123</v>
      </c>
      <c r="AP3" s="81" t="s">
        <v>124</v>
      </c>
      <c r="AQ3" s="81" t="s">
        <v>125</v>
      </c>
      <c r="AR3" s="123" t="s">
        <v>126</v>
      </c>
      <c r="AS3" s="123" t="s">
        <v>127</v>
      </c>
      <c r="AT3" s="123" t="s">
        <v>128</v>
      </c>
      <c r="AU3" s="123" t="s">
        <v>129</v>
      </c>
      <c r="AV3" s="123" t="s">
        <v>130</v>
      </c>
      <c r="AW3" s="123" t="s">
        <v>131</v>
      </c>
      <c r="AX3" s="123" t="s">
        <v>132</v>
      </c>
      <c r="AY3" s="123" t="s">
        <v>133</v>
      </c>
      <c r="AZ3" s="123" t="s">
        <v>134</v>
      </c>
      <c r="BA3" s="123" t="s">
        <v>135</v>
      </c>
      <c r="BB3" s="123" t="s">
        <v>136</v>
      </c>
      <c r="BC3" s="123" t="s">
        <v>137</v>
      </c>
      <c r="BD3" s="123" t="s">
        <v>138</v>
      </c>
      <c r="BE3" s="123" t="s">
        <v>139</v>
      </c>
      <c r="BF3" s="123" t="s">
        <v>140</v>
      </c>
      <c r="BG3" s="123" t="s">
        <v>141</v>
      </c>
      <c r="BH3" s="241" t="s">
        <v>142</v>
      </c>
    </row>
    <row r="4" spans="1:63" x14ac:dyDescent="0.25">
      <c r="A4" s="5" t="s">
        <v>143</v>
      </c>
      <c r="B4" s="5" t="s">
        <v>14</v>
      </c>
      <c r="C4" s="111">
        <f t="shared" ref="C4:C23" ca="1" si="1">((34*112)-(E4*112)-(F4))/112</f>
        <v>-6.0892857142857144</v>
      </c>
      <c r="D4" s="458" t="s">
        <v>144</v>
      </c>
      <c r="E4" s="55">
        <v>38</v>
      </c>
      <c r="F4" s="56">
        <f ca="1">-42406+$D$1-112-112-112-112-112-112-112-112-112-112-112-112-112-112</f>
        <v>234</v>
      </c>
      <c r="G4" s="71"/>
      <c r="H4" s="236">
        <v>6</v>
      </c>
      <c r="I4" s="57">
        <v>25.5</v>
      </c>
      <c r="J4" s="143">
        <f t="shared" ref="J4:J23" si="2">LOG(I4+1)*4/3</f>
        <v>1.8976611652490771</v>
      </c>
      <c r="K4" s="85">
        <f t="shared" ref="K4:K23" si="3">(H4)*(H4)*(I4)</f>
        <v>918</v>
      </c>
      <c r="L4" s="85">
        <f t="shared" ref="L4:L23" si="4">(H4+1)*(H4+1)*I4</f>
        <v>1249.5</v>
      </c>
      <c r="M4" s="79">
        <v>2.1</v>
      </c>
      <c r="N4" s="140">
        <f t="shared" ref="N4:N23" si="5">M4*10+19</f>
        <v>40</v>
      </c>
      <c r="O4" s="234">
        <v>42468</v>
      </c>
      <c r="P4" s="235">
        <f ca="1">IF((TODAY()-O4)&gt;335,1,((TODAY()-O4)^0.64)/(336^0.64))</f>
        <v>1</v>
      </c>
      <c r="Q4" s="140">
        <v>6</v>
      </c>
      <c r="R4" s="156">
        <f t="shared" ref="R4:R23" si="6">(Q4/7)^0.5</f>
        <v>0.92582009977255142</v>
      </c>
      <c r="S4" s="156">
        <f t="shared" ref="S4:S23" si="7">IF(Q4=7,1,((Q4+0.99)/7)^0.5)</f>
        <v>0.99928545900129484</v>
      </c>
      <c r="T4" s="93">
        <v>10560</v>
      </c>
      <c r="U4" s="209">
        <f t="shared" ref="U4:U23" si="8">T4-BG4</f>
        <v>-530</v>
      </c>
      <c r="V4" s="93">
        <v>3228</v>
      </c>
      <c r="W4" s="91">
        <f t="shared" ref="W4:W24" si="9">T4/V4</f>
        <v>3.2713754646840147</v>
      </c>
      <c r="X4" s="142">
        <v>13.95</v>
      </c>
      <c r="Y4" s="143">
        <v>8.9499999999999993</v>
      </c>
      <c r="Z4" s="142">
        <v>0.95</v>
      </c>
      <c r="AA4" s="143">
        <v>0</v>
      </c>
      <c r="AB4" s="142">
        <v>0</v>
      </c>
      <c r="AC4" s="143">
        <v>0</v>
      </c>
      <c r="AD4" s="142">
        <v>17.95</v>
      </c>
      <c r="AE4" s="239">
        <v>865</v>
      </c>
      <c r="AF4" s="442">
        <f t="shared" ref="AF4:AF23" ca="1" si="10">(Z4+P4+J4)*(Q4/7)^0.5</f>
        <v>3.5622420439018718</v>
      </c>
      <c r="AG4" s="442">
        <f t="shared" ref="AG4:AG23" ca="1" si="11">(Z4+P4+J4)*(IF(Q4=7,(Q4/7)^0.5,((Q4+1)/7)^0.5))</f>
        <v>3.8476611652490771</v>
      </c>
      <c r="AH4" s="91">
        <f t="shared" ref="AH4:AH23" ca="1" si="12">(((Y4+P4+J4)+(AB4+P4+J4)*2)/8)*(Q4/7)^0.5</f>
        <v>2.0417785925397722</v>
      </c>
      <c r="AI4" s="90">
        <f t="shared" ref="AI4:AI23" ca="1" si="13">(1.66*(AC4+J4+P4)+0.55*(AD4+J4+P4)-7.6)*(Q4/7)^0.5</f>
        <v>8.0327217942837894</v>
      </c>
      <c r="AJ4" s="91">
        <f t="shared" ref="AJ4:AJ23" ca="1" si="14">((AD4+J4+P4)*0.7+(AC4+J4+P4)*0.3)*(Q4/7)^0.5</f>
        <v>14.315642502760054</v>
      </c>
      <c r="AK4" s="91">
        <f t="shared" ref="AK4:AK23" ca="1" si="15">(0.5*(AC4+P4+J4)+0.3*(AD4+P4+J4))/10</f>
        <v>0.77031289321992613</v>
      </c>
      <c r="AL4" s="91">
        <f t="shared" ref="AL4:AL23" ca="1" si="16">(0.4*(Y4+P4+J4)+0.3*(AD4+P4+J4))/10</f>
        <v>1.0993362815674352</v>
      </c>
      <c r="AM4" s="443">
        <f t="shared" ref="AM4:AM23" ca="1" si="17">(AD4+P4+(LOG(I4)*4/3))*(Q4/7)^0.5</f>
        <v>19.280561784267807</v>
      </c>
      <c r="AN4" s="443">
        <f t="shared" ref="AN4:AN23" ca="1" si="18">(AD4+P4+(LOG(I4)*4/3))*(IF(Q4=7,(Q4/7)^0.5,((Q4+1)/7)^0.5))</f>
        <v>20.825386907245274</v>
      </c>
      <c r="AO4" s="140">
        <v>2</v>
      </c>
      <c r="AP4" s="140">
        <v>2</v>
      </c>
      <c r="AQ4" s="156">
        <f t="shared" ref="AQ4:AQ23" si="19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0"/>
      <c r="AS4" s="240"/>
      <c r="AT4" s="240"/>
      <c r="AU4" s="240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93">
        <v>11090</v>
      </c>
      <c r="BH4" s="242"/>
      <c r="BJ4" s="112"/>
      <c r="BK4" s="114"/>
    </row>
    <row r="5" spans="1:63" x14ac:dyDescent="0.25">
      <c r="A5" s="5" t="s">
        <v>145</v>
      </c>
      <c r="B5" s="5" t="s">
        <v>14</v>
      </c>
      <c r="C5" s="111">
        <f t="shared" ca="1" si="1"/>
        <v>9.5625</v>
      </c>
      <c r="D5" s="457" t="s">
        <v>706</v>
      </c>
      <c r="E5" s="55">
        <v>23</v>
      </c>
      <c r="F5" s="56">
        <f ca="1">82-44017+$D$1-112</f>
        <v>161</v>
      </c>
      <c r="G5" s="71" t="s">
        <v>146</v>
      </c>
      <c r="H5" s="110">
        <v>0</v>
      </c>
      <c r="I5" s="57">
        <v>3.5</v>
      </c>
      <c r="J5" s="143">
        <f t="shared" si="2"/>
        <v>0.87095001836712493</v>
      </c>
      <c r="K5" s="85">
        <f t="shared" si="3"/>
        <v>0</v>
      </c>
      <c r="L5" s="85">
        <f t="shared" si="4"/>
        <v>3.5</v>
      </c>
      <c r="M5" s="79">
        <v>7</v>
      </c>
      <c r="N5" s="140">
        <f t="shared" si="5"/>
        <v>89</v>
      </c>
      <c r="O5" s="456">
        <v>43878</v>
      </c>
      <c r="P5" s="235">
        <f ca="1">IF((TODAY()-O5)&gt;335,1,((TODAY()-O5)^0.64)/(336^0.64))</f>
        <v>0.98853439333029636</v>
      </c>
      <c r="Q5" s="140">
        <v>4</v>
      </c>
      <c r="R5" s="156">
        <f t="shared" si="6"/>
        <v>0.7559289460184544</v>
      </c>
      <c r="S5" s="156">
        <f t="shared" si="7"/>
        <v>0.84430867747355465</v>
      </c>
      <c r="T5" s="93">
        <v>56980</v>
      </c>
      <c r="U5" s="209">
        <f t="shared" si="8"/>
        <v>-6440</v>
      </c>
      <c r="V5" s="93">
        <v>30828</v>
      </c>
      <c r="W5" s="91">
        <f t="shared" si="9"/>
        <v>1.8483197093551318</v>
      </c>
      <c r="X5" s="142">
        <v>15</v>
      </c>
      <c r="Y5" s="143">
        <v>5</v>
      </c>
      <c r="Z5" s="142">
        <v>2</v>
      </c>
      <c r="AA5" s="143">
        <v>1</v>
      </c>
      <c r="AB5" s="142">
        <v>5</v>
      </c>
      <c r="AC5" s="143">
        <f>3+1/7</f>
        <v>3.1428571428571428</v>
      </c>
      <c r="AD5" s="142">
        <f>20+1/8</f>
        <v>20.125</v>
      </c>
      <c r="AE5" s="239">
        <v>1196</v>
      </c>
      <c r="AF5" s="442">
        <f t="shared" ca="1" si="10"/>
        <v>2.9174959835090859</v>
      </c>
      <c r="AG5" s="442">
        <f t="shared" ca="1" si="11"/>
        <v>3.2618596716044612</v>
      </c>
      <c r="AH5" s="91">
        <f t="shared" ca="1" si="12"/>
        <v>1.9444810580866683</v>
      </c>
      <c r="AI5" s="90">
        <f t="shared" ca="1" si="13"/>
        <v>9.6723780148827352</v>
      </c>
      <c r="AJ5" s="91">
        <f t="shared" ca="1" si="14"/>
        <v>12.767520124753124</v>
      </c>
      <c r="AK5" s="91">
        <f t="shared" ca="1" si="15"/>
        <v>0.90965161007865092</v>
      </c>
      <c r="AL5" s="91">
        <f t="shared" ca="1" si="16"/>
        <v>0.93391390881881953</v>
      </c>
      <c r="AM5" s="443">
        <f t="shared" ca="1" si="17"/>
        <v>16.508700845111925</v>
      </c>
      <c r="AN5" s="443">
        <f t="shared" ca="1" si="18"/>
        <v>18.457288654939248</v>
      </c>
      <c r="AO5" s="140">
        <v>4</v>
      </c>
      <c r="AP5" s="140">
        <v>3</v>
      </c>
      <c r="AQ5" s="156">
        <f t="shared" si="19"/>
        <v>0.157</v>
      </c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93">
        <v>63420</v>
      </c>
      <c r="BH5" s="242"/>
      <c r="BJ5" s="112"/>
      <c r="BK5" s="114"/>
    </row>
    <row r="6" spans="1:63" x14ac:dyDescent="0.25">
      <c r="A6" s="86" t="s">
        <v>147</v>
      </c>
      <c r="B6" s="5" t="s">
        <v>37</v>
      </c>
      <c r="C6" s="111">
        <f t="shared" ca="1" si="1"/>
        <v>-7.1875</v>
      </c>
      <c r="D6" s="458" t="s">
        <v>148</v>
      </c>
      <c r="E6" s="55">
        <v>40</v>
      </c>
      <c r="F6" s="56">
        <f ca="1">7-44000+$D$1+30-112</f>
        <v>133</v>
      </c>
      <c r="G6" s="71"/>
      <c r="H6" s="110">
        <v>4</v>
      </c>
      <c r="I6" s="57">
        <v>19.100000000000001</v>
      </c>
      <c r="J6" s="143">
        <f t="shared" si="2"/>
        <v>1.7375947432273184</v>
      </c>
      <c r="K6" s="85">
        <f t="shared" si="3"/>
        <v>305.60000000000002</v>
      </c>
      <c r="L6" s="85">
        <f t="shared" si="4"/>
        <v>477.50000000000006</v>
      </c>
      <c r="M6" s="79">
        <v>1.2</v>
      </c>
      <c r="N6" s="140">
        <f t="shared" si="5"/>
        <v>31</v>
      </c>
      <c r="O6" s="140" t="s">
        <v>149</v>
      </c>
      <c r="P6" s="235">
        <v>1.5</v>
      </c>
      <c r="Q6" s="140">
        <v>3</v>
      </c>
      <c r="R6" s="156">
        <f t="shared" si="6"/>
        <v>0.65465367070797709</v>
      </c>
      <c r="S6" s="156">
        <f t="shared" si="7"/>
        <v>0.75498344352707503</v>
      </c>
      <c r="T6" s="93">
        <v>220</v>
      </c>
      <c r="U6" s="209">
        <f t="shared" si="8"/>
        <v>10</v>
      </c>
      <c r="V6" s="93">
        <v>310</v>
      </c>
      <c r="W6" s="91">
        <f t="shared" si="9"/>
        <v>0.70967741935483875</v>
      </c>
      <c r="X6" s="142">
        <v>0</v>
      </c>
      <c r="Y6" s="143">
        <v>7.75</v>
      </c>
      <c r="Z6" s="142">
        <v>7.95</v>
      </c>
      <c r="AA6" s="143">
        <v>3.95</v>
      </c>
      <c r="AB6" s="142">
        <v>3.95</v>
      </c>
      <c r="AC6" s="143">
        <v>0</v>
      </c>
      <c r="AD6" s="142">
        <v>15</v>
      </c>
      <c r="AE6" s="239">
        <v>660</v>
      </c>
      <c r="AF6" s="442">
        <f t="shared" si="10"/>
        <v>7.3239999650470322</v>
      </c>
      <c r="AG6" s="442">
        <f t="shared" si="11"/>
        <v>8.4570267027294275</v>
      </c>
      <c r="AH6" s="91">
        <f t="shared" si="12"/>
        <v>2.0754799744169605</v>
      </c>
      <c r="AI6" s="90">
        <f t="shared" si="13"/>
        <v>5.1096271412103249</v>
      </c>
      <c r="AJ6" s="91">
        <f t="shared" si="14"/>
        <v>8.9933668253523731</v>
      </c>
      <c r="AK6" s="91">
        <f t="shared" si="15"/>
        <v>0.70900757945818549</v>
      </c>
      <c r="AL6" s="91">
        <f t="shared" si="16"/>
        <v>0.98663163202591231</v>
      </c>
      <c r="AM6" s="443">
        <f t="shared" si="17"/>
        <v>11.919963161572454</v>
      </c>
      <c r="AN6" s="443">
        <f t="shared" si="18"/>
        <v>13.763987880128559</v>
      </c>
      <c r="AO6" s="140">
        <v>2</v>
      </c>
      <c r="AP6" s="140">
        <v>3</v>
      </c>
      <c r="AQ6" s="156">
        <f t="shared" si="19"/>
        <v>6.1499999999999999E-2</v>
      </c>
      <c r="AR6" s="240"/>
      <c r="AS6" s="240"/>
      <c r="AT6" s="240"/>
      <c r="AU6" s="240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93">
        <v>210</v>
      </c>
      <c r="BH6" s="242"/>
      <c r="BJ6" s="112"/>
      <c r="BK6" s="114"/>
    </row>
    <row r="7" spans="1:63" s="1" customFormat="1" x14ac:dyDescent="0.25">
      <c r="A7" s="86" t="s">
        <v>150</v>
      </c>
      <c r="B7" s="5" t="s">
        <v>37</v>
      </c>
      <c r="C7" s="111">
        <f t="shared" ca="1" si="1"/>
        <v>-3.2589285714285716</v>
      </c>
      <c r="D7" s="458" t="s">
        <v>151</v>
      </c>
      <c r="E7" s="55">
        <v>36</v>
      </c>
      <c r="F7" s="56">
        <f ca="1">75-41471+$D$1-24-112-10-112-112+6-112-112-112+45-112-112-112-112-112-112-112-112-112-112-112-112-112-112-112-112-112-112</f>
        <v>141</v>
      </c>
      <c r="G7" s="71"/>
      <c r="H7" s="113">
        <v>4</v>
      </c>
      <c r="I7" s="57">
        <v>7.1</v>
      </c>
      <c r="J7" s="143">
        <f t="shared" si="2"/>
        <v>1.2113133585048663</v>
      </c>
      <c r="K7" s="85">
        <f t="shared" si="3"/>
        <v>113.6</v>
      </c>
      <c r="L7" s="85">
        <f t="shared" si="4"/>
        <v>177.5</v>
      </c>
      <c r="M7" s="79">
        <v>3</v>
      </c>
      <c r="N7" s="140">
        <f t="shared" si="5"/>
        <v>49</v>
      </c>
      <c r="O7" s="140" t="s">
        <v>149</v>
      </c>
      <c r="P7" s="235">
        <v>1.5</v>
      </c>
      <c r="Q7" s="140">
        <v>3</v>
      </c>
      <c r="R7" s="156">
        <f t="shared" si="6"/>
        <v>0.65465367070797709</v>
      </c>
      <c r="S7" s="156">
        <f t="shared" si="7"/>
        <v>0.75498344352707503</v>
      </c>
      <c r="T7" s="93">
        <v>850</v>
      </c>
      <c r="U7" s="209">
        <f t="shared" si="8"/>
        <v>-70</v>
      </c>
      <c r="V7" s="93">
        <v>470</v>
      </c>
      <c r="W7" s="91">
        <f t="shared" si="9"/>
        <v>1.8085106382978724</v>
      </c>
      <c r="X7" s="142">
        <v>0</v>
      </c>
      <c r="Y7" s="143">
        <v>8.9499999999999975</v>
      </c>
      <c r="Z7" s="142">
        <v>7.95</v>
      </c>
      <c r="AA7" s="143">
        <v>4.95</v>
      </c>
      <c r="AB7" s="142">
        <v>7.95</v>
      </c>
      <c r="AC7" s="143">
        <v>0.95</v>
      </c>
      <c r="AD7" s="142">
        <v>14</v>
      </c>
      <c r="AE7" s="239">
        <v>829</v>
      </c>
      <c r="AF7" s="442">
        <f t="shared" si="10"/>
        <v>6.9794679247132025</v>
      </c>
      <c r="AG7" s="442">
        <f t="shared" si="11"/>
        <v>8.0591953702670516</v>
      </c>
      <c r="AH7" s="91">
        <f t="shared" si="12"/>
        <v>2.6991321806059476</v>
      </c>
      <c r="AI7" s="90">
        <f t="shared" si="13"/>
        <v>5.0205406518896529</v>
      </c>
      <c r="AJ7" s="91">
        <f t="shared" si="14"/>
        <v>8.3771535116747327</v>
      </c>
      <c r="AK7" s="91">
        <f t="shared" si="15"/>
        <v>0.68440506868038931</v>
      </c>
      <c r="AL7" s="91">
        <f t="shared" si="16"/>
        <v>0.96779193509534056</v>
      </c>
      <c r="AM7" s="443">
        <f t="shared" si="17"/>
        <v>10.890171099586649</v>
      </c>
      <c r="AN7" s="443">
        <f t="shared" si="18"/>
        <v>12.574886431734869</v>
      </c>
      <c r="AO7" s="140">
        <v>3</v>
      </c>
      <c r="AP7" s="140">
        <v>2</v>
      </c>
      <c r="AQ7" s="156">
        <f t="shared" si="19"/>
        <v>0.1158</v>
      </c>
      <c r="AR7" s="240"/>
      <c r="AS7" s="240"/>
      <c r="AT7" s="240"/>
      <c r="AU7" s="240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93">
        <v>920</v>
      </c>
      <c r="BH7" s="242"/>
      <c r="BJ7" s="112"/>
      <c r="BK7" s="114"/>
    </row>
    <row r="8" spans="1:63" s="66" customFormat="1" x14ac:dyDescent="0.25">
      <c r="A8" s="5" t="s">
        <v>155</v>
      </c>
      <c r="B8" s="5" t="s">
        <v>37</v>
      </c>
      <c r="C8" s="111">
        <f t="shared" ca="1" si="1"/>
        <v>3.3214285714285716</v>
      </c>
      <c r="D8" s="458" t="s">
        <v>156</v>
      </c>
      <c r="E8" s="55">
        <v>29</v>
      </c>
      <c r="F8" s="56">
        <f ca="1">-43570+$D$1-106-112-112-120</f>
        <v>188</v>
      </c>
      <c r="G8" s="71" t="s">
        <v>157</v>
      </c>
      <c r="H8" s="110">
        <v>3</v>
      </c>
      <c r="I8" s="57">
        <v>5.8</v>
      </c>
      <c r="J8" s="143">
        <f t="shared" si="2"/>
        <v>1.110011883608315</v>
      </c>
      <c r="K8" s="85">
        <f t="shared" si="3"/>
        <v>52.199999999999996</v>
      </c>
      <c r="L8" s="85">
        <f t="shared" si="4"/>
        <v>92.8</v>
      </c>
      <c r="M8" s="79">
        <v>6</v>
      </c>
      <c r="N8" s="140">
        <f t="shared" si="5"/>
        <v>79</v>
      </c>
      <c r="O8" s="234">
        <v>43982</v>
      </c>
      <c r="P8" s="235">
        <f t="shared" ref="P8:P21" ca="1" si="20">IF((TODAY()-O8)&gt;335,1,((TODAY()-O8)^0.64)/(336^0.64))</f>
        <v>0.77584017284391016</v>
      </c>
      <c r="Q8" s="140">
        <v>6</v>
      </c>
      <c r="R8" s="156">
        <f t="shared" si="6"/>
        <v>0.92582009977255142</v>
      </c>
      <c r="S8" s="156">
        <f t="shared" si="7"/>
        <v>0.99928545900129484</v>
      </c>
      <c r="T8" s="93">
        <v>42700</v>
      </c>
      <c r="U8" s="209">
        <f t="shared" si="8"/>
        <v>530</v>
      </c>
      <c r="V8" s="93">
        <v>14712</v>
      </c>
      <c r="W8" s="91">
        <f t="shared" si="9"/>
        <v>2.9023926046764545</v>
      </c>
      <c r="X8" s="142">
        <v>0</v>
      </c>
      <c r="Y8" s="143">
        <v>13</v>
      </c>
      <c r="Z8" s="142">
        <v>6</v>
      </c>
      <c r="AA8" s="143">
        <v>2</v>
      </c>
      <c r="AB8" s="142">
        <v>1</v>
      </c>
      <c r="AC8" s="143">
        <v>7</v>
      </c>
      <c r="AD8" s="142">
        <f>16+0/4</f>
        <v>16</v>
      </c>
      <c r="AE8" s="239">
        <v>1256</v>
      </c>
      <c r="AF8" s="442">
        <f t="shared" ca="1" si="10"/>
        <v>7.3008803376961797</v>
      </c>
      <c r="AG8" s="442">
        <f t="shared" ca="1" si="11"/>
        <v>7.8858520564522259</v>
      </c>
      <c r="AH8" s="91">
        <f t="shared" ca="1" si="12"/>
        <v>2.3906475892213601</v>
      </c>
      <c r="AI8" s="90">
        <f t="shared" ca="1" si="13"/>
        <v>15.727584702408631</v>
      </c>
      <c r="AJ8" s="91">
        <f t="shared" ca="1" si="14"/>
        <v>14.059367066035804</v>
      </c>
      <c r="AK8" s="91">
        <f t="shared" ca="1" si="15"/>
        <v>0.98086816451617798</v>
      </c>
      <c r="AL8" s="91">
        <f t="shared" ca="1" si="16"/>
        <v>1.1320096439516558</v>
      </c>
      <c r="AM8" s="443">
        <f t="shared" ca="1" si="17"/>
        <v>16.47380599748352</v>
      </c>
      <c r="AN8" s="443">
        <f t="shared" ca="1" si="18"/>
        <v>17.79374416426116</v>
      </c>
      <c r="AO8" s="140">
        <v>1</v>
      </c>
      <c r="AP8" s="140">
        <v>2</v>
      </c>
      <c r="AQ8" s="156">
        <f t="shared" si="19"/>
        <v>4.9399999999999999E-2</v>
      </c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93">
        <v>42170</v>
      </c>
      <c r="BH8" s="242">
        <v>1900</v>
      </c>
      <c r="BI8" s="446"/>
      <c r="BJ8" s="112"/>
      <c r="BK8" s="141"/>
    </row>
    <row r="9" spans="1:63" x14ac:dyDescent="0.25">
      <c r="A9" s="5" t="s">
        <v>155</v>
      </c>
      <c r="B9" s="5" t="s">
        <v>37</v>
      </c>
      <c r="C9" s="111">
        <f t="shared" ca="1" si="1"/>
        <v>10.303571428571429</v>
      </c>
      <c r="D9" s="457" t="s">
        <v>158</v>
      </c>
      <c r="E9" s="55">
        <v>22</v>
      </c>
      <c r="F9" s="56">
        <f ca="1">84-41471+$D$1-2631</f>
        <v>190</v>
      </c>
      <c r="G9" s="71" t="s">
        <v>146</v>
      </c>
      <c r="H9" s="113">
        <v>2</v>
      </c>
      <c r="I9" s="57">
        <v>4.7</v>
      </c>
      <c r="J9" s="143">
        <f t="shared" si="2"/>
        <v>1.0078331408966552</v>
      </c>
      <c r="K9" s="85">
        <f t="shared" si="3"/>
        <v>18.8</v>
      </c>
      <c r="L9" s="85">
        <f t="shared" si="4"/>
        <v>42.300000000000004</v>
      </c>
      <c r="M9" s="79">
        <v>7</v>
      </c>
      <c r="N9" s="140">
        <f t="shared" si="5"/>
        <v>89</v>
      </c>
      <c r="O9" s="456">
        <v>43884</v>
      </c>
      <c r="P9" s="235">
        <f t="shared" ca="1" si="20"/>
        <v>0.97699348799428654</v>
      </c>
      <c r="Q9" s="140">
        <v>6</v>
      </c>
      <c r="R9" s="156">
        <f t="shared" si="6"/>
        <v>0.92582009977255142</v>
      </c>
      <c r="S9" s="156">
        <f t="shared" si="7"/>
        <v>0.99928545900129484</v>
      </c>
      <c r="T9" s="93">
        <v>47600</v>
      </c>
      <c r="U9" s="209">
        <f t="shared" si="8"/>
        <v>970</v>
      </c>
      <c r="V9" s="93">
        <v>9276</v>
      </c>
      <c r="W9" s="91">
        <f t="shared" si="9"/>
        <v>5.1315222078482101</v>
      </c>
      <c r="X9" s="142">
        <v>0</v>
      </c>
      <c r="Y9" s="143">
        <v>12</v>
      </c>
      <c r="Z9" s="142">
        <f>7+0/5+2/10</f>
        <v>7.2</v>
      </c>
      <c r="AA9" s="143">
        <v>1</v>
      </c>
      <c r="AB9" s="142">
        <v>3</v>
      </c>
      <c r="AC9" s="143">
        <f>6+2/10</f>
        <v>6.2</v>
      </c>
      <c r="AD9" s="142">
        <f>16+2/4</f>
        <v>16.5</v>
      </c>
      <c r="AE9" s="239">
        <v>1170</v>
      </c>
      <c r="AF9" s="442">
        <f t="shared" ca="1" si="10"/>
        <v>8.5034971059533984</v>
      </c>
      <c r="AG9" s="442">
        <f t="shared" ca="1" si="11"/>
        <v>9.1848266288909421</v>
      </c>
      <c r="AH9" s="91">
        <f t="shared" ca="1" si="12"/>
        <v>2.7721923698348769</v>
      </c>
      <c r="AI9" s="90">
        <f t="shared" ca="1" si="13"/>
        <v>14.955204290599786</v>
      </c>
      <c r="AJ9" s="91">
        <f t="shared" ca="1" si="14"/>
        <v>14.252839925540941</v>
      </c>
      <c r="AK9" s="91">
        <f t="shared" ca="1" si="15"/>
        <v>0.96378613031127536</v>
      </c>
      <c r="AL9" s="91">
        <f t="shared" ca="1" si="16"/>
        <v>1.1139378640223658</v>
      </c>
      <c r="AM9" s="443">
        <f t="shared" ca="1" si="17"/>
        <v>17.010207462633719</v>
      </c>
      <c r="AN9" s="443">
        <f t="shared" ca="1" si="18"/>
        <v>18.373123965241909</v>
      </c>
      <c r="AO9" s="140">
        <v>2</v>
      </c>
      <c r="AP9" s="140">
        <v>3</v>
      </c>
      <c r="AQ9" s="156">
        <f t="shared" si="19"/>
        <v>6.1499999999999999E-2</v>
      </c>
      <c r="AR9" s="243">
        <v>56</v>
      </c>
      <c r="AS9" s="243">
        <v>17</v>
      </c>
      <c r="AT9" s="243">
        <v>12</v>
      </c>
      <c r="AU9" s="243">
        <v>18</v>
      </c>
      <c r="AV9" s="243">
        <f t="shared" ref="AV9:AV19" si="21">AR9*1+AS9*0.066</f>
        <v>57.122</v>
      </c>
      <c r="AW9" s="243">
        <f t="shared" ref="AW9:AW19" si="22">AR9*0.919+AS9*0.167</f>
        <v>54.302999999999997</v>
      </c>
      <c r="AX9" s="243">
        <f t="shared" ref="AX9:AX19" si="23">AR9*1+AS9*0.236</f>
        <v>60.012</v>
      </c>
      <c r="AY9" s="243">
        <f t="shared" ref="AY9:AY19" si="24">AR9*0.75+AS9*0.165</f>
        <v>44.805</v>
      </c>
      <c r="AZ9" s="243">
        <f t="shared" ref="AZ9:AZ19" si="25">AR9*0.73+AS9*0.38</f>
        <v>47.339999999999996</v>
      </c>
      <c r="BA9" s="243">
        <f t="shared" ref="BA9:BA19" si="26">AR9*0.45+AS9*1</f>
        <v>42.2</v>
      </c>
      <c r="BB9" s="243">
        <f t="shared" ref="BB9:BB19" si="27">AR9*0.65+AS9*0.95</f>
        <v>52.55</v>
      </c>
      <c r="BC9" s="243">
        <f t="shared" ref="BC9:BC19" si="28">AR9*0.3+AS9*0.53</f>
        <v>25.810000000000002</v>
      </c>
      <c r="BD9" s="243">
        <f t="shared" ref="BD9:BD19" si="29">AR9*0.4+AS9*0.44</f>
        <v>29.880000000000003</v>
      </c>
      <c r="BE9" s="243">
        <f t="shared" ref="BE9:BE19" si="30">AR9*0.25+AS9*0.73</f>
        <v>26.41</v>
      </c>
      <c r="BF9" s="243">
        <f t="shared" ref="BF9:BF19" si="31">AS9*0.46</f>
        <v>7.82</v>
      </c>
      <c r="BG9" s="93">
        <v>46630</v>
      </c>
      <c r="BH9" s="242"/>
      <c r="BI9" s="446">
        <f t="shared" ref="BI9:BI21" si="32">AU9+AT9+AS9+AR9</f>
        <v>103</v>
      </c>
      <c r="BJ9" s="112"/>
      <c r="BK9" s="114"/>
    </row>
    <row r="10" spans="1:63" s="66" customFormat="1" x14ac:dyDescent="0.25">
      <c r="A10" s="5" t="s">
        <v>159</v>
      </c>
      <c r="B10" s="5" t="s">
        <v>37</v>
      </c>
      <c r="C10" s="111">
        <f t="shared" ca="1" si="1"/>
        <v>10.098214285714286</v>
      </c>
      <c r="D10" s="457" t="s">
        <v>160</v>
      </c>
      <c r="E10" s="55">
        <v>22</v>
      </c>
      <c r="F10" s="56">
        <f ca="1">-43570+$D$1-89-112-112-112</f>
        <v>213</v>
      </c>
      <c r="G10" s="71" t="s">
        <v>161</v>
      </c>
      <c r="H10" s="110">
        <v>2</v>
      </c>
      <c r="I10" s="57">
        <v>4.7</v>
      </c>
      <c r="J10" s="143">
        <f t="shared" si="2"/>
        <v>1.0078331408966552</v>
      </c>
      <c r="K10" s="85">
        <f t="shared" si="3"/>
        <v>18.8</v>
      </c>
      <c r="L10" s="85">
        <f t="shared" si="4"/>
        <v>42.300000000000004</v>
      </c>
      <c r="M10" s="79">
        <v>7</v>
      </c>
      <c r="N10" s="140">
        <f t="shared" si="5"/>
        <v>89</v>
      </c>
      <c r="O10" s="234">
        <v>43739</v>
      </c>
      <c r="P10" s="235">
        <f t="shared" ca="1" si="20"/>
        <v>1</v>
      </c>
      <c r="Q10" s="140">
        <v>6</v>
      </c>
      <c r="R10" s="156">
        <f t="shared" si="6"/>
        <v>0.92582009977255142</v>
      </c>
      <c r="S10" s="156">
        <f t="shared" si="7"/>
        <v>0.99928545900129484</v>
      </c>
      <c r="T10" s="93">
        <v>44780</v>
      </c>
      <c r="U10" s="209">
        <f t="shared" si="8"/>
        <v>-30</v>
      </c>
      <c r="V10" s="93">
        <v>9564</v>
      </c>
      <c r="W10" s="91">
        <f t="shared" si="9"/>
        <v>4.6821413634462568</v>
      </c>
      <c r="X10" s="142">
        <v>0</v>
      </c>
      <c r="Y10" s="143">
        <v>12</v>
      </c>
      <c r="Z10" s="142">
        <f>7+0/5+3/10</f>
        <v>7.3</v>
      </c>
      <c r="AA10" s="143">
        <v>3</v>
      </c>
      <c r="AB10" s="142">
        <v>3</v>
      </c>
      <c r="AC10" s="143">
        <f>5+2/8</f>
        <v>5.25</v>
      </c>
      <c r="AD10" s="142">
        <f>15+2/3</f>
        <v>15.666666666666666</v>
      </c>
      <c r="AE10" s="239">
        <v>1136</v>
      </c>
      <c r="AF10" s="442">
        <f t="shared" ca="1" si="10"/>
        <v>8.6173790071712038</v>
      </c>
      <c r="AG10" s="442">
        <f t="shared" ca="1" si="11"/>
        <v>9.3078331408966566</v>
      </c>
      <c r="AH10" s="91">
        <f t="shared" ca="1" si="12"/>
        <v>2.7801798290500819</v>
      </c>
      <c r="AI10" s="90">
        <f t="shared" ca="1" si="13"/>
        <v>13.117924540504331</v>
      </c>
      <c r="AJ10" s="91">
        <f t="shared" ca="1" si="14"/>
        <v>13.470219363478993</v>
      </c>
      <c r="AK10" s="91">
        <f t="shared" ca="1" si="15"/>
        <v>0.89312665127173241</v>
      </c>
      <c r="AL10" s="91">
        <f t="shared" ca="1" si="16"/>
        <v>1.0905483198627659</v>
      </c>
      <c r="AM10" s="443">
        <f t="shared" ca="1" si="17"/>
        <v>16.259990604063809</v>
      </c>
      <c r="AN10" s="443">
        <f t="shared" ca="1" si="18"/>
        <v>17.562797143914288</v>
      </c>
      <c r="AO10" s="140">
        <v>2</v>
      </c>
      <c r="AP10" s="140">
        <v>2</v>
      </c>
      <c r="AQ10" s="156">
        <f t="shared" si="19"/>
        <v>6.1499999999999999E-2</v>
      </c>
      <c r="AR10" s="243">
        <v>56</v>
      </c>
      <c r="AS10" s="243">
        <f>17.5</f>
        <v>17.5</v>
      </c>
      <c r="AT10" s="243">
        <v>8</v>
      </c>
      <c r="AU10" s="243">
        <v>16</v>
      </c>
      <c r="AV10" s="243">
        <f t="shared" si="21"/>
        <v>57.155000000000001</v>
      </c>
      <c r="AW10" s="243">
        <f t="shared" si="22"/>
        <v>54.386499999999998</v>
      </c>
      <c r="AX10" s="243">
        <f t="shared" si="23"/>
        <v>60.13</v>
      </c>
      <c r="AY10" s="243">
        <f t="shared" si="24"/>
        <v>44.887500000000003</v>
      </c>
      <c r="AZ10" s="243">
        <f t="shared" si="25"/>
        <v>47.529999999999994</v>
      </c>
      <c r="BA10" s="243">
        <f t="shared" si="26"/>
        <v>42.7</v>
      </c>
      <c r="BB10" s="243">
        <f t="shared" si="27"/>
        <v>53.024999999999999</v>
      </c>
      <c r="BC10" s="243">
        <f t="shared" si="28"/>
        <v>26.075000000000003</v>
      </c>
      <c r="BD10" s="243">
        <f t="shared" si="29"/>
        <v>30.1</v>
      </c>
      <c r="BE10" s="243">
        <f t="shared" si="30"/>
        <v>26.774999999999999</v>
      </c>
      <c r="BF10" s="243">
        <f t="shared" si="31"/>
        <v>8.0500000000000007</v>
      </c>
      <c r="BG10" s="93">
        <v>44810</v>
      </c>
      <c r="BH10" s="242">
        <v>2040</v>
      </c>
      <c r="BI10" s="446">
        <f t="shared" si="32"/>
        <v>97.5</v>
      </c>
      <c r="BJ10" s="112"/>
      <c r="BK10" s="114"/>
    </row>
    <row r="11" spans="1:63" s="66" customFormat="1" x14ac:dyDescent="0.25">
      <c r="A11" s="5" t="s">
        <v>162</v>
      </c>
      <c r="B11" s="5" t="s">
        <v>37</v>
      </c>
      <c r="C11" s="111">
        <f t="shared" ca="1" si="1"/>
        <v>10.196428571428571</v>
      </c>
      <c r="D11" s="457" t="s">
        <v>163</v>
      </c>
      <c r="E11" s="55">
        <v>22</v>
      </c>
      <c r="F11" s="56">
        <f ca="1">-43670+$D$1-112-112-112</f>
        <v>202</v>
      </c>
      <c r="G11" s="71"/>
      <c r="H11" s="110">
        <v>3</v>
      </c>
      <c r="I11" s="57">
        <v>3.7</v>
      </c>
      <c r="J11" s="143">
        <f t="shared" si="2"/>
        <v>0.8961304772476234</v>
      </c>
      <c r="K11" s="85">
        <f t="shared" si="3"/>
        <v>33.300000000000004</v>
      </c>
      <c r="L11" s="85">
        <f t="shared" si="4"/>
        <v>59.2</v>
      </c>
      <c r="M11" s="79">
        <v>7</v>
      </c>
      <c r="N11" s="140">
        <f t="shared" si="5"/>
        <v>89</v>
      </c>
      <c r="O11" s="234">
        <v>43756</v>
      </c>
      <c r="P11" s="235">
        <f t="shared" ca="1" si="20"/>
        <v>1</v>
      </c>
      <c r="Q11" s="140">
        <v>6</v>
      </c>
      <c r="R11" s="156">
        <f t="shared" si="6"/>
        <v>0.92582009977255142</v>
      </c>
      <c r="S11" s="156">
        <f t="shared" si="7"/>
        <v>0.99928545900129484</v>
      </c>
      <c r="T11" s="511">
        <v>50630</v>
      </c>
      <c r="U11" s="209">
        <f t="shared" si="8"/>
        <v>2510</v>
      </c>
      <c r="V11" s="93">
        <v>9450</v>
      </c>
      <c r="W11" s="91">
        <f t="shared" si="9"/>
        <v>5.3576719576719576</v>
      </c>
      <c r="X11" s="142">
        <v>0</v>
      </c>
      <c r="Y11" s="143">
        <v>12</v>
      </c>
      <c r="Z11" s="142">
        <f>6+0/4+1/8</f>
        <v>6.125</v>
      </c>
      <c r="AA11" s="143">
        <v>3</v>
      </c>
      <c r="AB11" s="142">
        <v>5</v>
      </c>
      <c r="AC11" s="143">
        <f>6+2/10</f>
        <v>6.2</v>
      </c>
      <c r="AD11" s="142">
        <f>17+1/4</f>
        <v>17.25</v>
      </c>
      <c r="AE11" s="239">
        <v>1243</v>
      </c>
      <c r="AF11" s="442">
        <f t="shared" ca="1" si="10"/>
        <v>7.4261238187340481</v>
      </c>
      <c r="AG11" s="442">
        <f t="shared" ca="1" si="11"/>
        <v>8.021130477247624</v>
      </c>
      <c r="AH11" s="91">
        <f t="shared" ca="1" si="12"/>
        <v>3.2043086647347052</v>
      </c>
      <c r="AI11" s="90">
        <f t="shared" ca="1" si="13"/>
        <v>15.155627219035834</v>
      </c>
      <c r="AJ11" s="91">
        <f t="shared" ca="1" si="14"/>
        <v>14.656778797957674</v>
      </c>
      <c r="AK11" s="91">
        <f t="shared" ca="1" si="15"/>
        <v>0.97919043817980977</v>
      </c>
      <c r="AL11" s="91">
        <f t="shared" ca="1" si="16"/>
        <v>1.1302291334073338</v>
      </c>
      <c r="AM11" s="443">
        <f t="shared" ca="1" si="17"/>
        <v>17.597620256671252</v>
      </c>
      <c r="AN11" s="443">
        <f t="shared" ca="1" si="18"/>
        <v>19.007602298755994</v>
      </c>
      <c r="AO11" s="140">
        <v>3</v>
      </c>
      <c r="AP11" s="140">
        <v>1</v>
      </c>
      <c r="AQ11" s="156">
        <f t="shared" si="19"/>
        <v>0.1158</v>
      </c>
      <c r="AR11" s="243">
        <v>56</v>
      </c>
      <c r="AS11" s="243">
        <v>12.5</v>
      </c>
      <c r="AT11" s="243">
        <v>12</v>
      </c>
      <c r="AU11" s="243">
        <v>20</v>
      </c>
      <c r="AV11" s="243">
        <f t="shared" si="21"/>
        <v>56.825000000000003</v>
      </c>
      <c r="AW11" s="243">
        <f t="shared" si="22"/>
        <v>53.551499999999997</v>
      </c>
      <c r="AX11" s="243">
        <f t="shared" si="23"/>
        <v>58.95</v>
      </c>
      <c r="AY11" s="243">
        <f t="shared" si="24"/>
        <v>44.0625</v>
      </c>
      <c r="AZ11" s="243">
        <f t="shared" si="25"/>
        <v>45.629999999999995</v>
      </c>
      <c r="BA11" s="243">
        <f t="shared" si="26"/>
        <v>37.700000000000003</v>
      </c>
      <c r="BB11" s="243">
        <f t="shared" si="27"/>
        <v>48.274999999999999</v>
      </c>
      <c r="BC11" s="243">
        <f t="shared" si="28"/>
        <v>23.425000000000001</v>
      </c>
      <c r="BD11" s="243">
        <f t="shared" si="29"/>
        <v>27.900000000000002</v>
      </c>
      <c r="BE11" s="243">
        <f t="shared" si="30"/>
        <v>23.125</v>
      </c>
      <c r="BF11" s="243">
        <f t="shared" si="31"/>
        <v>5.75</v>
      </c>
      <c r="BG11" s="511">
        <v>48120</v>
      </c>
      <c r="BH11" s="242">
        <v>2121</v>
      </c>
      <c r="BI11" s="446">
        <f t="shared" si="32"/>
        <v>100.5</v>
      </c>
      <c r="BJ11" s="112"/>
      <c r="BK11" s="114"/>
    </row>
    <row r="12" spans="1:63" s="66" customFormat="1" x14ac:dyDescent="0.25">
      <c r="A12" s="5" t="s">
        <v>164</v>
      </c>
      <c r="B12" s="5" t="s">
        <v>37</v>
      </c>
      <c r="C12" s="111">
        <f t="shared" ca="1" si="1"/>
        <v>9.6964285714285712</v>
      </c>
      <c r="D12" s="457" t="s">
        <v>165</v>
      </c>
      <c r="E12" s="55">
        <v>23</v>
      </c>
      <c r="F12" s="56">
        <f ca="1">-43571+$D$1+15-112-112-112-58-112</f>
        <v>146</v>
      </c>
      <c r="G12" s="71"/>
      <c r="H12" s="110">
        <v>3</v>
      </c>
      <c r="I12" s="57">
        <v>3</v>
      </c>
      <c r="J12" s="143">
        <f t="shared" si="2"/>
        <v>0.80274665510394982</v>
      </c>
      <c r="K12" s="85">
        <f t="shared" si="3"/>
        <v>27</v>
      </c>
      <c r="L12" s="85">
        <f t="shared" si="4"/>
        <v>48</v>
      </c>
      <c r="M12" s="79">
        <v>6.6</v>
      </c>
      <c r="N12" s="140">
        <f t="shared" si="5"/>
        <v>85</v>
      </c>
      <c r="O12" s="234">
        <v>43920</v>
      </c>
      <c r="P12" s="235">
        <f t="shared" ca="1" si="20"/>
        <v>0.90605394289764585</v>
      </c>
      <c r="Q12" s="140">
        <v>5</v>
      </c>
      <c r="R12" s="156">
        <f t="shared" si="6"/>
        <v>0.84515425472851657</v>
      </c>
      <c r="S12" s="156">
        <f t="shared" si="7"/>
        <v>0.92504826128926143</v>
      </c>
      <c r="T12" s="511">
        <v>25380</v>
      </c>
      <c r="U12" s="209">
        <f t="shared" si="8"/>
        <v>-770</v>
      </c>
      <c r="V12" s="93">
        <v>5796</v>
      </c>
      <c r="W12" s="91">
        <f t="shared" si="9"/>
        <v>4.3788819875776399</v>
      </c>
      <c r="X12" s="142">
        <v>0</v>
      </c>
      <c r="Y12" s="143">
        <v>11</v>
      </c>
      <c r="Z12" s="142">
        <f>5+0/4+1/4*30/90</f>
        <v>5.083333333333333</v>
      </c>
      <c r="AA12" s="143">
        <v>1</v>
      </c>
      <c r="AB12" s="142">
        <v>5</v>
      </c>
      <c r="AC12" s="143">
        <f>6+2/10</f>
        <v>6.2</v>
      </c>
      <c r="AD12" s="142">
        <f>18+1/5</f>
        <v>18.2</v>
      </c>
      <c r="AE12" s="239">
        <v>1118</v>
      </c>
      <c r="AF12" s="442">
        <f t="shared" ca="1" si="10"/>
        <v>5.7404008907536408</v>
      </c>
      <c r="AG12" s="442">
        <f t="shared" ca="1" si="11"/>
        <v>6.2882941139770354</v>
      </c>
      <c r="AH12" s="91">
        <f t="shared" ca="1" si="12"/>
        <v>2.7601049546187371</v>
      </c>
      <c r="AI12" s="90">
        <f t="shared" ca="1" si="13"/>
        <v>13.926831555464554</v>
      </c>
      <c r="AJ12" s="91">
        <f t="shared" ca="1" si="14"/>
        <v>13.783452214920022</v>
      </c>
      <c r="AK12" s="91">
        <f t="shared" ca="1" si="15"/>
        <v>0.99270404784012756</v>
      </c>
      <c r="AL12" s="91">
        <f t="shared" ca="1" si="16"/>
        <v>1.1056160418601118</v>
      </c>
      <c r="AM12" s="443">
        <f t="shared" ca="1" si="17"/>
        <v>16.685217525509469</v>
      </c>
      <c r="AN12" s="443">
        <f t="shared" ca="1" si="18"/>
        <v>18.277740031204129</v>
      </c>
      <c r="AO12" s="140">
        <v>1</v>
      </c>
      <c r="AP12" s="140">
        <v>2</v>
      </c>
      <c r="AQ12" s="156">
        <f t="shared" si="19"/>
        <v>4.9399999999999999E-2</v>
      </c>
      <c r="AR12" s="243">
        <v>46</v>
      </c>
      <c r="AS12" s="243">
        <f>9+30/90</f>
        <v>9.3333333333333339</v>
      </c>
      <c r="AT12" s="243">
        <v>12</v>
      </c>
      <c r="AU12" s="243">
        <v>26</v>
      </c>
      <c r="AV12" s="243">
        <f t="shared" si="21"/>
        <v>46.616</v>
      </c>
      <c r="AW12" s="243">
        <f t="shared" si="22"/>
        <v>43.832666666666668</v>
      </c>
      <c r="AX12" s="243">
        <f t="shared" si="23"/>
        <v>48.202666666666666</v>
      </c>
      <c r="AY12" s="243">
        <f t="shared" si="24"/>
        <v>36.04</v>
      </c>
      <c r="AZ12" s="243">
        <f t="shared" si="25"/>
        <v>37.126666666666665</v>
      </c>
      <c r="BA12" s="243">
        <f t="shared" si="26"/>
        <v>30.033333333333331</v>
      </c>
      <c r="BB12" s="243">
        <f t="shared" si="27"/>
        <v>38.766666666666666</v>
      </c>
      <c r="BC12" s="243">
        <f t="shared" si="28"/>
        <v>18.746666666666666</v>
      </c>
      <c r="BD12" s="243">
        <f t="shared" si="29"/>
        <v>22.506666666666668</v>
      </c>
      <c r="BE12" s="243">
        <f t="shared" si="30"/>
        <v>18.313333333333333</v>
      </c>
      <c r="BF12" s="243">
        <f t="shared" si="31"/>
        <v>4.2933333333333339</v>
      </c>
      <c r="BG12" s="511">
        <v>26150</v>
      </c>
      <c r="BH12" s="242">
        <v>2017</v>
      </c>
      <c r="BI12" s="446">
        <f t="shared" si="32"/>
        <v>93.333333333333343</v>
      </c>
      <c r="BJ12" s="112"/>
      <c r="BK12" s="114"/>
    </row>
    <row r="13" spans="1:63" s="66" customFormat="1" x14ac:dyDescent="0.25">
      <c r="A13" s="5" t="s">
        <v>166</v>
      </c>
      <c r="B13" s="5" t="s">
        <v>37</v>
      </c>
      <c r="C13" s="111">
        <f t="shared" ca="1" si="1"/>
        <v>10.848214285714286</v>
      </c>
      <c r="D13" s="457" t="s">
        <v>167</v>
      </c>
      <c r="E13" s="55">
        <v>22</v>
      </c>
      <c r="F13" s="56">
        <f ca="1">-43657+$D$1-32-278-112</f>
        <v>129</v>
      </c>
      <c r="G13" s="71" t="s">
        <v>146</v>
      </c>
      <c r="H13" s="110">
        <v>3</v>
      </c>
      <c r="I13" s="57">
        <v>4</v>
      </c>
      <c r="J13" s="143">
        <f t="shared" si="2"/>
        <v>0.93196000578135851</v>
      </c>
      <c r="K13" s="85">
        <f t="shared" si="3"/>
        <v>36</v>
      </c>
      <c r="L13" s="85">
        <f t="shared" si="4"/>
        <v>64</v>
      </c>
      <c r="M13" s="79">
        <v>7</v>
      </c>
      <c r="N13" s="140">
        <f t="shared" si="5"/>
        <v>89</v>
      </c>
      <c r="O13" s="234">
        <v>43898</v>
      </c>
      <c r="P13" s="235">
        <f t="shared" ca="1" si="20"/>
        <v>0.94976103133873535</v>
      </c>
      <c r="Q13" s="140">
        <v>5</v>
      </c>
      <c r="R13" s="156">
        <f t="shared" si="6"/>
        <v>0.84515425472851657</v>
      </c>
      <c r="S13" s="156">
        <f t="shared" si="7"/>
        <v>0.92504826128926143</v>
      </c>
      <c r="T13" s="93">
        <v>32750</v>
      </c>
      <c r="U13" s="209">
        <f t="shared" si="8"/>
        <v>1850</v>
      </c>
      <c r="V13" s="93">
        <v>5748</v>
      </c>
      <c r="W13" s="91">
        <f t="shared" si="9"/>
        <v>5.6976339596381349</v>
      </c>
      <c r="X13" s="142">
        <v>0</v>
      </c>
      <c r="Y13" s="143">
        <v>11</v>
      </c>
      <c r="Z13" s="142">
        <f>7+0/5+1/10+1/10*60/90+1/5*30/90</f>
        <v>7.2333333333333325</v>
      </c>
      <c r="AA13" s="143">
        <v>1</v>
      </c>
      <c r="AB13" s="142">
        <v>6</v>
      </c>
      <c r="AC13" s="143">
        <f>5+2/8</f>
        <v>5.25</v>
      </c>
      <c r="AD13" s="142">
        <f>16+3/4</f>
        <v>16.75</v>
      </c>
      <c r="AE13" s="239">
        <v>1123</v>
      </c>
      <c r="AF13" s="442">
        <f t="shared" ca="1" si="10"/>
        <v>7.703626983270472</v>
      </c>
      <c r="AG13" s="442">
        <f t="shared" ca="1" si="11"/>
        <v>8.4389005466854208</v>
      </c>
      <c r="AH13" s="91">
        <f t="shared" ca="1" si="12"/>
        <v>3.0261976851198118</v>
      </c>
      <c r="AI13" s="90">
        <f t="shared" ca="1" si="13"/>
        <v>12.242992000731345</v>
      </c>
      <c r="AJ13" s="91">
        <f t="shared" ca="1" si="14"/>
        <v>12.830896128623474</v>
      </c>
      <c r="AK13" s="91">
        <f t="shared" ca="1" si="15"/>
        <v>0.91553768296960736</v>
      </c>
      <c r="AL13" s="91">
        <f t="shared" ca="1" si="16"/>
        <v>1.0742204725984066</v>
      </c>
      <c r="AM13" s="443">
        <f t="shared" ca="1" si="17"/>
        <v>15.637473094344116</v>
      </c>
      <c r="AN13" s="443">
        <f t="shared" ca="1" si="18"/>
        <v>17.129993512304765</v>
      </c>
      <c r="AO13" s="140">
        <v>3</v>
      </c>
      <c r="AP13" s="140">
        <v>3</v>
      </c>
      <c r="AQ13" s="156">
        <f t="shared" si="19"/>
        <v>0.1158</v>
      </c>
      <c r="AR13" s="243">
        <v>46</v>
      </c>
      <c r="AS13" s="243">
        <f>16.5+60/90</f>
        <v>17.166666666666668</v>
      </c>
      <c r="AT13" s="243">
        <v>8</v>
      </c>
      <c r="AU13" s="243">
        <v>19</v>
      </c>
      <c r="AV13" s="243">
        <f t="shared" si="21"/>
        <v>47.133000000000003</v>
      </c>
      <c r="AW13" s="243">
        <f t="shared" si="22"/>
        <v>45.140833333333333</v>
      </c>
      <c r="AX13" s="243">
        <f t="shared" si="23"/>
        <v>50.051333333333332</v>
      </c>
      <c r="AY13" s="243">
        <f t="shared" si="24"/>
        <v>37.332500000000003</v>
      </c>
      <c r="AZ13" s="243">
        <f t="shared" si="25"/>
        <v>40.103333333333332</v>
      </c>
      <c r="BA13" s="243">
        <f t="shared" si="26"/>
        <v>37.866666666666667</v>
      </c>
      <c r="BB13" s="243">
        <f t="shared" si="27"/>
        <v>46.208333333333336</v>
      </c>
      <c r="BC13" s="243">
        <f t="shared" si="28"/>
        <v>22.898333333333333</v>
      </c>
      <c r="BD13" s="243">
        <f t="shared" si="29"/>
        <v>25.953333333333337</v>
      </c>
      <c r="BE13" s="243">
        <f t="shared" si="30"/>
        <v>24.031666666666666</v>
      </c>
      <c r="BF13" s="243">
        <f t="shared" si="31"/>
        <v>7.8966666666666674</v>
      </c>
      <c r="BG13" s="93">
        <v>30900</v>
      </c>
      <c r="BH13" s="242">
        <v>5093</v>
      </c>
      <c r="BI13" s="446">
        <f t="shared" si="32"/>
        <v>90.166666666666671</v>
      </c>
      <c r="BJ13" s="112"/>
      <c r="BK13" s="114"/>
    </row>
    <row r="14" spans="1:63" s="66" customFormat="1" x14ac:dyDescent="0.25">
      <c r="A14" s="5" t="s">
        <v>168</v>
      </c>
      <c r="B14" s="5" t="s">
        <v>28</v>
      </c>
      <c r="C14" s="111">
        <f t="shared" ca="1" si="1"/>
        <v>10.3125</v>
      </c>
      <c r="D14" s="457" t="s">
        <v>169</v>
      </c>
      <c r="E14" s="55">
        <v>22</v>
      </c>
      <c r="F14" s="56">
        <f ca="1">-43571+$D$1-112-112-112-112</f>
        <v>189</v>
      </c>
      <c r="G14" s="71" t="s">
        <v>157</v>
      </c>
      <c r="H14" s="110">
        <v>4</v>
      </c>
      <c r="I14" s="57">
        <v>2.6</v>
      </c>
      <c r="J14" s="143">
        <f t="shared" si="2"/>
        <v>0.74173666768971636</v>
      </c>
      <c r="K14" s="85">
        <f t="shared" si="3"/>
        <v>41.6</v>
      </c>
      <c r="L14" s="85">
        <f t="shared" si="4"/>
        <v>65</v>
      </c>
      <c r="M14" s="79">
        <v>7</v>
      </c>
      <c r="N14" s="140">
        <f t="shared" si="5"/>
        <v>89</v>
      </c>
      <c r="O14" s="234">
        <v>43626</v>
      </c>
      <c r="P14" s="235">
        <f t="shared" ca="1" si="20"/>
        <v>1</v>
      </c>
      <c r="Q14" s="140">
        <v>6</v>
      </c>
      <c r="R14" s="156">
        <f t="shared" si="6"/>
        <v>0.92582009977255142</v>
      </c>
      <c r="S14" s="156">
        <f t="shared" si="7"/>
        <v>0.99928545900129484</v>
      </c>
      <c r="T14" s="93">
        <v>61710</v>
      </c>
      <c r="U14" s="209">
        <f t="shared" si="8"/>
        <v>-300</v>
      </c>
      <c r="V14" s="93">
        <v>19500</v>
      </c>
      <c r="W14" s="91">
        <f t="shared" si="9"/>
        <v>3.1646153846153848</v>
      </c>
      <c r="X14" s="142">
        <v>0</v>
      </c>
      <c r="Y14" s="143">
        <v>4</v>
      </c>
      <c r="Z14" s="142">
        <f>13+2/9</f>
        <v>13.222222222222221</v>
      </c>
      <c r="AA14" s="143">
        <v>3</v>
      </c>
      <c r="AB14" s="142">
        <v>4</v>
      </c>
      <c r="AC14" s="143">
        <f>7+2/10</f>
        <v>7.2</v>
      </c>
      <c r="AD14" s="142">
        <f>17+2/3</f>
        <v>17.666666666666668</v>
      </c>
      <c r="AE14" s="239">
        <v>1207</v>
      </c>
      <c r="AF14" s="442">
        <f t="shared" ca="1" si="10"/>
        <v>13.853933912450628</v>
      </c>
      <c r="AG14" s="442">
        <f t="shared" ca="1" si="11"/>
        <v>14.963958889911938</v>
      </c>
      <c r="AH14" s="91">
        <f t="shared" ca="1" si="12"/>
        <v>1.9934307054555791</v>
      </c>
      <c r="AI14" s="90">
        <f t="shared" ca="1" si="13"/>
        <v>16.588756319162293</v>
      </c>
      <c r="AJ14" s="91">
        <f t="shared" ca="1" si="14"/>
        <v>15.061614798153936</v>
      </c>
      <c r="AK14" s="91">
        <f t="shared" ca="1" si="15"/>
        <v>1.0293389334151772</v>
      </c>
      <c r="AL14" s="91">
        <f t="shared" ca="1" si="16"/>
        <v>0.8119215667382802</v>
      </c>
      <c r="AM14" s="443">
        <f t="shared" ca="1" si="17"/>
        <v>17.794229417649351</v>
      </c>
      <c r="AN14" s="443">
        <f t="shared" ca="1" si="18"/>
        <v>19.219964463961091</v>
      </c>
      <c r="AO14" s="140">
        <v>4</v>
      </c>
      <c r="AP14" s="140">
        <v>3</v>
      </c>
      <c r="AQ14" s="156">
        <f t="shared" si="19"/>
        <v>0.157</v>
      </c>
      <c r="AR14" s="243">
        <v>6</v>
      </c>
      <c r="AS14" s="243">
        <v>62</v>
      </c>
      <c r="AT14" s="243">
        <v>16</v>
      </c>
      <c r="AU14" s="243">
        <v>23</v>
      </c>
      <c r="AV14" s="243">
        <f t="shared" si="21"/>
        <v>10.092000000000001</v>
      </c>
      <c r="AW14" s="243">
        <f t="shared" si="22"/>
        <v>15.868000000000002</v>
      </c>
      <c r="AX14" s="243">
        <f t="shared" si="23"/>
        <v>20.631999999999998</v>
      </c>
      <c r="AY14" s="243">
        <f t="shared" si="24"/>
        <v>14.73</v>
      </c>
      <c r="AZ14" s="243">
        <f t="shared" si="25"/>
        <v>27.939999999999998</v>
      </c>
      <c r="BA14" s="243">
        <f t="shared" si="26"/>
        <v>64.7</v>
      </c>
      <c r="BB14" s="243">
        <f t="shared" si="27"/>
        <v>62.8</v>
      </c>
      <c r="BC14" s="243">
        <f t="shared" si="28"/>
        <v>34.659999999999997</v>
      </c>
      <c r="BD14" s="243">
        <f t="shared" si="29"/>
        <v>29.68</v>
      </c>
      <c r="BE14" s="243">
        <f t="shared" si="30"/>
        <v>46.76</v>
      </c>
      <c r="BF14" s="243">
        <f t="shared" si="31"/>
        <v>28.52</v>
      </c>
      <c r="BG14" s="93">
        <v>62010</v>
      </c>
      <c r="BH14" s="242">
        <v>2327</v>
      </c>
      <c r="BI14" s="446">
        <f t="shared" si="32"/>
        <v>107</v>
      </c>
      <c r="BJ14" s="112"/>
      <c r="BK14" s="114"/>
    </row>
    <row r="15" spans="1:63" s="66" customFormat="1" x14ac:dyDescent="0.25">
      <c r="A15" s="5" t="s">
        <v>170</v>
      </c>
      <c r="B15" s="5" t="s">
        <v>28</v>
      </c>
      <c r="C15" s="111">
        <f t="shared" ca="1" si="1"/>
        <v>10.821428571428571</v>
      </c>
      <c r="D15" s="457" t="s">
        <v>171</v>
      </c>
      <c r="E15" s="55">
        <v>22</v>
      </c>
      <c r="F15" s="56">
        <f ca="1">-43628+$D$1-112-112-112-112</f>
        <v>132</v>
      </c>
      <c r="G15" s="71" t="s">
        <v>161</v>
      </c>
      <c r="H15" s="236">
        <v>6</v>
      </c>
      <c r="I15" s="57">
        <v>4</v>
      </c>
      <c r="J15" s="143">
        <f t="shared" si="2"/>
        <v>0.93196000578135851</v>
      </c>
      <c r="K15" s="85">
        <f t="shared" si="3"/>
        <v>144</v>
      </c>
      <c r="L15" s="85">
        <f t="shared" si="4"/>
        <v>196</v>
      </c>
      <c r="M15" s="79">
        <v>6.4</v>
      </c>
      <c r="N15" s="140">
        <f t="shared" si="5"/>
        <v>83</v>
      </c>
      <c r="O15" s="234">
        <v>43633</v>
      </c>
      <c r="P15" s="235">
        <f t="shared" ca="1" si="20"/>
        <v>1</v>
      </c>
      <c r="Q15" s="140">
        <v>6</v>
      </c>
      <c r="R15" s="156">
        <f t="shared" si="6"/>
        <v>0.92582009977255142</v>
      </c>
      <c r="S15" s="156">
        <f t="shared" si="7"/>
        <v>0.99928545900129484</v>
      </c>
      <c r="T15" s="93">
        <v>63250</v>
      </c>
      <c r="U15" s="209">
        <f t="shared" si="8"/>
        <v>2530</v>
      </c>
      <c r="V15" s="93">
        <v>10670</v>
      </c>
      <c r="W15" s="91">
        <f t="shared" si="9"/>
        <v>5.927835051546392</v>
      </c>
      <c r="X15" s="142">
        <v>0</v>
      </c>
      <c r="Y15" s="143">
        <v>3</v>
      </c>
      <c r="Z15" s="142">
        <f>12+2/9</f>
        <v>12.222222222222221</v>
      </c>
      <c r="AA15" s="143">
        <v>2</v>
      </c>
      <c r="AB15" s="142">
        <v>6</v>
      </c>
      <c r="AC15" s="143">
        <f>9+2/14</f>
        <v>9.1428571428571423</v>
      </c>
      <c r="AD15" s="142">
        <f>16+2/4</f>
        <v>16.5</v>
      </c>
      <c r="AE15" s="239">
        <v>1192</v>
      </c>
      <c r="AF15" s="442">
        <f t="shared" ca="1" si="10"/>
        <v>13.104226402529148</v>
      </c>
      <c r="AG15" s="442">
        <f t="shared" ca="1" si="11"/>
        <v>14.154182228003579</v>
      </c>
      <c r="AH15" s="91">
        <f t="shared" ca="1" si="12"/>
        <v>2.4066554640644373</v>
      </c>
      <c r="AI15" s="90">
        <f t="shared" ca="1" si="13"/>
        <v>19.369799327159832</v>
      </c>
      <c r="AJ15" s="91">
        <f t="shared" ca="1" si="14"/>
        <v>15.021261831343899</v>
      </c>
      <c r="AK15" s="91">
        <f t="shared" ca="1" si="15"/>
        <v>1.1066996576053658</v>
      </c>
      <c r="AL15" s="91">
        <f t="shared" ca="1" si="16"/>
        <v>0.7502372004046951</v>
      </c>
      <c r="AM15" s="443">
        <f t="shared" ca="1" si="17"/>
        <v>16.945050734340068</v>
      </c>
      <c r="AN15" s="443">
        <f t="shared" ca="1" si="18"/>
        <v>18.302746655103949</v>
      </c>
      <c r="AO15" s="140">
        <v>4</v>
      </c>
      <c r="AP15" s="140">
        <v>2</v>
      </c>
      <c r="AQ15" s="156">
        <f t="shared" si="19"/>
        <v>0.157</v>
      </c>
      <c r="AR15" s="243">
        <v>3</v>
      </c>
      <c r="AS15" s="243">
        <v>51</v>
      </c>
      <c r="AT15" s="243">
        <v>27</v>
      </c>
      <c r="AU15" s="243">
        <v>19</v>
      </c>
      <c r="AV15" s="243">
        <f t="shared" si="21"/>
        <v>6.3659999999999997</v>
      </c>
      <c r="AW15" s="243">
        <f t="shared" si="22"/>
        <v>11.274000000000001</v>
      </c>
      <c r="AX15" s="243">
        <f t="shared" si="23"/>
        <v>15.036</v>
      </c>
      <c r="AY15" s="243">
        <f t="shared" si="24"/>
        <v>10.665000000000001</v>
      </c>
      <c r="AZ15" s="243">
        <f t="shared" si="25"/>
        <v>21.57</v>
      </c>
      <c r="BA15" s="243">
        <f t="shared" si="26"/>
        <v>52.35</v>
      </c>
      <c r="BB15" s="243">
        <f t="shared" si="27"/>
        <v>50.4</v>
      </c>
      <c r="BC15" s="243">
        <f t="shared" si="28"/>
        <v>27.93</v>
      </c>
      <c r="BD15" s="243">
        <f t="shared" si="29"/>
        <v>23.64</v>
      </c>
      <c r="BE15" s="243">
        <f t="shared" si="30"/>
        <v>37.979999999999997</v>
      </c>
      <c r="BF15" s="243">
        <f t="shared" si="31"/>
        <v>23.46</v>
      </c>
      <c r="BG15" s="93">
        <v>60720</v>
      </c>
      <c r="BH15" s="242">
        <v>4689</v>
      </c>
      <c r="BI15" s="446">
        <f t="shared" si="32"/>
        <v>100</v>
      </c>
      <c r="BJ15" s="112"/>
      <c r="BK15" s="114"/>
    </row>
    <row r="16" spans="1:63" s="66" customFormat="1" x14ac:dyDescent="0.25">
      <c r="A16" s="5" t="s">
        <v>172</v>
      </c>
      <c r="B16" s="5" t="s">
        <v>28</v>
      </c>
      <c r="C16" s="111">
        <f t="shared" ca="1" si="1"/>
        <v>10.169642857142858</v>
      </c>
      <c r="D16" s="457" t="s">
        <v>173</v>
      </c>
      <c r="E16" s="55">
        <v>22</v>
      </c>
      <c r="F16" s="56">
        <f ca="1">-43569+$D$1+14-112-112-112-112</f>
        <v>205</v>
      </c>
      <c r="G16" s="71" t="s">
        <v>146</v>
      </c>
      <c r="H16" s="110">
        <v>1</v>
      </c>
      <c r="I16" s="57">
        <v>3.7</v>
      </c>
      <c r="J16" s="143">
        <f t="shared" si="2"/>
        <v>0.8961304772476234</v>
      </c>
      <c r="K16" s="85">
        <f t="shared" si="3"/>
        <v>3.7</v>
      </c>
      <c r="L16" s="85">
        <f t="shared" si="4"/>
        <v>14.8</v>
      </c>
      <c r="M16" s="79">
        <v>7</v>
      </c>
      <c r="N16" s="140">
        <f t="shared" si="5"/>
        <v>89</v>
      </c>
      <c r="O16" s="234">
        <v>43630</v>
      </c>
      <c r="P16" s="235">
        <f t="shared" ca="1" si="20"/>
        <v>1</v>
      </c>
      <c r="Q16" s="140">
        <v>7</v>
      </c>
      <c r="R16" s="156">
        <f t="shared" si="6"/>
        <v>1</v>
      </c>
      <c r="S16" s="156">
        <f t="shared" si="7"/>
        <v>1</v>
      </c>
      <c r="T16" s="93">
        <v>80870</v>
      </c>
      <c r="U16" s="209">
        <f t="shared" si="8"/>
        <v>3450</v>
      </c>
      <c r="V16" s="93">
        <v>23508</v>
      </c>
      <c r="W16" s="91">
        <f t="shared" si="9"/>
        <v>3.4401054960013613</v>
      </c>
      <c r="X16" s="142">
        <v>0</v>
      </c>
      <c r="Y16" s="143">
        <v>4</v>
      </c>
      <c r="Z16" s="142">
        <f>13+6/9</f>
        <v>13.666666666666666</v>
      </c>
      <c r="AA16" s="143">
        <v>3</v>
      </c>
      <c r="AB16" s="142">
        <v>2</v>
      </c>
      <c r="AC16" s="143">
        <f>8+2/12</f>
        <v>8.1666666666666661</v>
      </c>
      <c r="AD16" s="142">
        <f>15+2/3</f>
        <v>15.666666666666666</v>
      </c>
      <c r="AE16" s="239">
        <v>1149</v>
      </c>
      <c r="AF16" s="442">
        <f t="shared" ca="1" si="10"/>
        <v>15.56279714391429</v>
      </c>
      <c r="AG16" s="442">
        <f t="shared" ca="1" si="11"/>
        <v>15.56279714391429</v>
      </c>
      <c r="AH16" s="91">
        <f t="shared" ca="1" si="12"/>
        <v>1.7110489289678588</v>
      </c>
      <c r="AI16" s="90">
        <f t="shared" ca="1" si="13"/>
        <v>18.763781688050578</v>
      </c>
      <c r="AJ16" s="91">
        <f t="shared" ca="1" si="14"/>
        <v>15.312797143914288</v>
      </c>
      <c r="AK16" s="91">
        <f t="shared" ca="1" si="15"/>
        <v>1.0300237715131431</v>
      </c>
      <c r="AL16" s="91">
        <f t="shared" ca="1" si="16"/>
        <v>0.76272913340733361</v>
      </c>
      <c r="AM16" s="443">
        <f t="shared" ca="1" si="17"/>
        <v>17.424268965422659</v>
      </c>
      <c r="AN16" s="443">
        <f t="shared" ca="1" si="18"/>
        <v>17.424268965422659</v>
      </c>
      <c r="AO16" s="140">
        <v>3</v>
      </c>
      <c r="AP16" s="140">
        <v>0</v>
      </c>
      <c r="AQ16" s="156">
        <f t="shared" si="19"/>
        <v>0.16549999999999998</v>
      </c>
      <c r="AR16" s="243">
        <v>6</v>
      </c>
      <c r="AS16" s="243">
        <v>65</v>
      </c>
      <c r="AT16" s="243">
        <v>21</v>
      </c>
      <c r="AU16" s="243">
        <v>16</v>
      </c>
      <c r="AV16" s="243">
        <f t="shared" si="21"/>
        <v>10.29</v>
      </c>
      <c r="AW16" s="243">
        <f t="shared" si="22"/>
        <v>16.369</v>
      </c>
      <c r="AX16" s="243">
        <f t="shared" si="23"/>
        <v>21.34</v>
      </c>
      <c r="AY16" s="243">
        <f t="shared" si="24"/>
        <v>15.225</v>
      </c>
      <c r="AZ16" s="243">
        <f t="shared" si="25"/>
        <v>29.08</v>
      </c>
      <c r="BA16" s="243">
        <f t="shared" si="26"/>
        <v>67.7</v>
      </c>
      <c r="BB16" s="243">
        <f t="shared" si="27"/>
        <v>65.650000000000006</v>
      </c>
      <c r="BC16" s="243">
        <f t="shared" si="28"/>
        <v>36.25</v>
      </c>
      <c r="BD16" s="243">
        <f t="shared" si="29"/>
        <v>31</v>
      </c>
      <c r="BE16" s="243">
        <f t="shared" si="30"/>
        <v>48.949999999999996</v>
      </c>
      <c r="BF16" s="243">
        <f t="shared" si="31"/>
        <v>29.900000000000002</v>
      </c>
      <c r="BG16" s="93">
        <v>77420</v>
      </c>
      <c r="BH16" s="242">
        <v>1887</v>
      </c>
      <c r="BI16" s="446">
        <f t="shared" si="32"/>
        <v>108</v>
      </c>
      <c r="BJ16" s="112"/>
      <c r="BK16" s="114"/>
    </row>
    <row r="17" spans="1:63" s="66" customFormat="1" x14ac:dyDescent="0.25">
      <c r="A17" s="5" t="s">
        <v>174</v>
      </c>
      <c r="B17" s="5" t="s">
        <v>28</v>
      </c>
      <c r="C17" s="111">
        <f t="shared" ca="1" si="1"/>
        <v>10.169642857142858</v>
      </c>
      <c r="D17" s="457" t="s">
        <v>175</v>
      </c>
      <c r="E17" s="55">
        <v>22</v>
      </c>
      <c r="F17" s="56">
        <f ca="1">-43569+$D$1+14-112-112-112-112</f>
        <v>205</v>
      </c>
      <c r="G17" s="71" t="s">
        <v>161</v>
      </c>
      <c r="H17" s="110">
        <v>1</v>
      </c>
      <c r="I17" s="57">
        <v>4</v>
      </c>
      <c r="J17" s="143">
        <f t="shared" si="2"/>
        <v>0.93196000578135851</v>
      </c>
      <c r="K17" s="85">
        <f t="shared" si="3"/>
        <v>4</v>
      </c>
      <c r="L17" s="85">
        <f t="shared" si="4"/>
        <v>16</v>
      </c>
      <c r="M17" s="79">
        <v>7</v>
      </c>
      <c r="N17" s="140">
        <f t="shared" si="5"/>
        <v>89</v>
      </c>
      <c r="O17" s="234">
        <v>43627</v>
      </c>
      <c r="P17" s="235">
        <f t="shared" ca="1" si="20"/>
        <v>1</v>
      </c>
      <c r="Q17" s="140">
        <v>5</v>
      </c>
      <c r="R17" s="156">
        <f t="shared" si="6"/>
        <v>0.84515425472851657</v>
      </c>
      <c r="S17" s="156">
        <f t="shared" si="7"/>
        <v>0.92504826128926143</v>
      </c>
      <c r="T17" s="93">
        <v>75020</v>
      </c>
      <c r="U17" s="209">
        <f t="shared" si="8"/>
        <v>4850</v>
      </c>
      <c r="V17" s="93">
        <v>24084</v>
      </c>
      <c r="W17" s="91">
        <f t="shared" si="9"/>
        <v>3.11493107457233</v>
      </c>
      <c r="X17" s="142">
        <v>0</v>
      </c>
      <c r="Y17" s="143">
        <v>2</v>
      </c>
      <c r="Z17" s="142">
        <f>13+6/9</f>
        <v>13.666666666666666</v>
      </c>
      <c r="AA17" s="143">
        <v>5</v>
      </c>
      <c r="AB17" s="142">
        <v>4</v>
      </c>
      <c r="AC17" s="143">
        <f>8+2/12</f>
        <v>8.1666666666666661</v>
      </c>
      <c r="AD17" s="142">
        <f>18+1/6</f>
        <v>18.166666666666668</v>
      </c>
      <c r="AE17" s="239">
        <v>1267</v>
      </c>
      <c r="AF17" s="442">
        <f t="shared" ca="1" si="10"/>
        <v>13.183245700141169</v>
      </c>
      <c r="AG17" s="442">
        <f t="shared" ca="1" si="11"/>
        <v>14.441522102200611</v>
      </c>
      <c r="AH17" s="91">
        <f t="shared" ca="1" si="12"/>
        <v>1.6687444004799374</v>
      </c>
      <c r="AI17" s="90">
        <f t="shared" ca="1" si="13"/>
        <v>17.087299096156986</v>
      </c>
      <c r="AJ17" s="91">
        <f t="shared" ca="1" si="14"/>
        <v>14.450977082233948</v>
      </c>
      <c r="AK17" s="91">
        <f t="shared" ca="1" si="15"/>
        <v>1.107890133795842</v>
      </c>
      <c r="AL17" s="91">
        <f t="shared" ca="1" si="16"/>
        <v>0.76023720040469511</v>
      </c>
      <c r="AM17" s="443">
        <f t="shared" ca="1" si="17"/>
        <v>16.877234633326758</v>
      </c>
      <c r="AN17" s="443">
        <f t="shared" ca="1" si="18"/>
        <v>18.48808423396099</v>
      </c>
      <c r="AO17" s="140">
        <v>4</v>
      </c>
      <c r="AP17" s="140">
        <v>2</v>
      </c>
      <c r="AQ17" s="156">
        <f t="shared" si="19"/>
        <v>0.157</v>
      </c>
      <c r="AR17" s="243">
        <v>0</v>
      </c>
      <c r="AS17" s="243">
        <v>65</v>
      </c>
      <c r="AT17" s="243">
        <v>21</v>
      </c>
      <c r="AU17" s="243">
        <v>24</v>
      </c>
      <c r="AV17" s="243">
        <f t="shared" si="21"/>
        <v>4.29</v>
      </c>
      <c r="AW17" s="243">
        <f t="shared" si="22"/>
        <v>10.855</v>
      </c>
      <c r="AX17" s="243">
        <f t="shared" si="23"/>
        <v>15.34</v>
      </c>
      <c r="AY17" s="243">
        <f t="shared" si="24"/>
        <v>10.725</v>
      </c>
      <c r="AZ17" s="243">
        <f t="shared" si="25"/>
        <v>24.7</v>
      </c>
      <c r="BA17" s="243">
        <f t="shared" si="26"/>
        <v>65</v>
      </c>
      <c r="BB17" s="243">
        <f t="shared" si="27"/>
        <v>61.75</v>
      </c>
      <c r="BC17" s="243">
        <f t="shared" si="28"/>
        <v>34.450000000000003</v>
      </c>
      <c r="BD17" s="243">
        <f t="shared" si="29"/>
        <v>28.6</v>
      </c>
      <c r="BE17" s="243">
        <f t="shared" si="30"/>
        <v>47.449999999999996</v>
      </c>
      <c r="BF17" s="243">
        <f t="shared" si="31"/>
        <v>29.900000000000002</v>
      </c>
      <c r="BG17" s="93">
        <v>70170</v>
      </c>
      <c r="BH17" s="242">
        <v>3853</v>
      </c>
      <c r="BI17" s="446">
        <f t="shared" si="32"/>
        <v>110</v>
      </c>
      <c r="BJ17" s="112"/>
      <c r="BK17" s="114"/>
    </row>
    <row r="18" spans="1:63" s="66" customFormat="1" x14ac:dyDescent="0.25">
      <c r="A18" s="5" t="s">
        <v>176</v>
      </c>
      <c r="B18" s="5" t="s">
        <v>28</v>
      </c>
      <c r="C18" s="111">
        <f t="shared" ca="1" si="1"/>
        <v>10.294642857142858</v>
      </c>
      <c r="D18" s="457" t="s">
        <v>177</v>
      </c>
      <c r="E18" s="55">
        <v>22</v>
      </c>
      <c r="F18" s="56">
        <f ca="1">-43569+$D$1-112-112-112-112</f>
        <v>191</v>
      </c>
      <c r="G18" s="71" t="s">
        <v>157</v>
      </c>
      <c r="H18" s="110">
        <v>4</v>
      </c>
      <c r="I18" s="57">
        <v>3</v>
      </c>
      <c r="J18" s="143">
        <f t="shared" si="2"/>
        <v>0.80274665510394982</v>
      </c>
      <c r="K18" s="85">
        <f t="shared" si="3"/>
        <v>48</v>
      </c>
      <c r="L18" s="85">
        <f t="shared" si="4"/>
        <v>75</v>
      </c>
      <c r="M18" s="79">
        <v>7</v>
      </c>
      <c r="N18" s="140">
        <f t="shared" si="5"/>
        <v>89</v>
      </c>
      <c r="O18" s="234">
        <v>43626</v>
      </c>
      <c r="P18" s="235">
        <f t="shared" ca="1" si="20"/>
        <v>1</v>
      </c>
      <c r="Q18" s="140">
        <v>6</v>
      </c>
      <c r="R18" s="156">
        <f t="shared" si="6"/>
        <v>0.92582009977255142</v>
      </c>
      <c r="S18" s="156">
        <f t="shared" si="7"/>
        <v>0.99928545900129484</v>
      </c>
      <c r="T18" s="93">
        <v>49720</v>
      </c>
      <c r="U18" s="209">
        <f t="shared" si="8"/>
        <v>1360</v>
      </c>
      <c r="V18" s="93">
        <v>12948</v>
      </c>
      <c r="W18" s="91">
        <f t="shared" si="9"/>
        <v>3.8399752857584182</v>
      </c>
      <c r="X18" s="142">
        <v>0</v>
      </c>
      <c r="Y18" s="143">
        <v>6</v>
      </c>
      <c r="Z18" s="142">
        <f>12+4/9</f>
        <v>12.444444444444445</v>
      </c>
      <c r="AA18" s="143">
        <v>2</v>
      </c>
      <c r="AB18" s="142">
        <v>3</v>
      </c>
      <c r="AC18" s="143">
        <f>6+2/10</f>
        <v>6.2</v>
      </c>
      <c r="AD18" s="142">
        <f>18+2/5</f>
        <v>18.399999999999999</v>
      </c>
      <c r="AE18" s="239">
        <v>1148</v>
      </c>
      <c r="AF18" s="442">
        <f t="shared" ca="1" si="10"/>
        <v>13.190335885262503</v>
      </c>
      <c r="AG18" s="442">
        <f t="shared" ca="1" si="11"/>
        <v>14.247191099548395</v>
      </c>
      <c r="AH18" s="91">
        <f t="shared" ca="1" si="12"/>
        <v>2.0146123076936919</v>
      </c>
      <c r="AI18" s="90">
        <f t="shared" ca="1" si="13"/>
        <v>15.550139302971395</v>
      </c>
      <c r="AJ18" s="91">
        <f t="shared" ca="1" si="14"/>
        <v>15.315607358740378</v>
      </c>
      <c r="AK18" s="91">
        <f t="shared" ca="1" si="15"/>
        <v>1.0062197324083157</v>
      </c>
      <c r="AL18" s="91">
        <f t="shared" ca="1" si="16"/>
        <v>0.91819226585727642</v>
      </c>
      <c r="AM18" s="443">
        <f t="shared" ca="1" si="17"/>
        <v>18.549881199118378</v>
      </c>
      <c r="AN18" s="443">
        <f t="shared" ca="1" si="18"/>
        <v>20.036161672959548</v>
      </c>
      <c r="AO18" s="140">
        <v>2</v>
      </c>
      <c r="AP18" s="140">
        <v>3</v>
      </c>
      <c r="AQ18" s="156">
        <f t="shared" si="19"/>
        <v>6.1499999999999999E-2</v>
      </c>
      <c r="AR18" s="243">
        <v>14</v>
      </c>
      <c r="AS18" s="243">
        <v>54</v>
      </c>
      <c r="AT18" s="243">
        <v>12</v>
      </c>
      <c r="AU18" s="243">
        <v>25</v>
      </c>
      <c r="AV18" s="243">
        <f t="shared" si="21"/>
        <v>17.564</v>
      </c>
      <c r="AW18" s="243">
        <f t="shared" si="22"/>
        <v>21.884</v>
      </c>
      <c r="AX18" s="243">
        <f t="shared" si="23"/>
        <v>26.744</v>
      </c>
      <c r="AY18" s="243">
        <f t="shared" si="24"/>
        <v>19.41</v>
      </c>
      <c r="AZ18" s="243">
        <f t="shared" si="25"/>
        <v>30.74</v>
      </c>
      <c r="BA18" s="243">
        <f t="shared" si="26"/>
        <v>60.3</v>
      </c>
      <c r="BB18" s="243">
        <f t="shared" si="27"/>
        <v>60.4</v>
      </c>
      <c r="BC18" s="243">
        <f t="shared" si="28"/>
        <v>32.82</v>
      </c>
      <c r="BD18" s="243">
        <f t="shared" si="29"/>
        <v>29.360000000000003</v>
      </c>
      <c r="BE18" s="243">
        <f t="shared" si="30"/>
        <v>42.92</v>
      </c>
      <c r="BF18" s="243">
        <f t="shared" si="31"/>
        <v>24.84</v>
      </c>
      <c r="BG18" s="93">
        <v>48360</v>
      </c>
      <c r="BH18" s="242">
        <v>1548</v>
      </c>
      <c r="BI18" s="446">
        <f t="shared" si="32"/>
        <v>105</v>
      </c>
      <c r="BJ18" s="112"/>
      <c r="BK18" s="114"/>
    </row>
    <row r="19" spans="1:63" s="66" customFormat="1" x14ac:dyDescent="0.25">
      <c r="A19" s="5" t="s">
        <v>178</v>
      </c>
      <c r="B19" s="5" t="s">
        <v>28</v>
      </c>
      <c r="C19" s="111">
        <f t="shared" ca="1" si="1"/>
        <v>9.8035714285714288</v>
      </c>
      <c r="D19" s="457" t="s">
        <v>179</v>
      </c>
      <c r="E19" s="55">
        <v>23</v>
      </c>
      <c r="F19" s="56">
        <f ca="1">-43626+$D$1-112-112-112-112</f>
        <v>134</v>
      </c>
      <c r="G19" s="71" t="s">
        <v>180</v>
      </c>
      <c r="H19" s="110">
        <v>4</v>
      </c>
      <c r="I19" s="57">
        <v>4</v>
      </c>
      <c r="J19" s="143">
        <f t="shared" si="2"/>
        <v>0.93196000578135851</v>
      </c>
      <c r="K19" s="85">
        <f t="shared" si="3"/>
        <v>64</v>
      </c>
      <c r="L19" s="85">
        <f t="shared" si="4"/>
        <v>100</v>
      </c>
      <c r="M19" s="79">
        <v>6.5</v>
      </c>
      <c r="N19" s="140">
        <f t="shared" si="5"/>
        <v>84</v>
      </c>
      <c r="O19" s="234">
        <v>43626</v>
      </c>
      <c r="P19" s="235">
        <f t="shared" ca="1" si="20"/>
        <v>1</v>
      </c>
      <c r="Q19" s="140">
        <v>5</v>
      </c>
      <c r="R19" s="156">
        <f t="shared" si="6"/>
        <v>0.84515425472851657</v>
      </c>
      <c r="S19" s="156">
        <f t="shared" si="7"/>
        <v>0.92504826128926143</v>
      </c>
      <c r="T19" s="93">
        <v>68410</v>
      </c>
      <c r="U19" s="209">
        <f t="shared" si="8"/>
        <v>310</v>
      </c>
      <c r="V19" s="93">
        <v>17110</v>
      </c>
      <c r="W19" s="91">
        <f t="shared" si="9"/>
        <v>3.9982466393921685</v>
      </c>
      <c r="X19" s="142">
        <v>0</v>
      </c>
      <c r="Y19" s="143">
        <v>7</v>
      </c>
      <c r="Z19" s="142">
        <f>13+2/9</f>
        <v>13.222222222222221</v>
      </c>
      <c r="AA19" s="143">
        <v>3</v>
      </c>
      <c r="AB19" s="142">
        <v>4</v>
      </c>
      <c r="AC19" s="143">
        <f>6+2/10</f>
        <v>6.2</v>
      </c>
      <c r="AD19" s="142">
        <f>16+1/4</f>
        <v>16.25</v>
      </c>
      <c r="AE19" s="239">
        <v>1258</v>
      </c>
      <c r="AF19" s="442">
        <f t="shared" ca="1" si="10"/>
        <v>12.807621586928496</v>
      </c>
      <c r="AG19" s="442">
        <f t="shared" ca="1" si="11"/>
        <v>14.030046502301699</v>
      </c>
      <c r="AH19" s="91">
        <f t="shared" ca="1" si="12"/>
        <v>2.1969658096852602</v>
      </c>
      <c r="AI19" s="90">
        <f t="shared" ca="1" si="13"/>
        <v>13.437218729026977</v>
      </c>
      <c r="AJ19" s="91">
        <f t="shared" ca="1" si="14"/>
        <v>12.818420780183361</v>
      </c>
      <c r="AK19" s="91">
        <f t="shared" ca="1" si="15"/>
        <v>0.95205680046250873</v>
      </c>
      <c r="AL19" s="91">
        <f t="shared" ca="1" si="16"/>
        <v>0.90273720040469507</v>
      </c>
      <c r="AM19" s="443">
        <f t="shared" ca="1" si="17"/>
        <v>15.257355645097098</v>
      </c>
      <c r="AN19" s="443">
        <f t="shared" ca="1" si="18"/>
        <v>16.71359570939693</v>
      </c>
      <c r="AO19" s="140">
        <v>3</v>
      </c>
      <c r="AP19" s="140">
        <v>3</v>
      </c>
      <c r="AQ19" s="156">
        <f t="shared" si="19"/>
        <v>0.1158</v>
      </c>
      <c r="AR19" s="243">
        <v>18</v>
      </c>
      <c r="AS19" s="243">
        <v>62</v>
      </c>
      <c r="AT19" s="243">
        <v>12</v>
      </c>
      <c r="AU19" s="243">
        <v>17</v>
      </c>
      <c r="AV19" s="243">
        <f t="shared" si="21"/>
        <v>22.091999999999999</v>
      </c>
      <c r="AW19" s="243">
        <f t="shared" si="22"/>
        <v>26.896000000000001</v>
      </c>
      <c r="AX19" s="243">
        <f t="shared" si="23"/>
        <v>32.631999999999998</v>
      </c>
      <c r="AY19" s="243">
        <f t="shared" si="24"/>
        <v>23.73</v>
      </c>
      <c r="AZ19" s="243">
        <f t="shared" si="25"/>
        <v>36.700000000000003</v>
      </c>
      <c r="BA19" s="243">
        <f t="shared" si="26"/>
        <v>70.099999999999994</v>
      </c>
      <c r="BB19" s="243">
        <f t="shared" si="27"/>
        <v>70.599999999999994</v>
      </c>
      <c r="BC19" s="243">
        <f t="shared" si="28"/>
        <v>38.26</v>
      </c>
      <c r="BD19" s="243">
        <f t="shared" si="29"/>
        <v>34.480000000000004</v>
      </c>
      <c r="BE19" s="243">
        <f t="shared" si="30"/>
        <v>49.76</v>
      </c>
      <c r="BF19" s="243">
        <f t="shared" si="31"/>
        <v>28.52</v>
      </c>
      <c r="BG19" s="93">
        <v>68100</v>
      </c>
      <c r="BH19" s="242">
        <v>1308</v>
      </c>
      <c r="BI19" s="446">
        <f t="shared" si="32"/>
        <v>109</v>
      </c>
      <c r="BJ19" s="112"/>
      <c r="BK19" s="114"/>
    </row>
    <row r="20" spans="1:63" s="66" customFormat="1" x14ac:dyDescent="0.25">
      <c r="A20" s="462" t="s">
        <v>181</v>
      </c>
      <c r="B20" s="462" t="s">
        <v>28</v>
      </c>
      <c r="C20" s="111">
        <f t="shared" ca="1" si="1"/>
        <v>3.1071428571428572</v>
      </c>
      <c r="D20" s="458" t="s">
        <v>689</v>
      </c>
      <c r="E20" s="463">
        <v>29</v>
      </c>
      <c r="F20" s="464">
        <f ca="1">-43570+$D$1-426</f>
        <v>212</v>
      </c>
      <c r="G20" s="465" t="s">
        <v>157</v>
      </c>
      <c r="H20" s="466">
        <v>4</v>
      </c>
      <c r="I20" s="467">
        <v>8.4</v>
      </c>
      <c r="J20" s="468">
        <f t="shared" si="2"/>
        <v>1.2975038047995981</v>
      </c>
      <c r="K20" s="469">
        <f t="shared" si="3"/>
        <v>134.4</v>
      </c>
      <c r="L20" s="469">
        <f t="shared" si="4"/>
        <v>210</v>
      </c>
      <c r="M20" s="470">
        <v>6.2</v>
      </c>
      <c r="N20" s="471">
        <f t="shared" si="5"/>
        <v>81</v>
      </c>
      <c r="O20" s="472">
        <v>44044</v>
      </c>
      <c r="P20" s="473">
        <f t="shared" ca="1" si="20"/>
        <v>0.63189209917226907</v>
      </c>
      <c r="Q20" s="471">
        <v>6</v>
      </c>
      <c r="R20" s="474">
        <f t="shared" si="6"/>
        <v>0.92582009977255142</v>
      </c>
      <c r="S20" s="474">
        <f t="shared" si="7"/>
        <v>0.99928545900129484</v>
      </c>
      <c r="T20" s="475">
        <v>95060</v>
      </c>
      <c r="U20" s="476">
        <f t="shared" si="8"/>
        <v>-630</v>
      </c>
      <c r="V20" s="475">
        <v>15936</v>
      </c>
      <c r="W20" s="477">
        <f t="shared" si="9"/>
        <v>5.9651104417670684</v>
      </c>
      <c r="X20" s="478">
        <v>0</v>
      </c>
      <c r="Y20" s="468">
        <v>10</v>
      </c>
      <c r="Z20" s="478">
        <v>13</v>
      </c>
      <c r="AA20" s="468">
        <v>3</v>
      </c>
      <c r="AB20" s="478">
        <v>4</v>
      </c>
      <c r="AC20" s="468">
        <v>9</v>
      </c>
      <c r="AD20" s="478">
        <v>16</v>
      </c>
      <c r="AE20" s="479">
        <v>1573</v>
      </c>
      <c r="AF20" s="480">
        <f t="shared" ca="1" si="10"/>
        <v>13.821934805359154</v>
      </c>
      <c r="AG20" s="480">
        <f t="shared" ca="1" si="11"/>
        <v>14.929395903971868</v>
      </c>
      <c r="AH20" s="477">
        <f t="shared" ca="1" si="12"/>
        <v>2.7529477901067358</v>
      </c>
      <c r="AI20" s="90">
        <f t="shared" ref="AI20" ca="1" si="33">(1.66*(AC20+J20+P20)+0.55*(AD20+J20+P20)-7.6)*(Q20/7)^0.5</f>
        <v>18.890400863707313</v>
      </c>
      <c r="AJ20" s="91">
        <f t="shared" ref="AJ20" ca="1" si="34">((AD20+J20+P20)*0.7+(AC20+J20+P20)*0.3)*(Q20/7)^0.5</f>
        <v>14.655172895154449</v>
      </c>
      <c r="AK20" s="91">
        <f t="shared" ref="AK20" ca="1" si="35">(0.5*(AC20+P20+J20)+0.3*(AD20+P20+J20))/10</f>
        <v>1.0843516723177493</v>
      </c>
      <c r="AL20" s="91">
        <f t="shared" ref="AL20" ca="1" si="36">(0.4*(Y20+P20+J20)+0.3*(AD20+P20+J20))/10</f>
        <v>1.0150577132780305</v>
      </c>
      <c r="AM20" s="443">
        <f t="shared" ref="AM20" ca="1" si="37">(AD20+P20+(LOG(I20)*4/3))*(Q20/7)^0.5</f>
        <v>16.539095123781333</v>
      </c>
      <c r="AN20" s="443">
        <f t="shared" ref="AN20" ca="1" si="38">(AD20+P20+(LOG(I20)*4/3))*(IF(Q20=7,(Q20/7)^0.5,((Q20+1)/7)^0.5))</f>
        <v>17.864264480588112</v>
      </c>
      <c r="AO20" s="471">
        <v>3</v>
      </c>
      <c r="AP20" s="471">
        <v>1</v>
      </c>
      <c r="AQ20" s="474">
        <f t="shared" si="19"/>
        <v>0.1158</v>
      </c>
      <c r="AR20" s="481"/>
      <c r="AS20" s="481"/>
      <c r="AT20" s="481"/>
      <c r="AU20" s="481"/>
      <c r="AV20" s="481"/>
      <c r="AW20" s="481"/>
      <c r="AX20" s="481"/>
      <c r="AY20" s="481"/>
      <c r="AZ20" s="481"/>
      <c r="BA20" s="481"/>
      <c r="BB20" s="481"/>
      <c r="BC20" s="481"/>
      <c r="BD20" s="481"/>
      <c r="BE20" s="481"/>
      <c r="BF20" s="481"/>
      <c r="BG20" s="475">
        <v>95690</v>
      </c>
      <c r="BH20" s="482"/>
      <c r="BI20" s="446"/>
      <c r="BJ20" s="112"/>
      <c r="BK20" s="114"/>
    </row>
    <row r="21" spans="1:63" s="66" customFormat="1" x14ac:dyDescent="0.25">
      <c r="A21" s="5" t="s">
        <v>181</v>
      </c>
      <c r="B21" s="5" t="s">
        <v>28</v>
      </c>
      <c r="C21" s="111">
        <f t="shared" ca="1" si="1"/>
        <v>2.5089285714285716</v>
      </c>
      <c r="D21" s="458" t="s">
        <v>182</v>
      </c>
      <c r="E21" s="55">
        <v>30</v>
      </c>
      <c r="F21" s="56">
        <f ca="1">75-44100+$D$1+96-112</f>
        <v>167</v>
      </c>
      <c r="G21" s="71" t="s">
        <v>157</v>
      </c>
      <c r="H21" s="110">
        <v>5</v>
      </c>
      <c r="I21" s="57">
        <v>7.5999999999999988</v>
      </c>
      <c r="J21" s="143">
        <f t="shared" si="2"/>
        <v>1.2459979349914234</v>
      </c>
      <c r="K21" s="85">
        <f t="shared" si="3"/>
        <v>189.99999999999997</v>
      </c>
      <c r="L21" s="85">
        <f t="shared" si="4"/>
        <v>273.59999999999997</v>
      </c>
      <c r="M21" s="79">
        <v>5.9</v>
      </c>
      <c r="N21" s="140">
        <f t="shared" si="5"/>
        <v>78</v>
      </c>
      <c r="O21" s="456">
        <v>43982</v>
      </c>
      <c r="P21" s="235">
        <f t="shared" ca="1" si="20"/>
        <v>0.77584017284391016</v>
      </c>
      <c r="Q21" s="140">
        <v>5</v>
      </c>
      <c r="R21" s="156">
        <f t="shared" si="6"/>
        <v>0.84515425472851657</v>
      </c>
      <c r="S21" s="156">
        <f t="shared" si="7"/>
        <v>0.92504826128926143</v>
      </c>
      <c r="T21" s="93">
        <v>69900</v>
      </c>
      <c r="U21" s="209">
        <f t="shared" si="8"/>
        <v>-1900</v>
      </c>
      <c r="V21" s="93">
        <v>23064</v>
      </c>
      <c r="W21" s="91">
        <f t="shared" si="9"/>
        <v>3.0306971904266389</v>
      </c>
      <c r="X21" s="142">
        <v>0</v>
      </c>
      <c r="Y21" s="143">
        <v>4</v>
      </c>
      <c r="Z21" s="142">
        <v>13.95</v>
      </c>
      <c r="AA21" s="143">
        <v>4</v>
      </c>
      <c r="AB21" s="142">
        <v>9</v>
      </c>
      <c r="AC21" s="143">
        <v>8</v>
      </c>
      <c r="AD21" s="142">
        <f>19+3/6</f>
        <v>19.5</v>
      </c>
      <c r="AE21" s="510">
        <v>1530</v>
      </c>
      <c r="AF21" s="442">
        <f t="shared" ca="1" si="10"/>
        <v>13.498666932672092</v>
      </c>
      <c r="AG21" s="442">
        <f t="shared" ca="1" si="11"/>
        <v>14.787048750547147</v>
      </c>
      <c r="AH21" s="91">
        <f t="shared" ca="1" si="12"/>
        <v>2.9649611052069025</v>
      </c>
      <c r="AI21" s="90">
        <f t="shared" ca="1" si="13"/>
        <v>17.641126373873835</v>
      </c>
      <c r="AJ21" s="91">
        <f t="shared" ca="1" si="14"/>
        <v>15.273490867601977</v>
      </c>
      <c r="AK21" s="91">
        <f t="shared" ca="1" si="15"/>
        <v>1.1467470486268267</v>
      </c>
      <c r="AL21" s="91">
        <f t="shared" ca="1" si="16"/>
        <v>0.88652866754847337</v>
      </c>
      <c r="AM21" s="443">
        <f t="shared" ca="1" si="17"/>
        <v>18.128777063792835</v>
      </c>
      <c r="AN21" s="443">
        <f t="shared" ca="1" si="18"/>
        <v>19.859080275643215</v>
      </c>
      <c r="AO21" s="140">
        <v>4</v>
      </c>
      <c r="AP21" s="140">
        <v>4</v>
      </c>
      <c r="AQ21" s="156">
        <f t="shared" si="19"/>
        <v>0.157</v>
      </c>
      <c r="AR21" s="240"/>
      <c r="AS21" s="240"/>
      <c r="AT21" s="240"/>
      <c r="AU21" s="240"/>
      <c r="AV21" s="243"/>
      <c r="AW21" s="243"/>
      <c r="AX21" s="243"/>
      <c r="AY21" s="243"/>
      <c r="AZ21" s="243"/>
      <c r="BA21" s="243"/>
      <c r="BB21" s="243"/>
      <c r="BC21" s="243"/>
      <c r="BD21" s="243"/>
      <c r="BE21" s="243"/>
      <c r="BF21" s="243"/>
      <c r="BG21" s="93">
        <v>71800</v>
      </c>
      <c r="BH21" s="242"/>
      <c r="BI21" s="446">
        <f t="shared" si="32"/>
        <v>0</v>
      </c>
      <c r="BJ21" s="112"/>
      <c r="BK21" s="114"/>
    </row>
    <row r="22" spans="1:63" x14ac:dyDescent="0.25">
      <c r="A22" s="5" t="s">
        <v>183</v>
      </c>
      <c r="B22" s="5" t="s">
        <v>21</v>
      </c>
      <c r="C22" s="111">
        <f t="shared" ca="1" si="1"/>
        <v>-3.5089285714285716</v>
      </c>
      <c r="D22" s="458" t="s">
        <v>184</v>
      </c>
      <c r="E22" s="55">
        <v>36</v>
      </c>
      <c r="F22" s="56">
        <f ca="1">7-41471+$D$1-112-111-112+4-112-116-112-112-112-112-112-112-112-112-112-112-112-112-112-112-112-112-112-112</f>
        <v>169</v>
      </c>
      <c r="G22" s="71" t="s">
        <v>157</v>
      </c>
      <c r="H22" s="110">
        <v>2</v>
      </c>
      <c r="I22" s="57">
        <v>15</v>
      </c>
      <c r="J22" s="143">
        <f t="shared" si="2"/>
        <v>1.6054933102078996</v>
      </c>
      <c r="K22" s="85">
        <f t="shared" si="3"/>
        <v>60</v>
      </c>
      <c r="L22" s="85">
        <f t="shared" si="4"/>
        <v>135</v>
      </c>
      <c r="M22" s="79">
        <v>3.2</v>
      </c>
      <c r="N22" s="140">
        <f t="shared" si="5"/>
        <v>51</v>
      </c>
      <c r="O22" s="140" t="s">
        <v>149</v>
      </c>
      <c r="P22" s="235">
        <v>1.5</v>
      </c>
      <c r="Q22" s="140">
        <v>6</v>
      </c>
      <c r="R22" s="156">
        <f t="shared" si="6"/>
        <v>0.92582009977255142</v>
      </c>
      <c r="S22" s="156">
        <f t="shared" si="7"/>
        <v>0.99928545900129484</v>
      </c>
      <c r="T22" s="93">
        <v>9500</v>
      </c>
      <c r="U22" s="209">
        <f t="shared" si="8"/>
        <v>-230</v>
      </c>
      <c r="V22" s="93">
        <v>2410</v>
      </c>
      <c r="W22" s="91">
        <f t="shared" si="9"/>
        <v>3.9419087136929463</v>
      </c>
      <c r="X22" s="142">
        <v>0</v>
      </c>
      <c r="Y22" s="143">
        <v>7.95</v>
      </c>
      <c r="Z22" s="142">
        <v>11.95</v>
      </c>
      <c r="AA22" s="143">
        <v>11.95</v>
      </c>
      <c r="AB22" s="142">
        <v>8.9499999999999993</v>
      </c>
      <c r="AC22" s="143">
        <v>4.95</v>
      </c>
      <c r="AD22" s="142">
        <v>18</v>
      </c>
      <c r="AE22" s="239">
        <v>1467</v>
      </c>
      <c r="AF22" s="442">
        <f t="shared" si="10"/>
        <v>13.938678318581657</v>
      </c>
      <c r="AG22" s="442">
        <f t="shared" si="11"/>
        <v>15.055493310207899</v>
      </c>
      <c r="AH22" s="91">
        <f t="shared" si="12"/>
        <v>4.0697292447524323</v>
      </c>
      <c r="AI22" s="90">
        <f t="shared" si="13"/>
        <v>16.090883148430191</v>
      </c>
      <c r="AJ22" s="91">
        <f t="shared" si="14"/>
        <v>15.915304231596055</v>
      </c>
      <c r="AK22" s="91">
        <f t="shared" si="15"/>
        <v>1.035939464816632</v>
      </c>
      <c r="AL22" s="91">
        <f t="shared" si="16"/>
        <v>1.0753845317145529</v>
      </c>
      <c r="AM22" s="443">
        <f t="shared" si="17"/>
        <v>19.505290514632161</v>
      </c>
      <c r="AN22" s="443">
        <f t="shared" si="18"/>
        <v>21.068121678740908</v>
      </c>
      <c r="AO22" s="140">
        <v>3</v>
      </c>
      <c r="AP22" s="140">
        <v>2</v>
      </c>
      <c r="AQ22" s="156">
        <f t="shared" si="19"/>
        <v>0.1158</v>
      </c>
      <c r="AR22" s="240"/>
      <c r="AS22" s="240"/>
      <c r="AT22" s="240"/>
      <c r="AU22" s="240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93">
        <v>9730</v>
      </c>
      <c r="BH22" s="242"/>
      <c r="BJ22" s="112"/>
      <c r="BK22" s="114"/>
    </row>
    <row r="23" spans="1:63" s="1" customFormat="1" x14ac:dyDescent="0.25">
      <c r="A23" s="5" t="s">
        <v>185</v>
      </c>
      <c r="B23" s="5" t="s">
        <v>21</v>
      </c>
      <c r="C23" s="111">
        <f t="shared" ca="1" si="1"/>
        <v>-3.1160714285714284</v>
      </c>
      <c r="D23" s="458" t="s">
        <v>186</v>
      </c>
      <c r="E23" s="55">
        <v>35</v>
      </c>
      <c r="F23" s="56">
        <f ca="1">7-41471+$D$1-112-111-43-112-112-1-112-112-112-112-112-112-112-112-112-112-112-112-112-112-112-112-112-112</f>
        <v>237</v>
      </c>
      <c r="G23" s="71"/>
      <c r="H23" s="237">
        <v>5</v>
      </c>
      <c r="I23" s="57">
        <v>6.3</v>
      </c>
      <c r="J23" s="143">
        <f t="shared" si="2"/>
        <v>1.1510971468272746</v>
      </c>
      <c r="K23" s="85">
        <f t="shared" si="3"/>
        <v>157.5</v>
      </c>
      <c r="L23" s="85">
        <f t="shared" si="4"/>
        <v>226.79999999999998</v>
      </c>
      <c r="M23" s="79">
        <v>3</v>
      </c>
      <c r="N23" s="140">
        <f t="shared" si="5"/>
        <v>49</v>
      </c>
      <c r="O23" s="140" t="s">
        <v>149</v>
      </c>
      <c r="P23" s="235">
        <v>1.5</v>
      </c>
      <c r="Q23" s="140">
        <v>4</v>
      </c>
      <c r="R23" s="156">
        <f t="shared" si="6"/>
        <v>0.7559289460184544</v>
      </c>
      <c r="S23" s="156">
        <f t="shared" si="7"/>
        <v>0.84430867747355465</v>
      </c>
      <c r="T23" s="93">
        <v>830</v>
      </c>
      <c r="U23" s="209">
        <f t="shared" si="8"/>
        <v>-10</v>
      </c>
      <c r="V23" s="93">
        <v>720</v>
      </c>
      <c r="W23" s="91">
        <f t="shared" si="9"/>
        <v>1.1527777777777777</v>
      </c>
      <c r="X23" s="142">
        <v>0</v>
      </c>
      <c r="Y23" s="143">
        <v>3.95</v>
      </c>
      <c r="Z23" s="142">
        <v>5.95</v>
      </c>
      <c r="AA23" s="143">
        <v>3.95</v>
      </c>
      <c r="AB23" s="142">
        <v>9.9499999999999993</v>
      </c>
      <c r="AC23" s="143">
        <v>5.95</v>
      </c>
      <c r="AD23" s="142">
        <v>15.95</v>
      </c>
      <c r="AE23" s="239">
        <v>751</v>
      </c>
      <c r="AF23" s="442">
        <f t="shared" si="10"/>
        <v>6.5018183008034773</v>
      </c>
      <c r="AG23" s="442">
        <f t="shared" si="11"/>
        <v>7.2692538489743761</v>
      </c>
      <c r="AH23" s="91">
        <f t="shared" si="12"/>
        <v>3.0051285723151446</v>
      </c>
      <c r="AI23" s="90">
        <f t="shared" si="13"/>
        <v>12.781567658136929</v>
      </c>
      <c r="AJ23" s="91">
        <f t="shared" si="14"/>
        <v>11.793320922932656</v>
      </c>
      <c r="AK23" s="91">
        <f t="shared" si="15"/>
        <v>0.98808777174618201</v>
      </c>
      <c r="AL23" s="91">
        <f t="shared" si="16"/>
        <v>0.82207680027790919</v>
      </c>
      <c r="AM23" s="443">
        <f t="shared" si="17"/>
        <v>13.99661965343304</v>
      </c>
      <c r="AN23" s="443">
        <f t="shared" si="18"/>
        <v>15.648696500142913</v>
      </c>
      <c r="AO23" s="140">
        <v>2</v>
      </c>
      <c r="AP23" s="140">
        <v>1</v>
      </c>
      <c r="AQ23" s="156">
        <f t="shared" si="19"/>
        <v>6.1499999999999999E-2</v>
      </c>
      <c r="AR23" s="240"/>
      <c r="AS23" s="240"/>
      <c r="AT23" s="240"/>
      <c r="AU23" s="240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93">
        <v>840</v>
      </c>
      <c r="BH23" s="242"/>
      <c r="BJ23" s="112"/>
      <c r="BK23" s="114"/>
    </row>
    <row r="24" spans="1:63" x14ac:dyDescent="0.25">
      <c r="G24" s="4"/>
      <c r="H24"/>
      <c r="I24" s="58"/>
      <c r="J24" s="58"/>
      <c r="K24"/>
      <c r="T24" s="65">
        <f>SUM(T4:T23)</f>
        <v>886720</v>
      </c>
      <c r="U24" s="65">
        <f>SUM(U4:U23)</f>
        <v>7460</v>
      </c>
      <c r="V24" s="65">
        <f>SUM(V4:V23)</f>
        <v>239332</v>
      </c>
      <c r="W24" s="90">
        <f t="shared" si="9"/>
        <v>3.7049788578209348</v>
      </c>
      <c r="X24"/>
      <c r="AD24" s="58"/>
      <c r="AE24" s="65"/>
      <c r="AH24" s="445"/>
      <c r="AI24" s="445"/>
      <c r="AJ24" s="445"/>
      <c r="AK24" s="445"/>
      <c r="AL24" s="445"/>
      <c r="AM24" s="445"/>
      <c r="AN24" s="445"/>
    </row>
    <row r="25" spans="1:63" x14ac:dyDescent="0.25">
      <c r="T25" s="89"/>
      <c r="U25" s="89"/>
      <c r="V25" s="89"/>
      <c r="W25" s="76"/>
      <c r="AE25" s="76"/>
      <c r="AH25" s="441"/>
      <c r="AI25" s="440"/>
      <c r="AJ25" s="441"/>
      <c r="AK25" s="441"/>
      <c r="AL25" s="441"/>
      <c r="AM25" s="441"/>
      <c r="AN25" s="441"/>
    </row>
    <row r="26" spans="1:63" x14ac:dyDescent="0.25">
      <c r="I26" s="72"/>
      <c r="Y26" s="48"/>
    </row>
    <row r="27" spans="1:63" x14ac:dyDescent="0.25">
      <c r="D27" s="196"/>
      <c r="I27" s="72"/>
      <c r="P27" s="49"/>
      <c r="Y27" s="48"/>
      <c r="AE27" s="229"/>
    </row>
    <row r="28" spans="1:63" x14ac:dyDescent="0.25">
      <c r="D28" s="196"/>
      <c r="I28" s="72"/>
      <c r="P28" s="49"/>
      <c r="V28" s="233"/>
      <c r="Y28" s="48"/>
    </row>
    <row r="29" spans="1:63" x14ac:dyDescent="0.25">
      <c r="D29" s="58"/>
      <c r="I29" s="72"/>
      <c r="V29" s="233"/>
      <c r="Y29" s="48"/>
    </row>
    <row r="30" spans="1:63" x14ac:dyDescent="0.25">
      <c r="I30" s="72"/>
      <c r="Y30" s="48"/>
    </row>
    <row r="31" spans="1:63" x14ac:dyDescent="0.25">
      <c r="I31" s="72"/>
      <c r="V31" s="233"/>
      <c r="Y31" s="48"/>
    </row>
    <row r="32" spans="1:63" x14ac:dyDescent="0.25">
      <c r="I32" s="72"/>
      <c r="Y32" s="48"/>
    </row>
    <row r="33" spans="3:31" x14ac:dyDescent="0.25">
      <c r="I33" s="72"/>
      <c r="Y33" s="48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</sheetData>
  <mergeCells count="1">
    <mergeCell ref="E1:G1"/>
  </mergeCells>
  <conditionalFormatting sqref="BI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9">
    <cfRule type="colorScale" priority="9">
      <colorScale>
        <cfvo type="min"/>
        <cfvo type="max"/>
        <color rgb="FFFCFCFF"/>
        <color rgb="FFF8696B"/>
      </colorScale>
    </cfRule>
  </conditionalFormatting>
  <conditionalFormatting sqref="AV9:BF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3">
    <cfRule type="cellIs" dxfId="78" priority="13" operator="lessThan">
      <formula>0.07</formula>
    </cfRule>
  </conditionalFormatting>
  <conditionalFormatting sqref="AQ4:AQ23">
    <cfRule type="cellIs" dxfId="77" priority="14" operator="greaterThan">
      <formula>0.1</formula>
    </cfRule>
  </conditionalFormatting>
  <conditionalFormatting sqref="R4:S23">
    <cfRule type="cellIs" dxfId="76" priority="15" operator="greaterThan">
      <formula>0.95</formula>
    </cfRule>
  </conditionalFormatting>
  <conditionalFormatting sqref="R4:S23">
    <cfRule type="cellIs" dxfId="75" priority="16" operator="lessThan">
      <formula>0.85</formula>
    </cfRule>
  </conditionalFormatting>
  <conditionalFormatting sqref="Q4:Q23">
    <cfRule type="cellIs" dxfId="74" priority="17" operator="greaterThan">
      <formula>6</formula>
    </cfRule>
  </conditionalFormatting>
  <conditionalFormatting sqref="Q4:Q23">
    <cfRule type="cellIs" dxfId="73" priority="18" operator="lessThan">
      <formula>5</formula>
    </cfRule>
  </conditionalFormatting>
  <conditionalFormatting sqref="X4:AD23">
    <cfRule type="cellIs" dxfId="72" priority="30" operator="greaterThan">
      <formula>10</formula>
    </cfRule>
  </conditionalFormatting>
  <conditionalFormatting sqref="BI10:BI20 BI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23 AR4:AU4 AR6:AU8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V10:BF23 AV4:BF4 AV6:BF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3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3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3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3">
    <cfRule type="colorScale" priority="161">
      <colorScale>
        <cfvo type="min"/>
        <cfvo type="max"/>
        <color rgb="FFFCFCFF"/>
        <color rgb="FF63BE7B"/>
      </colorScale>
    </cfRule>
  </conditionalFormatting>
  <conditionalFormatting sqref="I4:I2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3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3">
    <cfRule type="colorScale" priority="171">
      <colorScale>
        <cfvo type="min"/>
        <cfvo type="max"/>
        <color rgb="FFFFEF9C"/>
        <color rgb="FF63BE7B"/>
      </colorScale>
    </cfRule>
  </conditionalFormatting>
  <conditionalFormatting sqref="N4:N2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{DC575509-5A92-4528-818D-30A3359FC9D3}</x14:id>
        </ext>
      </extLst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V4:V23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W4:W23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AE4:AE23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U4:U23</xm:sqref>
        </x14:conditionalFormatting>
        <x14:conditionalFormatting xmlns:xm="http://schemas.microsoft.com/office/excel/2006/main">
          <x14:cfRule type="dataBar" id="{DC575509-5A92-4528-818D-30A3359FC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AD14" sqref="AD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633</v>
      </c>
      <c r="AB1" t="s">
        <v>634</v>
      </c>
      <c r="AE1" t="s">
        <v>635</v>
      </c>
    </row>
    <row r="2" spans="1:32" x14ac:dyDescent="0.25">
      <c r="B2" s="74">
        <v>44035</v>
      </c>
      <c r="X2" s="205">
        <f>SUM(X4:X22)</f>
        <v>0.42663333333333336</v>
      </c>
      <c r="Y2" s="205">
        <f>SUM(Y4:Y22)</f>
        <v>3.6124761904761922</v>
      </c>
      <c r="Z2" s="205">
        <f>SUM(Z4:Z22)</f>
        <v>0.60207936507937632</v>
      </c>
      <c r="AB2" s="148" t="s">
        <v>85</v>
      </c>
      <c r="AC2" s="148" t="s">
        <v>87</v>
      </c>
      <c r="AE2" s="148" t="s">
        <v>85</v>
      </c>
      <c r="AF2" s="148" t="s">
        <v>87</v>
      </c>
    </row>
    <row r="3" spans="1:32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646</v>
      </c>
      <c r="Z3" s="203" t="s">
        <v>647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213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1/4</f>
        <v>0.25</v>
      </c>
      <c r="M4" s="96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1">MAX(N4:W4)</f>
        <v>0</v>
      </c>
      <c r="Y4" s="116">
        <f t="shared" ref="Y4:Y14" si="2">(1.66*(J4+L4)+0.55*(K4)-7.6)-(1.66*(J4)+0.55*(K4)-7.6)</f>
        <v>0.41499999999999915</v>
      </c>
      <c r="Z4" s="116">
        <f t="shared" ref="Z4:Z14" si="3">(1.66*(J4+M4)+0.55*(K4)-7.6)-(1.66*(J4)+0.55*(K4)-7.6)</f>
        <v>6.9166666666667709E-2</v>
      </c>
      <c r="AB4" t="s">
        <v>627</v>
      </c>
      <c r="AC4" t="s">
        <v>643</v>
      </c>
      <c r="AE4" t="s">
        <v>627</v>
      </c>
      <c r="AF4" t="str">
        <f>AC4</f>
        <v>B. Pinczehelyi</v>
      </c>
    </row>
    <row r="5" spans="1:32" x14ac:dyDescent="0.25">
      <c r="A5" s="5" t="str">
        <f>PLANTILLA!A13</f>
        <v>#4</v>
      </c>
      <c r="B5" s="261" t="str">
        <f>PLANTILLA!D13</f>
        <v>E. Deus</v>
      </c>
      <c r="C5" s="5">
        <f>PLANTILLA!E13</f>
        <v>22</v>
      </c>
      <c r="D5" s="455">
        <f ca="1">PLANTILLA!F13</f>
        <v>129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1/4</f>
        <v>0.25</v>
      </c>
      <c r="M5" s="96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1"/>
        <v>0</v>
      </c>
      <c r="Y5" s="116">
        <f t="shared" si="2"/>
        <v>0.41499999999999915</v>
      </c>
      <c r="Z5" s="116">
        <f t="shared" si="3"/>
        <v>6.9166666666667709E-2</v>
      </c>
      <c r="AB5" t="s">
        <v>628</v>
      </c>
      <c r="AC5" t="s">
        <v>223</v>
      </c>
      <c r="AE5" t="s">
        <v>632</v>
      </c>
      <c r="AF5" t="s">
        <v>216</v>
      </c>
    </row>
    <row r="6" spans="1:32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190</v>
      </c>
      <c r="E6" s="49">
        <f>PLANTILLA!X9</f>
        <v>0</v>
      </c>
      <c r="F6" s="49">
        <f>PLANTILLA!Y9</f>
        <v>12</v>
      </c>
      <c r="G6" s="49">
        <f>PLANTILLA!Z9</f>
        <v>7.2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1/5</f>
        <v>0.2</v>
      </c>
      <c r="M6" s="96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1"/>
        <v>0</v>
      </c>
      <c r="Y6" s="116">
        <f t="shared" si="2"/>
        <v>0.33200000000000074</v>
      </c>
      <c r="Z6" s="116">
        <f t="shared" si="3"/>
        <v>5.5333333333333456E-2</v>
      </c>
      <c r="AB6" t="s">
        <v>627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202</v>
      </c>
      <c r="E7" s="49">
        <f>PLANTILLA!X11</f>
        <v>0</v>
      </c>
      <c r="F7" s="49">
        <f>PLANTILLA!Y11</f>
        <v>12</v>
      </c>
      <c r="G7" s="49">
        <f>PLANTILLA!Z11</f>
        <v>6.125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1/5</f>
        <v>0.2</v>
      </c>
      <c r="M7" s="96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1"/>
        <v>0</v>
      </c>
      <c r="Y7" s="116">
        <f t="shared" si="2"/>
        <v>0.33200000000000074</v>
      </c>
      <c r="Z7" s="116">
        <f t="shared" si="3"/>
        <v>5.5333333333337009E-2</v>
      </c>
      <c r="AB7" t="s">
        <v>471</v>
      </c>
      <c r="AC7" t="s">
        <v>153</v>
      </c>
      <c r="AE7" t="s">
        <v>632</v>
      </c>
      <c r="AF7" t="s">
        <v>212</v>
      </c>
    </row>
    <row r="8" spans="1:32" x14ac:dyDescent="0.25">
      <c r="A8" s="5" t="str">
        <f>PLANTILLA!A12</f>
        <v>#3</v>
      </c>
      <c r="B8" s="261" t="str">
        <f>PLANTILLA!D12</f>
        <v>S. Embe</v>
      </c>
      <c r="C8" s="5">
        <f>PLANTILLA!E12</f>
        <v>23</v>
      </c>
      <c r="D8" s="455">
        <f ca="1">PLANTILLA!F12</f>
        <v>146</v>
      </c>
      <c r="E8" s="49">
        <f>PLANTILLA!X12</f>
        <v>0</v>
      </c>
      <c r="F8" s="49">
        <f>PLANTILLA!Y12</f>
        <v>11</v>
      </c>
      <c r="G8" s="49">
        <f>PLANTILLA!Z12</f>
        <v>5.083333333333333</v>
      </c>
      <c r="H8" s="49">
        <f>PLANTILLA!AA12</f>
        <v>1</v>
      </c>
      <c r="I8" s="49">
        <f>PLANTILLA!AB12</f>
        <v>5</v>
      </c>
      <c r="J8" s="49">
        <f>PLANTILLA!AC12</f>
        <v>6.2</v>
      </c>
      <c r="K8" s="49">
        <f>PLANTILLA!AD12</f>
        <v>18.2</v>
      </c>
      <c r="L8" s="96">
        <f>1/(5)</f>
        <v>0.2</v>
      </c>
      <c r="M8" s="96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6">
        <f t="shared" si="1"/>
        <v>0</v>
      </c>
      <c r="Y8" s="116">
        <f t="shared" si="2"/>
        <v>0.33200000000000074</v>
      </c>
      <c r="Z8" s="116">
        <f t="shared" si="3"/>
        <v>5.5333333333333456E-2</v>
      </c>
      <c r="AB8" t="s">
        <v>135</v>
      </c>
      <c r="AC8" t="s">
        <v>235</v>
      </c>
      <c r="AE8" t="s">
        <v>627</v>
      </c>
      <c r="AF8" t="s">
        <v>152</v>
      </c>
    </row>
    <row r="9" spans="1:32" x14ac:dyDescent="0.25">
      <c r="A9" s="5" t="str">
        <f>PLANTILLA!A14</f>
        <v>#16</v>
      </c>
      <c r="B9" s="261" t="str">
        <f>PLANTILLA!D14</f>
        <v>I. Vanags</v>
      </c>
      <c r="C9" s="5">
        <f>PLANTILLA!E14</f>
        <v>22</v>
      </c>
      <c r="D9" s="455">
        <f ca="1">PLANTILLA!F14</f>
        <v>189</v>
      </c>
      <c r="E9" s="49">
        <f>PLANTILLA!X14</f>
        <v>0</v>
      </c>
      <c r="F9" s="49">
        <f>PLANTILLA!Y14</f>
        <v>4</v>
      </c>
      <c r="G9" s="49">
        <f>PLANTILLA!Z14</f>
        <v>13.222222222222221</v>
      </c>
      <c r="H9" s="49">
        <f>PLANTILLA!AA14</f>
        <v>3</v>
      </c>
      <c r="I9" s="49">
        <f>PLANTILLA!AB14</f>
        <v>4</v>
      </c>
      <c r="J9" s="49">
        <f>PLANTILLA!AC14</f>
        <v>7.2</v>
      </c>
      <c r="K9" s="49">
        <f>PLANTILLA!AD14</f>
        <v>17.666666666666668</v>
      </c>
      <c r="L9" s="96">
        <f>1/5</f>
        <v>0.2</v>
      </c>
      <c r="M9" s="96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6">
        <f t="shared" si="1"/>
        <v>8.3713636363636365E-2</v>
      </c>
      <c r="Y9" s="116">
        <f t="shared" si="2"/>
        <v>0.33200000000000074</v>
      </c>
      <c r="Z9" s="116">
        <f t="shared" si="3"/>
        <v>5.5333333333337009E-2</v>
      </c>
      <c r="AB9" t="s">
        <v>471</v>
      </c>
      <c r="AC9" t="s">
        <v>229</v>
      </c>
      <c r="AE9" t="s">
        <v>471</v>
      </c>
      <c r="AF9" t="s">
        <v>229</v>
      </c>
    </row>
    <row r="10" spans="1:32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191</v>
      </c>
      <c r="E10" s="49">
        <f>PLANTILLA!X18</f>
        <v>0</v>
      </c>
      <c r="F10" s="49">
        <f>PLANTILLA!Y18</f>
        <v>6</v>
      </c>
      <c r="G10" s="49">
        <f>PLANTILLA!Z18</f>
        <v>12.444444444444445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1/5</f>
        <v>0.2</v>
      </c>
      <c r="M10" s="96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6">
        <f t="shared" si="1"/>
        <v>7.5304545454545457E-2</v>
      </c>
      <c r="Y10" s="116">
        <f t="shared" si="2"/>
        <v>0.33200000000000074</v>
      </c>
      <c r="Z10" s="116">
        <f t="shared" si="3"/>
        <v>5.5333333333333456E-2</v>
      </c>
      <c r="AB10" t="s">
        <v>474</v>
      </c>
      <c r="AC10" t="s">
        <v>152</v>
      </c>
      <c r="AE10" t="s">
        <v>471</v>
      </c>
      <c r="AF10" t="s">
        <v>153</v>
      </c>
    </row>
    <row r="11" spans="1:32" x14ac:dyDescent="0.25">
      <c r="A11" s="5" t="str">
        <f>PLANTILLA!A19</f>
        <v>#10</v>
      </c>
      <c r="B11" s="261" t="str">
        <f>PLANTILLA!D19</f>
        <v>R. Forsyth</v>
      </c>
      <c r="C11" s="5">
        <f>PLANTILLA!E19</f>
        <v>23</v>
      </c>
      <c r="D11" s="455">
        <f ca="1">PLANTILLA!F19</f>
        <v>134</v>
      </c>
      <c r="E11" s="49">
        <f>PLANTILLA!X19</f>
        <v>0</v>
      </c>
      <c r="F11" s="49">
        <f>PLANTILLA!Y19</f>
        <v>7</v>
      </c>
      <c r="G11" s="49">
        <f>PLANTILLA!Z19</f>
        <v>13.222222222222221</v>
      </c>
      <c r="H11" s="49">
        <f>PLANTILLA!AA19</f>
        <v>3</v>
      </c>
      <c r="I11" s="49">
        <f>PLANTILLA!AB19</f>
        <v>4</v>
      </c>
      <c r="J11" s="49">
        <f>PLANTILLA!AC19</f>
        <v>6.2</v>
      </c>
      <c r="K11" s="49">
        <f>PLANTILLA!AD19</f>
        <v>16.25</v>
      </c>
      <c r="L11" s="96">
        <f>1/5</f>
        <v>0.2</v>
      </c>
      <c r="M11" s="96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6">
        <f t="shared" si="1"/>
        <v>7.5304545454545457E-2</v>
      </c>
      <c r="Y11" s="116">
        <f t="shared" si="2"/>
        <v>0.33200000000000074</v>
      </c>
      <c r="Z11" s="116">
        <f t="shared" si="3"/>
        <v>5.5333333333329904E-2</v>
      </c>
      <c r="AB11" t="s">
        <v>474</v>
      </c>
      <c r="AC11" t="s">
        <v>236</v>
      </c>
      <c r="AE11" t="s">
        <v>474</v>
      </c>
      <c r="AF11" t="s">
        <v>236</v>
      </c>
    </row>
    <row r="12" spans="1:32" x14ac:dyDescent="0.25">
      <c r="A12" s="5" t="str">
        <f>PLANTILLA!A17</f>
        <v>#9</v>
      </c>
      <c r="B12" s="261" t="str">
        <f>PLANTILLA!D17</f>
        <v>M. Bondarewski</v>
      </c>
      <c r="C12" s="5">
        <f>PLANTILLA!E17</f>
        <v>22</v>
      </c>
      <c r="D12" s="455">
        <f ca="1">PLANTILLA!F17</f>
        <v>205</v>
      </c>
      <c r="E12" s="49">
        <f>PLANTILLA!X17</f>
        <v>0</v>
      </c>
      <c r="F12" s="49">
        <f>PLANTILLA!Y17</f>
        <v>2</v>
      </c>
      <c r="G12" s="49">
        <f>PLANTILLA!Z17</f>
        <v>13.666666666666666</v>
      </c>
      <c r="H12" s="49">
        <f>PLANTILLA!AA17</f>
        <v>5</v>
      </c>
      <c r="I12" s="49">
        <f>PLANTILLA!AB17</f>
        <v>4</v>
      </c>
      <c r="J12" s="49">
        <f>PLANTILLA!AC17</f>
        <v>8.1666666666666661</v>
      </c>
      <c r="K12" s="49">
        <f>PLANTILLA!AD17</f>
        <v>18.166666666666668</v>
      </c>
      <c r="L12" s="96">
        <f>1/6</f>
        <v>0.16666666666666666</v>
      </c>
      <c r="M12" s="96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6">
        <f t="shared" si="1"/>
        <v>6.9761363636363635E-2</v>
      </c>
      <c r="Y12" s="116">
        <f t="shared" si="2"/>
        <v>0.27666666666666906</v>
      </c>
      <c r="Z12" s="116">
        <f t="shared" si="3"/>
        <v>4.6111111111116543E-2</v>
      </c>
      <c r="AB12" t="s">
        <v>21</v>
      </c>
      <c r="AC12" t="s">
        <v>232</v>
      </c>
      <c r="AE12" t="s">
        <v>474</v>
      </c>
      <c r="AF12" t="s">
        <v>184</v>
      </c>
    </row>
    <row r="13" spans="1:32" x14ac:dyDescent="0.25">
      <c r="A13" s="5" t="str">
        <f>PLANTILLA!A16</f>
        <v>#14</v>
      </c>
      <c r="B13" s="261" t="str">
        <f>PLANTILLA!D16</f>
        <v>G. Piscaer</v>
      </c>
      <c r="C13" s="5">
        <f>PLANTILLA!E16</f>
        <v>22</v>
      </c>
      <c r="D13" s="455">
        <f ca="1">PLANTILLA!F16</f>
        <v>205</v>
      </c>
      <c r="E13" s="49">
        <f>PLANTILLA!X16</f>
        <v>0</v>
      </c>
      <c r="F13" s="49">
        <f>PLANTILLA!Y16</f>
        <v>4</v>
      </c>
      <c r="G13" s="49">
        <f>PLANTILLA!Z16</f>
        <v>13.666666666666666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1/6</f>
        <v>0.16666666666666666</v>
      </c>
      <c r="M13" s="96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6">
        <f t="shared" si="1"/>
        <v>6.2753787878787881E-2</v>
      </c>
      <c r="Y13" s="116">
        <f t="shared" si="2"/>
        <v>0.27666666666666373</v>
      </c>
      <c r="Z13" s="116">
        <f t="shared" si="3"/>
        <v>4.611111111111299E-2</v>
      </c>
      <c r="AB13" t="s">
        <v>21</v>
      </c>
      <c r="AC13" t="s">
        <v>184</v>
      </c>
      <c r="AE13" t="s">
        <v>21</v>
      </c>
      <c r="AF13" t="s">
        <v>232</v>
      </c>
    </row>
    <row r="14" spans="1:32" x14ac:dyDescent="0.25">
      <c r="A14" s="5" t="str">
        <f>PLANTILLA!A15</f>
        <v>#8</v>
      </c>
      <c r="B14" s="261" t="str">
        <f>PLANTILLA!D15</f>
        <v>I. Stone</v>
      </c>
      <c r="C14" s="5">
        <f>PLANTILLA!E15</f>
        <v>22</v>
      </c>
      <c r="D14" s="455">
        <f ca="1">PLANTILLA!F15</f>
        <v>132</v>
      </c>
      <c r="E14" s="49">
        <f>PLANTILLA!X15</f>
        <v>0</v>
      </c>
      <c r="F14" s="49">
        <f>PLANTILLA!Y15</f>
        <v>3</v>
      </c>
      <c r="G14" s="49">
        <f>PLANTILLA!Z15</f>
        <v>12.222222222222221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1/7</f>
        <v>0.14285714285714285</v>
      </c>
      <c r="M14" s="96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6">
        <f t="shared" si="1"/>
        <v>5.9795454545454547E-2</v>
      </c>
      <c r="Y14" s="116">
        <f t="shared" si="2"/>
        <v>0.23714285714285666</v>
      </c>
      <c r="Z14" s="116">
        <f t="shared" si="3"/>
        <v>3.9523809523807074E-2</v>
      </c>
    </row>
    <row r="15" spans="1:32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234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  <c r="Z15" s="116"/>
    </row>
    <row r="16" spans="1:32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161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  <c r="Z16" s="116"/>
    </row>
    <row r="17" spans="1:26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133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  <c r="Z17" s="116"/>
    </row>
    <row r="18" spans="1:26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141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  <c r="Z18" s="116"/>
    </row>
    <row r="19" spans="1:26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  <c r="Z19" s="116"/>
    </row>
    <row r="20" spans="1:26" x14ac:dyDescent="0.25">
      <c r="A20" s="5" t="e">
        <f>PLANTILLA!#REF!</f>
        <v>#REF!</v>
      </c>
      <c r="B20" s="261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  <c r="Z20" s="116"/>
    </row>
    <row r="21" spans="1:26" x14ac:dyDescent="0.25">
      <c r="A21" s="5" t="str">
        <f>PLANTILLA!A8</f>
        <v>#2</v>
      </c>
      <c r="B21" s="261" t="str">
        <f>PLANTILLA!D8</f>
        <v>L. Tutorić</v>
      </c>
      <c r="C21" s="5">
        <f>PLANTILLA!E8</f>
        <v>29</v>
      </c>
      <c r="D21" s="455">
        <f ca="1">PLANTILLA!F8</f>
        <v>188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  <c r="Z21" s="116"/>
    </row>
    <row r="22" spans="1:26" x14ac:dyDescent="0.25">
      <c r="A22" s="5" t="str">
        <f>PLANTILLA!A21</f>
        <v>#11</v>
      </c>
      <c r="B22" s="261" t="str">
        <f>PLANTILLA!D21</f>
        <v>J-P. Kechele</v>
      </c>
      <c r="C22" s="5">
        <f>PLANTILLA!E21</f>
        <v>30</v>
      </c>
      <c r="D22" s="455">
        <f ca="1">PLANTILLA!F21</f>
        <v>167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  <c r="Z22" s="116"/>
    </row>
    <row r="23" spans="1:26" x14ac:dyDescent="0.25">
      <c r="A23" s="5" t="str">
        <f>PLANTILLA!A22</f>
        <v>#29</v>
      </c>
      <c r="B23" s="261" t="str">
        <f>PLANTILLA!D22</f>
        <v>S. Zobbe</v>
      </c>
      <c r="C23" s="5">
        <f>PLANTILLA!E22</f>
        <v>36</v>
      </c>
      <c r="D23" s="455">
        <f ca="1">PLANTILLA!F22</f>
        <v>169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6"/>
      <c r="Y23" s="116"/>
      <c r="Z23" s="116"/>
    </row>
    <row r="24" spans="1:26" x14ac:dyDescent="0.25">
      <c r="A24" s="5" t="str">
        <f>PLANTILLA!A23</f>
        <v>#28</v>
      </c>
      <c r="B24" s="261" t="str">
        <f>PLANTILLA!D23</f>
        <v>P .Trivadi</v>
      </c>
      <c r="C24" s="5">
        <f>PLANTILLA!E23</f>
        <v>35</v>
      </c>
      <c r="D24" s="455">
        <f ca="1">PLANTILLA!F23</f>
        <v>237</v>
      </c>
      <c r="E24" s="49">
        <f>PLANTILLA!X23</f>
        <v>0</v>
      </c>
      <c r="F24" s="49">
        <f>PLANTILLA!Y23</f>
        <v>3.95</v>
      </c>
      <c r="G24" s="49">
        <f>PLANTILLA!Z23</f>
        <v>5.95</v>
      </c>
      <c r="H24" s="49">
        <f>PLANTILLA!AA23</f>
        <v>3.95</v>
      </c>
      <c r="I24" s="49">
        <f>PLANTILLA!AB23</f>
        <v>9.9499999999999993</v>
      </c>
      <c r="J24" s="49">
        <f>PLANTILLA!AC23</f>
        <v>5.95</v>
      </c>
      <c r="K24" s="49">
        <f>PLANTILLA!AD23</f>
        <v>15.95</v>
      </c>
      <c r="S24" s="48"/>
      <c r="T24" s="48"/>
      <c r="U24" s="48"/>
      <c r="V24" s="48"/>
      <c r="W24" s="48"/>
    </row>
    <row r="25" spans="1:26" x14ac:dyDescent="0.25">
      <c r="A25" s="5">
        <f>PLANTILLA!A24</f>
        <v>0</v>
      </c>
      <c r="B25" s="261">
        <f>PLANTILLA!D24</f>
        <v>0</v>
      </c>
      <c r="C25" s="5">
        <f>PLANTILLA!E24</f>
        <v>0</v>
      </c>
      <c r="D25" s="455">
        <f>PLANTILLA!F24</f>
        <v>0</v>
      </c>
      <c r="E25" s="49">
        <f>PLANTILLA!X24</f>
        <v>0</v>
      </c>
      <c r="F25" s="49">
        <f>PLANTILLA!Y24</f>
        <v>0</v>
      </c>
      <c r="G25" s="49">
        <f>PLANTILLA!Z24</f>
        <v>0</v>
      </c>
      <c r="H25" s="49">
        <f>PLANTILLA!AA24</f>
        <v>0</v>
      </c>
      <c r="I25" s="49">
        <f>PLANTILLA!AB24</f>
        <v>0</v>
      </c>
      <c r="J25" s="49">
        <f>PLANTILLA!AC24</f>
        <v>0</v>
      </c>
      <c r="K25" s="49">
        <f>PLANTILLA!AD24</f>
        <v>0</v>
      </c>
      <c r="S25" s="48"/>
      <c r="T25" s="48"/>
      <c r="U25" s="48"/>
      <c r="V25" s="48"/>
      <c r="W25" s="48"/>
    </row>
    <row r="26" spans="1:26" x14ac:dyDescent="0.25">
      <c r="A26" s="5">
        <f>PLANTILLA!A25</f>
        <v>0</v>
      </c>
      <c r="B26" s="261">
        <f>PLANTILLA!D25</f>
        <v>0</v>
      </c>
      <c r="C26" s="5">
        <f>PLANTILLA!E25</f>
        <v>0</v>
      </c>
      <c r="D26" s="455">
        <f>PLANTILLA!F25</f>
        <v>0</v>
      </c>
      <c r="E26" s="49">
        <f>PLANTILLA!X25</f>
        <v>0</v>
      </c>
      <c r="F26" s="49">
        <f>PLANTILLA!Y25</f>
        <v>0</v>
      </c>
      <c r="G26" s="49">
        <f>PLANTILLA!Z25</f>
        <v>0</v>
      </c>
      <c r="H26" s="49">
        <f>PLANTILLA!AA25</f>
        <v>0</v>
      </c>
      <c r="I26" s="49">
        <f>PLANTILLA!AB25</f>
        <v>0</v>
      </c>
      <c r="J26" s="49">
        <f>PLANTILLA!AC25</f>
        <v>0</v>
      </c>
      <c r="K26" s="49">
        <f>PLANTILLA!AD25</f>
        <v>0</v>
      </c>
      <c r="S26" s="48"/>
      <c r="T26" s="48"/>
      <c r="U26" s="48"/>
      <c r="V26" s="48"/>
      <c r="W26" s="48"/>
    </row>
    <row r="27" spans="1:26" x14ac:dyDescent="0.25">
      <c r="A27" s="5">
        <f>PLANTILLA!A26</f>
        <v>0</v>
      </c>
      <c r="B27" s="261">
        <f>PLANTILLA!D26</f>
        <v>0</v>
      </c>
      <c r="C27" s="5">
        <f>PLANTILLA!E26</f>
        <v>0</v>
      </c>
      <c r="D27" s="455">
        <f>PLANTILLA!F26</f>
        <v>0</v>
      </c>
      <c r="E27" s="49">
        <f>PLANTILLA!X26</f>
        <v>0</v>
      </c>
      <c r="F27" s="49">
        <f>PLANTILLA!Y26</f>
        <v>0</v>
      </c>
      <c r="G27" s="49">
        <f>PLANTILLA!Z26</f>
        <v>0</v>
      </c>
      <c r="H27" s="49">
        <f>PLANTILLA!AA26</f>
        <v>0</v>
      </c>
      <c r="I27" s="49">
        <f>PLANTILLA!AB26</f>
        <v>0</v>
      </c>
      <c r="J27" s="49">
        <f>PLANTILLA!AC26</f>
        <v>0</v>
      </c>
      <c r="K27" s="49">
        <f>PLANTILLA!AD26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Y14" sqref="Y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633</v>
      </c>
      <c r="O1"/>
      <c r="AA1" t="s">
        <v>634</v>
      </c>
      <c r="AD1" t="s">
        <v>635</v>
      </c>
    </row>
    <row r="2" spans="1:31" x14ac:dyDescent="0.25">
      <c r="B2" s="206">
        <v>44035</v>
      </c>
      <c r="O2"/>
      <c r="X2" s="205">
        <f>SUM(X4:X21)</f>
        <v>0.21529836523125997</v>
      </c>
      <c r="Y2" s="205">
        <f>SUM(Y4:Y21)</f>
        <v>2.0033481620718465</v>
      </c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0.5</v>
      </c>
      <c r="M3" s="200" t="s">
        <v>198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648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213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1/8</f>
        <v>0.125</v>
      </c>
      <c r="M4" s="96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0">MAX(N4:W4)</f>
        <v>0</v>
      </c>
      <c r="Y4" s="116">
        <f t="shared" ref="Y4:Y14" si="1">(1.66*(J4+L4)+0.55*(K4+M4)-7.6)-(1.66*(J4)+0.55*(K4)-7.6)</f>
        <v>0.22787037037037194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261" t="str">
        <f>PLANTILLA!D13</f>
        <v>E. Deus</v>
      </c>
      <c r="C5" s="5">
        <f>PLANTILLA!E13</f>
        <v>22</v>
      </c>
      <c r="D5" s="455">
        <f ca="1">PLANTILLA!F13</f>
        <v>129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1/8</f>
        <v>0.125</v>
      </c>
      <c r="M5" s="96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0"/>
        <v>0</v>
      </c>
      <c r="Y5" s="116">
        <f t="shared" si="1"/>
        <v>0.2232142857142847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190</v>
      </c>
      <c r="E6" s="49">
        <f>PLANTILLA!X9</f>
        <v>0</v>
      </c>
      <c r="F6" s="49">
        <f>PLANTILLA!Y9</f>
        <v>12</v>
      </c>
      <c r="G6" s="49">
        <f>PLANTILLA!Z9</f>
        <v>7.2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1/9.5</f>
        <v>0.10526315789473684</v>
      </c>
      <c r="M6" s="96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0"/>
        <v>0</v>
      </c>
      <c r="Y6" s="116">
        <f t="shared" si="1"/>
        <v>0.19045112781954643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202</v>
      </c>
      <c r="E7" s="49">
        <f>PLANTILLA!X11</f>
        <v>0</v>
      </c>
      <c r="F7" s="49">
        <f>PLANTILLA!Y11</f>
        <v>12</v>
      </c>
      <c r="G7" s="49">
        <f>PLANTILLA!Z11</f>
        <v>6.125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1/9.5</f>
        <v>0.10526315789473684</v>
      </c>
      <c r="M7" s="96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0"/>
        <v>0</v>
      </c>
      <c r="Y7" s="116">
        <f t="shared" si="1"/>
        <v>0.19045112781954998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PLANTILLA!A19</f>
        <v>#10</v>
      </c>
      <c r="B8" s="261" t="str">
        <f>PLANTILLA!D19</f>
        <v>R. Forsyth</v>
      </c>
      <c r="C8" s="5">
        <f>PLANTILLA!E19</f>
        <v>23</v>
      </c>
      <c r="D8" s="455">
        <f ca="1">PLANTILLA!F19</f>
        <v>134</v>
      </c>
      <c r="E8" s="49">
        <f>PLANTILLA!X19</f>
        <v>0</v>
      </c>
      <c r="F8" s="49">
        <f>PLANTILLA!Y19</f>
        <v>7</v>
      </c>
      <c r="G8" s="49">
        <f>PLANTILLA!Z19</f>
        <v>13.222222222222221</v>
      </c>
      <c r="H8" s="49">
        <f>PLANTILLA!AA19</f>
        <v>3</v>
      </c>
      <c r="I8" s="49">
        <f>PLANTILLA!AB19</f>
        <v>4</v>
      </c>
      <c r="J8" s="49">
        <f>PLANTILLA!AC19</f>
        <v>6.2</v>
      </c>
      <c r="K8" s="49">
        <f>PLANTILLA!AD19</f>
        <v>16.25</v>
      </c>
      <c r="L8" s="96">
        <f>1/10</f>
        <v>0.1</v>
      </c>
      <c r="M8" s="96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6">
        <f t="shared" si="0"/>
        <v>3.7652272727272729E-2</v>
      </c>
      <c r="Y8" s="116">
        <f t="shared" si="1"/>
        <v>0.18637037037036919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PLANTILLA!A12</f>
        <v>#3</v>
      </c>
      <c r="B9" s="261" t="str">
        <f>PLANTILLA!D12</f>
        <v>S. Embe</v>
      </c>
      <c r="C9" s="5">
        <f>PLANTILLA!E12</f>
        <v>23</v>
      </c>
      <c r="D9" s="455">
        <f ca="1">PLANTILLA!F12</f>
        <v>146</v>
      </c>
      <c r="E9" s="49">
        <f>PLANTILLA!X12</f>
        <v>0</v>
      </c>
      <c r="F9" s="49">
        <f>PLANTILLA!Y12</f>
        <v>11</v>
      </c>
      <c r="G9" s="49">
        <f>PLANTILLA!Z12</f>
        <v>5.083333333333333</v>
      </c>
      <c r="H9" s="49">
        <f>PLANTILLA!AA12</f>
        <v>1</v>
      </c>
      <c r="I9" s="49">
        <f>PLANTILLA!AB12</f>
        <v>5</v>
      </c>
      <c r="J9" s="49">
        <f>PLANTILLA!AC12</f>
        <v>6.2</v>
      </c>
      <c r="K9" s="49">
        <f>PLANTILLA!AD12</f>
        <v>18.2</v>
      </c>
      <c r="L9" s="96">
        <f>1/9.5</f>
        <v>0.10526315789473684</v>
      </c>
      <c r="M9" s="96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6">
        <f t="shared" si="0"/>
        <v>0</v>
      </c>
      <c r="Y9" s="116">
        <f t="shared" si="1"/>
        <v>0.18161184210526216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191</v>
      </c>
      <c r="E10" s="49">
        <f>PLANTILLA!X18</f>
        <v>0</v>
      </c>
      <c r="F10" s="49">
        <f>PLANTILLA!Y18</f>
        <v>6</v>
      </c>
      <c r="G10" s="49">
        <f>PLANTILLA!Z18</f>
        <v>12.444444444444445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1/9.5</f>
        <v>0.10526315789473684</v>
      </c>
      <c r="M10" s="96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6">
        <f t="shared" si="0"/>
        <v>3.9633971291866028E-2</v>
      </c>
      <c r="Y10" s="116">
        <f t="shared" si="1"/>
        <v>0.18161184210526216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189</v>
      </c>
      <c r="E11" s="49">
        <f>PLANTILLA!X14</f>
        <v>0</v>
      </c>
      <c r="F11" s="49">
        <f>PLANTILLA!Y14</f>
        <v>4</v>
      </c>
      <c r="G11" s="49">
        <f>PLANTILLA!Z14</f>
        <v>13.222222222222221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1/10</f>
        <v>0.1</v>
      </c>
      <c r="M11" s="96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6">
        <f t="shared" si="0"/>
        <v>4.1856818181818183E-2</v>
      </c>
      <c r="Y11" s="116">
        <f t="shared" si="1"/>
        <v>0.1782222222222245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PLANTILLA!A16</f>
        <v>#14</v>
      </c>
      <c r="B12" s="261" t="str">
        <f>PLANTILLA!D16</f>
        <v>G. Piscaer</v>
      </c>
      <c r="C12" s="5">
        <f>PLANTILLA!E16</f>
        <v>22</v>
      </c>
      <c r="D12" s="455">
        <f ca="1">PLANTILLA!F16</f>
        <v>205</v>
      </c>
      <c r="E12" s="49">
        <f>PLANTILLA!X16</f>
        <v>0</v>
      </c>
      <c r="F12" s="49">
        <f>PLANTILLA!Y16</f>
        <v>4</v>
      </c>
      <c r="G12" s="49">
        <f>PLANTILLA!Z16</f>
        <v>13.666666666666666</v>
      </c>
      <c r="H12" s="49">
        <f>PLANTILLA!AA16</f>
        <v>3</v>
      </c>
      <c r="I12" s="49">
        <f>PLANTILLA!AB16</f>
        <v>2</v>
      </c>
      <c r="J12" s="49">
        <f>PLANTILLA!AC16</f>
        <v>8.1666666666666661</v>
      </c>
      <c r="K12" s="49">
        <f>PLANTILLA!AD16</f>
        <v>15.666666666666666</v>
      </c>
      <c r="L12" s="96">
        <f>1/12</f>
        <v>8.3333333333333329E-2</v>
      </c>
      <c r="M12" s="96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6">
        <f t="shared" si="0"/>
        <v>3.1376893939393941E-2</v>
      </c>
      <c r="Y12" s="116">
        <f t="shared" si="1"/>
        <v>0.15870370370370424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PLANTILLA!A17</f>
        <v>#9</v>
      </c>
      <c r="B13" s="261" t="str">
        <f>PLANTILLA!D17</f>
        <v>M. Bondarewski</v>
      </c>
      <c r="C13" s="5">
        <f>PLANTILLA!E17</f>
        <v>22</v>
      </c>
      <c r="D13" s="455">
        <f ca="1">PLANTILLA!F17</f>
        <v>205</v>
      </c>
      <c r="E13" s="49">
        <f>PLANTILLA!X17</f>
        <v>0</v>
      </c>
      <c r="F13" s="49">
        <f>PLANTILLA!Y17</f>
        <v>2</v>
      </c>
      <c r="G13" s="49">
        <f>PLANTILLA!Z17</f>
        <v>13.666666666666666</v>
      </c>
      <c r="H13" s="49">
        <f>PLANTILLA!AA17</f>
        <v>5</v>
      </c>
      <c r="I13" s="49">
        <f>PLANTILLA!AB17</f>
        <v>4</v>
      </c>
      <c r="J13" s="49">
        <f>PLANTILLA!AC17</f>
        <v>8.1666666666666661</v>
      </c>
      <c r="K13" s="49">
        <f>PLANTILLA!AD17</f>
        <v>18.166666666666668</v>
      </c>
      <c r="L13" s="96">
        <f>1/12</f>
        <v>8.3333333333333329E-2</v>
      </c>
      <c r="M13" s="96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6">
        <f t="shared" si="0"/>
        <v>3.4880681818181818E-2</v>
      </c>
      <c r="Y13" s="116">
        <f t="shared" si="1"/>
        <v>0.15055555555555422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PLANTILLA!A15</f>
        <v>#8</v>
      </c>
      <c r="B14" s="261" t="str">
        <f>PLANTILLA!D15</f>
        <v>I. Stone</v>
      </c>
      <c r="C14" s="5">
        <f>PLANTILLA!E15</f>
        <v>22</v>
      </c>
      <c r="D14" s="455">
        <f ca="1">PLANTILLA!F15</f>
        <v>132</v>
      </c>
      <c r="E14" s="49">
        <f>PLANTILLA!X15</f>
        <v>0</v>
      </c>
      <c r="F14" s="49">
        <f>PLANTILLA!Y15</f>
        <v>3</v>
      </c>
      <c r="G14" s="49">
        <f>PLANTILLA!Z15</f>
        <v>12.222222222222221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1/14</f>
        <v>7.1428571428571425E-2</v>
      </c>
      <c r="M14" s="96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6">
        <f t="shared" si="0"/>
        <v>2.9897727272727274E-2</v>
      </c>
      <c r="Y14" s="116">
        <f t="shared" si="1"/>
        <v>0.13428571428571701</v>
      </c>
    </row>
    <row r="15" spans="1:31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234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</row>
    <row r="16" spans="1:31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161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</row>
    <row r="17" spans="1:25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133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</row>
    <row r="18" spans="1:25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141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</row>
    <row r="19" spans="1:25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</row>
    <row r="20" spans="1:25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188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</row>
    <row r="21" spans="1:25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167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</row>
    <row r="22" spans="1:25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169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</row>
    <row r="23" spans="1:25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237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5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633</v>
      </c>
      <c r="O1"/>
      <c r="Z1" t="s">
        <v>634</v>
      </c>
      <c r="AC1" t="s">
        <v>635</v>
      </c>
    </row>
    <row r="2" spans="1:30" x14ac:dyDescent="0.25">
      <c r="B2" s="206">
        <v>44035</v>
      </c>
      <c r="O2"/>
      <c r="X2" s="205">
        <f>SUM(X4:X21)</f>
        <v>1.8291770186335459</v>
      </c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1.25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646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213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1/2.3</f>
        <v>0.43478260869565222</v>
      </c>
      <c r="M4" s="96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6">
        <f t="shared" ref="X4:X14" si="1">(1.66*(J4)+0.55*(K4+L4)-7.6)-(1.66*(J4)+0.55*(K4)-7.6)</f>
        <v>0.23913043478260576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PLANTILLA!A19</f>
        <v>#10</v>
      </c>
      <c r="B5" s="261" t="str">
        <f>PLANTILLA!D19</f>
        <v>R. Forsyth</v>
      </c>
      <c r="C5" s="5">
        <f>PLANTILLA!E19</f>
        <v>23</v>
      </c>
      <c r="D5" s="455">
        <f ca="1">PLANTILLA!F19</f>
        <v>134</v>
      </c>
      <c r="E5" s="49">
        <f>PLANTILLA!X19</f>
        <v>0</v>
      </c>
      <c r="F5" s="49">
        <f>PLANTILLA!Y19</f>
        <v>7</v>
      </c>
      <c r="G5" s="49">
        <f>PLANTILLA!Z19</f>
        <v>13.222222222222221</v>
      </c>
      <c r="H5" s="49">
        <f>PLANTILLA!AA19</f>
        <v>3</v>
      </c>
      <c r="I5" s="49">
        <f>PLANTILLA!AB19</f>
        <v>4</v>
      </c>
      <c r="J5" s="49">
        <f>PLANTILLA!AC19</f>
        <v>6.2</v>
      </c>
      <c r="K5" s="49">
        <f>PLANTILLA!AD19</f>
        <v>16.25</v>
      </c>
      <c r="L5" s="96">
        <f t="shared" ref="L5:L6" si="2">1/2.3</f>
        <v>0.43478260869565222</v>
      </c>
      <c r="M5" s="96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6">
        <f t="shared" si="1"/>
        <v>0.23913043478260931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PLANTILLA!A16</f>
        <v>#14</v>
      </c>
      <c r="B6" s="261" t="str">
        <f>PLANTILLA!D16</f>
        <v>G. Piscaer</v>
      </c>
      <c r="C6" s="5">
        <f>PLANTILLA!E16</f>
        <v>22</v>
      </c>
      <c r="D6" s="455">
        <f ca="1">PLANTILLA!F16</f>
        <v>205</v>
      </c>
      <c r="E6" s="49">
        <f>PLANTILLA!X16</f>
        <v>0</v>
      </c>
      <c r="F6" s="49">
        <f>PLANTILLA!Y16</f>
        <v>4</v>
      </c>
      <c r="G6" s="49">
        <f>PLANTILLA!Z16</f>
        <v>13.666666666666666</v>
      </c>
      <c r="H6" s="49">
        <f>PLANTILLA!AA16</f>
        <v>3</v>
      </c>
      <c r="I6" s="49">
        <f>PLANTILLA!AB16</f>
        <v>2</v>
      </c>
      <c r="J6" s="49">
        <f>PLANTILLA!AC16</f>
        <v>8.1666666666666661</v>
      </c>
      <c r="K6" s="49">
        <f>PLANTILLA!AD16</f>
        <v>15.666666666666666</v>
      </c>
      <c r="L6" s="96">
        <f t="shared" si="2"/>
        <v>0.43478260869565222</v>
      </c>
      <c r="M6" s="96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6">
        <f t="shared" si="1"/>
        <v>0.23913043478260931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PLANTILLA!A17</f>
        <v>#9</v>
      </c>
      <c r="B7" s="261" t="str">
        <f>PLANTILLA!D17</f>
        <v>M. Bondarewski</v>
      </c>
      <c r="C7" s="5">
        <f>PLANTILLA!E17</f>
        <v>22</v>
      </c>
      <c r="D7" s="455">
        <f ca="1">PLANTILLA!F17</f>
        <v>205</v>
      </c>
      <c r="E7" s="49">
        <f>PLANTILLA!X17</f>
        <v>0</v>
      </c>
      <c r="F7" s="49">
        <f>PLANTILLA!Y17</f>
        <v>2</v>
      </c>
      <c r="G7" s="49">
        <f>PLANTILLA!Z17</f>
        <v>13.666666666666666</v>
      </c>
      <c r="H7" s="49">
        <f>PLANTILLA!AA17</f>
        <v>5</v>
      </c>
      <c r="I7" s="49">
        <f>PLANTILLA!AB17</f>
        <v>4</v>
      </c>
      <c r="J7" s="49">
        <f>PLANTILLA!AC17</f>
        <v>8.1666666666666661</v>
      </c>
      <c r="K7" s="49">
        <f>PLANTILLA!AD17</f>
        <v>18.166666666666668</v>
      </c>
      <c r="L7" s="96">
        <f>1/4</f>
        <v>0.25</v>
      </c>
      <c r="M7" s="96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6">
        <f t="shared" si="1"/>
        <v>0.13750000000000107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PLANTILLA!A9</f>
        <v>#2</v>
      </c>
      <c r="B8" s="261" t="str">
        <f>PLANTILLA!D9</f>
        <v>S. Swärdborn</v>
      </c>
      <c r="C8" s="5">
        <f>PLANTILLA!E9</f>
        <v>22</v>
      </c>
      <c r="D8" s="455">
        <f ca="1">PLANTILLA!F9</f>
        <v>190</v>
      </c>
      <c r="E8" s="49">
        <f>PLANTILLA!X9</f>
        <v>0</v>
      </c>
      <c r="F8" s="49">
        <f>PLANTILLA!Y9</f>
        <v>12</v>
      </c>
      <c r="G8" s="49">
        <f>PLANTILLA!Z9</f>
        <v>7.2</v>
      </c>
      <c r="H8" s="49">
        <f>PLANTILLA!AA9</f>
        <v>1</v>
      </c>
      <c r="I8" s="49">
        <f>PLANTILLA!AB9</f>
        <v>3</v>
      </c>
      <c r="J8" s="49">
        <f>PLANTILLA!AC9</f>
        <v>6.2</v>
      </c>
      <c r="K8" s="49">
        <f>PLANTILLA!AD9</f>
        <v>16.5</v>
      </c>
      <c r="L8" s="96">
        <f>1/4</f>
        <v>0.25</v>
      </c>
      <c r="M8" s="96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6">
        <f t="shared" si="1"/>
        <v>0.13749999999999929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PLANTILLA!A11</f>
        <v>#22</v>
      </c>
      <c r="B9" s="261" t="str">
        <f>PLANTILLA!D11</f>
        <v>V. Gardner</v>
      </c>
      <c r="C9" s="5">
        <f>PLANTILLA!E11</f>
        <v>22</v>
      </c>
      <c r="D9" s="455">
        <f ca="1">PLANTILLA!F11</f>
        <v>202</v>
      </c>
      <c r="E9" s="49">
        <f>PLANTILLA!X11</f>
        <v>0</v>
      </c>
      <c r="F9" s="49">
        <f>PLANTILLA!Y11</f>
        <v>12</v>
      </c>
      <c r="G9" s="49">
        <f>PLANTILLA!Z11</f>
        <v>6.125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1/3.5</f>
        <v>0.2857142857142857</v>
      </c>
      <c r="M9" s="96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6">
        <f t="shared" si="1"/>
        <v>0.15714285714285836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PLANTILLA!A13</f>
        <v>#4</v>
      </c>
      <c r="B10" s="261" t="str">
        <f>PLANTILLA!D13</f>
        <v>E. Deus</v>
      </c>
      <c r="C10" s="5">
        <f>PLANTILLA!E13</f>
        <v>22</v>
      </c>
      <c r="D10" s="455">
        <f ca="1">PLANTILLA!F13</f>
        <v>129</v>
      </c>
      <c r="E10" s="49">
        <f>PLANTILLA!X13</f>
        <v>0</v>
      </c>
      <c r="F10" s="49">
        <f>PLANTILLA!Y13</f>
        <v>11</v>
      </c>
      <c r="G10" s="49">
        <f>PLANTILLA!Z13</f>
        <v>7.2333333333333325</v>
      </c>
      <c r="H10" s="49">
        <f>PLANTILLA!AA13</f>
        <v>1</v>
      </c>
      <c r="I10" s="49">
        <f>PLANTILLA!AB13</f>
        <v>6</v>
      </c>
      <c r="J10" s="49">
        <f>PLANTILLA!AC13</f>
        <v>5.25</v>
      </c>
      <c r="K10" s="49">
        <f>PLANTILLA!AD13</f>
        <v>16.75</v>
      </c>
      <c r="L10" s="96">
        <f>1/4</f>
        <v>0.25</v>
      </c>
      <c r="M10" s="96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6">
        <f t="shared" si="1"/>
        <v>0.13749999999999929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189</v>
      </c>
      <c r="E11" s="49">
        <f>PLANTILLA!X14</f>
        <v>0</v>
      </c>
      <c r="F11" s="49">
        <f>PLANTILLA!Y14</f>
        <v>4</v>
      </c>
      <c r="G11" s="49">
        <f>PLANTILLA!Z14</f>
        <v>13.222222222222221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1/3.5</f>
        <v>0.2857142857142857</v>
      </c>
      <c r="M11" s="96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6">
        <f t="shared" si="1"/>
        <v>0.15714285714285836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PLANTILLA!A15</f>
        <v>#8</v>
      </c>
      <c r="B12" s="261" t="str">
        <f>PLANTILLA!D15</f>
        <v>I. Stone</v>
      </c>
      <c r="C12" s="5">
        <f>PLANTILLA!E15</f>
        <v>22</v>
      </c>
      <c r="D12" s="455">
        <f ca="1">PLANTILLA!F15</f>
        <v>132</v>
      </c>
      <c r="E12" s="49">
        <f>PLANTILLA!X15</f>
        <v>0</v>
      </c>
      <c r="F12" s="49">
        <f>PLANTILLA!Y15</f>
        <v>3</v>
      </c>
      <c r="G12" s="49">
        <f>PLANTILLA!Z15</f>
        <v>12.222222222222221</v>
      </c>
      <c r="H12" s="49">
        <f>PLANTILLA!AA15</f>
        <v>2</v>
      </c>
      <c r="I12" s="49">
        <f>PLANTILLA!AB15</f>
        <v>6</v>
      </c>
      <c r="J12" s="49">
        <f>PLANTILLA!AC15</f>
        <v>9.1428571428571423</v>
      </c>
      <c r="K12" s="49">
        <f>PLANTILLA!AD15</f>
        <v>16.5</v>
      </c>
      <c r="L12" s="96">
        <f>1/4</f>
        <v>0.25</v>
      </c>
      <c r="M12" s="96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6">
        <f t="shared" si="1"/>
        <v>0.13750000000000284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PLANTILLA!A18</f>
        <v>#12</v>
      </c>
      <c r="B13" s="261" t="str">
        <f>PLANTILLA!D18</f>
        <v>P. Tuderek</v>
      </c>
      <c r="C13" s="5">
        <f>PLANTILLA!E18</f>
        <v>22</v>
      </c>
      <c r="D13" s="455">
        <f ca="1">PLANTILLA!F18</f>
        <v>191</v>
      </c>
      <c r="E13" s="49">
        <f>PLANTILLA!X18</f>
        <v>0</v>
      </c>
      <c r="F13" s="49">
        <f>PLANTILLA!Y18</f>
        <v>6</v>
      </c>
      <c r="G13" s="49">
        <f>PLANTILLA!Z18</f>
        <v>12.444444444444445</v>
      </c>
      <c r="H13" s="49">
        <f>PLANTILLA!AA18</f>
        <v>2</v>
      </c>
      <c r="I13" s="49">
        <f>PLANTILLA!AB18</f>
        <v>3</v>
      </c>
      <c r="J13" s="49">
        <f>PLANTILLA!AC18</f>
        <v>6.2</v>
      </c>
      <c r="K13" s="49">
        <f>PLANTILLA!AD18</f>
        <v>18.399999999999999</v>
      </c>
      <c r="L13" s="96">
        <f>1/5</f>
        <v>0.2</v>
      </c>
      <c r="M13" s="96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6">
        <f t="shared" si="1"/>
        <v>0.10999999999999943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261" t="str">
        <f>PLANTILLA!D12</f>
        <v>S. Embe</v>
      </c>
      <c r="C14" s="5">
        <f>PLANTILLA!E12</f>
        <v>23</v>
      </c>
      <c r="D14" s="455">
        <f ca="1">PLANTILLA!F12</f>
        <v>146</v>
      </c>
      <c r="E14" s="49">
        <f>PLANTILLA!X12</f>
        <v>0</v>
      </c>
      <c r="F14" s="49">
        <f>PLANTILLA!Y12</f>
        <v>11</v>
      </c>
      <c r="G14" s="49">
        <f>PLANTILLA!Z12</f>
        <v>5.083333333333333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6">
        <f t="shared" si="1"/>
        <v>0.13750000000000284</v>
      </c>
    </row>
    <row r="15" spans="1:30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234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</row>
    <row r="16" spans="1:30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161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</row>
    <row r="17" spans="1:24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133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</row>
    <row r="18" spans="1:24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141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</row>
    <row r="19" spans="1:24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</row>
    <row r="20" spans="1:24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188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</row>
    <row r="21" spans="1:24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167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</row>
    <row r="22" spans="1:24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169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</row>
    <row r="23" spans="1:24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237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4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9" sqref="F9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649</v>
      </c>
      <c r="N1" s="8" t="s">
        <v>650</v>
      </c>
      <c r="O1" s="8" t="s">
        <v>651</v>
      </c>
      <c r="P1" s="8" t="s">
        <v>652</v>
      </c>
      <c r="Q1" s="8" t="s">
        <v>653</v>
      </c>
      <c r="R1" s="8" t="s">
        <v>654</v>
      </c>
      <c r="S1" s="8" t="s">
        <v>655</v>
      </c>
    </row>
    <row r="2" spans="1:30" x14ac:dyDescent="0.25">
      <c r="C2" s="9" t="s">
        <v>656</v>
      </c>
      <c r="D2" s="583" t="s">
        <v>657</v>
      </c>
      <c r="E2" s="583"/>
      <c r="F2" s="584" t="s">
        <v>658</v>
      </c>
      <c r="G2" s="584"/>
      <c r="H2" s="585" t="s">
        <v>659</v>
      </c>
      <c r="I2" s="585"/>
      <c r="K2" t="s">
        <v>660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661</v>
      </c>
      <c r="B3" s="14">
        <f>B4+B5+B6+B7</f>
        <v>58108</v>
      </c>
      <c r="C3" s="15">
        <f>C4+C5+C6+C7</f>
        <v>62221.81</v>
      </c>
      <c r="D3" s="5" t="s">
        <v>662</v>
      </c>
      <c r="E3" s="5" t="s">
        <v>663</v>
      </c>
      <c r="F3" s="5" t="s">
        <v>662</v>
      </c>
      <c r="G3" s="5" t="s">
        <v>664</v>
      </c>
      <c r="H3" s="5" t="s">
        <v>662</v>
      </c>
      <c r="I3" s="6" t="s">
        <v>665</v>
      </c>
      <c r="J3" s="5" t="s">
        <v>666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667</v>
      </c>
      <c r="B4" s="14">
        <v>33476</v>
      </c>
      <c r="C4" s="69">
        <v>35404.46</v>
      </c>
      <c r="D4" s="18">
        <v>45</v>
      </c>
      <c r="E4" s="5">
        <f>D4*(C4-B4)</f>
        <v>86780.699999999953</v>
      </c>
      <c r="F4" s="19">
        <v>0.5</v>
      </c>
      <c r="G4" s="5">
        <f>(C4-B4)*F4</f>
        <v>964.22999999999956</v>
      </c>
      <c r="H4" s="19">
        <v>7</v>
      </c>
      <c r="I4" s="6">
        <f>(C4-B4)*H4</f>
        <v>13499.219999999994</v>
      </c>
      <c r="J4" s="5">
        <f>H4*C4</f>
        <v>247831.22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668</v>
      </c>
      <c r="B5" s="14">
        <v>12637</v>
      </c>
      <c r="C5" s="22">
        <v>13589.31</v>
      </c>
      <c r="D5" s="20">
        <v>75</v>
      </c>
      <c r="E5" s="5">
        <f>D5*(C5-B5)</f>
        <v>71423.249999999956</v>
      </c>
      <c r="F5" s="21">
        <v>0.7</v>
      </c>
      <c r="G5" s="5">
        <f>(C5-B5)*F5</f>
        <v>666.61699999999962</v>
      </c>
      <c r="H5" s="21">
        <v>10</v>
      </c>
      <c r="I5" s="6">
        <f>(C5-B5)*H5</f>
        <v>9523.0999999999949</v>
      </c>
      <c r="J5" s="5">
        <f>H5*C5</f>
        <v>135893.1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669</v>
      </c>
      <c r="B6" s="14">
        <v>10712</v>
      </c>
      <c r="C6" s="22">
        <v>11810.75</v>
      </c>
      <c r="D6" s="18">
        <v>90</v>
      </c>
      <c r="E6" s="5">
        <f>D6*(C6-B6)</f>
        <v>98887.5</v>
      </c>
      <c r="F6" s="19">
        <v>1</v>
      </c>
      <c r="G6" s="5">
        <f>(C6-B6)*F6</f>
        <v>1098.75</v>
      </c>
      <c r="H6" s="19">
        <v>19</v>
      </c>
      <c r="I6" s="6">
        <f>(C6-B6)*H6</f>
        <v>20876.25</v>
      </c>
      <c r="J6" s="5">
        <f>H6*C6</f>
        <v>224404.25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670</v>
      </c>
      <c r="B7" s="14">
        <v>1283</v>
      </c>
      <c r="C7" s="23">
        <v>1417.29</v>
      </c>
      <c r="D7" s="20">
        <v>300</v>
      </c>
      <c r="E7" s="5">
        <f>D7*(C7-B7)</f>
        <v>40286.999999999985</v>
      </c>
      <c r="F7" s="21">
        <v>2.5</v>
      </c>
      <c r="G7" s="5">
        <f>(C7-B7)*F7</f>
        <v>335.72499999999991</v>
      </c>
      <c r="H7" s="21">
        <v>35</v>
      </c>
      <c r="I7" s="6">
        <f>(C7-B7)*H7</f>
        <v>4700.1499999999987</v>
      </c>
      <c r="J7" s="5">
        <f>H7*C7</f>
        <v>49605.15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0.56900401965163017</v>
      </c>
      <c r="J8" s="25">
        <f>J7+J6+J5+J4</f>
        <v>657733.72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0.2184010719071014</v>
      </c>
      <c r="E9" s="37">
        <v>35404.46</v>
      </c>
      <c r="F9" s="50">
        <f>E9-B4</f>
        <v>1928.4599999999991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3.253318506876459E-2</v>
      </c>
      <c r="C10" s="26">
        <f>C6/$C$3</f>
        <v>0.18981688253684681</v>
      </c>
      <c r="E10" s="37">
        <v>13589.31</v>
      </c>
      <c r="F10" s="50">
        <f t="shared" ref="F10:F12" si="0">E10-B5</f>
        <v>952.30999999999949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671</v>
      </c>
      <c r="B11" s="29">
        <v>10000</v>
      </c>
      <c r="C11" s="26">
        <f>C7/$C$3</f>
        <v>2.2778025904421618E-2</v>
      </c>
      <c r="E11" s="37">
        <v>11810.75</v>
      </c>
      <c r="F11" s="50">
        <f t="shared" si="0"/>
        <v>1098.75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672</v>
      </c>
      <c r="B12" s="30">
        <f>E7+E6+E5+E4</f>
        <v>297378.4499999999</v>
      </c>
      <c r="E12" s="37">
        <v>1417.29</v>
      </c>
      <c r="F12" s="50">
        <f t="shared" si="0"/>
        <v>134.28999999999996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459</v>
      </c>
      <c r="B13" s="32">
        <f>B11+B12</f>
        <v>307378.4499999999</v>
      </c>
      <c r="G13">
        <f>10000*10</f>
        <v>100000</v>
      </c>
    </row>
    <row r="15" spans="1:30" x14ac:dyDescent="0.25">
      <c r="A15" s="3"/>
      <c r="B15" s="33" t="s">
        <v>378</v>
      </c>
      <c r="C15" s="33" t="s">
        <v>379</v>
      </c>
      <c r="D15" s="33" t="s">
        <v>380</v>
      </c>
      <c r="E15" s="33" t="s">
        <v>381</v>
      </c>
      <c r="F15" s="33" t="s">
        <v>382</v>
      </c>
      <c r="G15" s="33" t="s">
        <v>383</v>
      </c>
      <c r="H15" s="33" t="s">
        <v>384</v>
      </c>
      <c r="I15" s="33" t="s">
        <v>385</v>
      </c>
      <c r="J15" s="33" t="s">
        <v>386</v>
      </c>
      <c r="K15" s="33" t="s">
        <v>387</v>
      </c>
      <c r="L15" s="33" t="s">
        <v>388</v>
      </c>
      <c r="M15" s="33" t="s">
        <v>389</v>
      </c>
      <c r="N15" s="33" t="s">
        <v>390</v>
      </c>
      <c r="O15" s="33" t="s">
        <v>391</v>
      </c>
      <c r="P15" s="33" t="s">
        <v>392</v>
      </c>
      <c r="Q15" s="33" t="s">
        <v>377</v>
      </c>
      <c r="R15" s="33" t="s">
        <v>378</v>
      </c>
      <c r="S15" s="33" t="s">
        <v>379</v>
      </c>
      <c r="T15" s="33" t="s">
        <v>380</v>
      </c>
      <c r="U15" s="33" t="s">
        <v>381</v>
      </c>
      <c r="V15" s="33" t="s">
        <v>382</v>
      </c>
      <c r="W15" s="33" t="s">
        <v>383</v>
      </c>
      <c r="X15" s="33" t="s">
        <v>384</v>
      </c>
      <c r="Y15" s="33" t="s">
        <v>385</v>
      </c>
      <c r="Z15" s="33" t="s">
        <v>386</v>
      </c>
      <c r="AA15" s="33" t="s">
        <v>387</v>
      </c>
      <c r="AB15" s="33" t="s">
        <v>388</v>
      </c>
      <c r="AC15" s="33" t="s">
        <v>389</v>
      </c>
      <c r="AD15" s="33" t="s">
        <v>390</v>
      </c>
    </row>
    <row r="16" spans="1:30" x14ac:dyDescent="0.25">
      <c r="A16" s="34" t="s">
        <v>673</v>
      </c>
      <c r="B16" s="34">
        <v>2779</v>
      </c>
      <c r="C16" s="34">
        <f>B16+2</f>
        <v>2781</v>
      </c>
      <c r="D16" s="34">
        <f t="shared" ref="D16:AD16" si="1">C16+2</f>
        <v>2783</v>
      </c>
      <c r="E16" s="34">
        <f t="shared" si="1"/>
        <v>2785</v>
      </c>
      <c r="F16" s="34">
        <f t="shared" si="1"/>
        <v>2787</v>
      </c>
      <c r="G16" s="34">
        <f t="shared" si="1"/>
        <v>2789</v>
      </c>
      <c r="H16" s="34">
        <f t="shared" si="1"/>
        <v>2791</v>
      </c>
      <c r="I16" s="34">
        <f t="shared" si="1"/>
        <v>2793</v>
      </c>
      <c r="J16" s="34">
        <f t="shared" si="1"/>
        <v>2795</v>
      </c>
      <c r="K16" s="34">
        <f t="shared" si="1"/>
        <v>2797</v>
      </c>
      <c r="L16" s="34">
        <f t="shared" si="1"/>
        <v>2799</v>
      </c>
      <c r="M16" s="34">
        <f t="shared" si="1"/>
        <v>2801</v>
      </c>
      <c r="N16" s="34">
        <f t="shared" si="1"/>
        <v>2803</v>
      </c>
      <c r="O16" s="34">
        <f t="shared" si="1"/>
        <v>2805</v>
      </c>
      <c r="P16" s="34">
        <f t="shared" si="1"/>
        <v>2807</v>
      </c>
      <c r="Q16" s="34">
        <f t="shared" si="1"/>
        <v>2809</v>
      </c>
      <c r="R16" s="34">
        <f t="shared" si="1"/>
        <v>2811</v>
      </c>
      <c r="S16" s="34">
        <f t="shared" si="1"/>
        <v>2813</v>
      </c>
      <c r="T16" s="34">
        <f t="shared" si="1"/>
        <v>2815</v>
      </c>
      <c r="U16" s="34">
        <f t="shared" si="1"/>
        <v>2817</v>
      </c>
      <c r="V16" s="34">
        <f t="shared" si="1"/>
        <v>2819</v>
      </c>
      <c r="W16" s="34">
        <f t="shared" si="1"/>
        <v>2821</v>
      </c>
      <c r="X16" s="34">
        <f t="shared" si="1"/>
        <v>2823</v>
      </c>
      <c r="Y16" s="34">
        <f t="shared" si="1"/>
        <v>2825</v>
      </c>
      <c r="Z16" s="34">
        <f t="shared" si="1"/>
        <v>2827</v>
      </c>
      <c r="AA16" s="34">
        <f t="shared" si="1"/>
        <v>2829</v>
      </c>
      <c r="AB16" s="34">
        <f t="shared" si="1"/>
        <v>2831</v>
      </c>
      <c r="AC16" s="34">
        <f t="shared" si="1"/>
        <v>2833</v>
      </c>
      <c r="AD16" s="34">
        <f t="shared" si="1"/>
        <v>2835</v>
      </c>
    </row>
    <row r="17" spans="1:30" x14ac:dyDescent="0.25">
      <c r="A17" s="34"/>
      <c r="B17" s="35">
        <f t="shared" ref="B17:AD17" si="2">B18+B19+B20+B21</f>
        <v>62221.81</v>
      </c>
      <c r="C17" s="35">
        <f t="shared" si="2"/>
        <v>62266.59</v>
      </c>
      <c r="D17" s="35">
        <f t="shared" si="2"/>
        <v>62311.369999999995</v>
      </c>
      <c r="E17" s="35">
        <f t="shared" si="2"/>
        <v>62356.15</v>
      </c>
      <c r="F17" s="35">
        <f t="shared" si="2"/>
        <v>62400.93</v>
      </c>
      <c r="G17" s="35">
        <f t="shared" si="2"/>
        <v>62445.71</v>
      </c>
      <c r="H17" s="35">
        <f t="shared" si="2"/>
        <v>62490.490000000005</v>
      </c>
      <c r="I17" s="35">
        <f t="shared" si="2"/>
        <v>62535.27</v>
      </c>
      <c r="J17" s="35">
        <f t="shared" si="2"/>
        <v>62580.05</v>
      </c>
      <c r="K17" s="35">
        <f t="shared" si="2"/>
        <v>62624.83</v>
      </c>
      <c r="L17" s="35">
        <f t="shared" si="2"/>
        <v>62669.61</v>
      </c>
      <c r="M17" s="35">
        <f t="shared" si="2"/>
        <v>62714.39</v>
      </c>
      <c r="N17" s="35">
        <f t="shared" si="2"/>
        <v>62759.17</v>
      </c>
      <c r="O17" s="35">
        <f t="shared" si="2"/>
        <v>62803.95</v>
      </c>
      <c r="P17" s="35">
        <f t="shared" si="2"/>
        <v>62848.73</v>
      </c>
      <c r="Q17" s="35">
        <f t="shared" si="2"/>
        <v>62893.509999999995</v>
      </c>
      <c r="R17" s="35">
        <f t="shared" si="2"/>
        <v>62938.29</v>
      </c>
      <c r="S17" s="35">
        <f t="shared" si="2"/>
        <v>62983.07</v>
      </c>
      <c r="T17" s="35">
        <f t="shared" si="2"/>
        <v>63027.85</v>
      </c>
      <c r="U17" s="35">
        <f t="shared" si="2"/>
        <v>63072.63</v>
      </c>
      <c r="V17" s="35">
        <f t="shared" si="2"/>
        <v>63117.41</v>
      </c>
      <c r="W17" s="35">
        <f t="shared" si="2"/>
        <v>63162.189999999995</v>
      </c>
      <c r="X17" s="35">
        <f t="shared" si="2"/>
        <v>63206.970000000008</v>
      </c>
      <c r="Y17" s="35">
        <f t="shared" si="2"/>
        <v>63251.75</v>
      </c>
      <c r="Z17" s="35">
        <f t="shared" si="2"/>
        <v>63296.53</v>
      </c>
      <c r="AA17" s="35">
        <f t="shared" si="2"/>
        <v>63341.31</v>
      </c>
      <c r="AB17" s="35">
        <f t="shared" si="2"/>
        <v>63386.09</v>
      </c>
      <c r="AC17" s="35">
        <f t="shared" si="2"/>
        <v>63430.869999999995</v>
      </c>
      <c r="AD17" s="35">
        <f t="shared" si="2"/>
        <v>63475.65</v>
      </c>
    </row>
    <row r="18" spans="1:30" x14ac:dyDescent="0.25">
      <c r="A18" s="36" t="s">
        <v>674</v>
      </c>
      <c r="B18" s="37">
        <f>B16*$N$5</f>
        <v>35404.46</v>
      </c>
      <c r="C18" s="37">
        <f t="shared" ref="C18:AD18" si="3">C16*$N$5</f>
        <v>35429.94</v>
      </c>
      <c r="D18" s="37">
        <f t="shared" si="3"/>
        <v>35455.42</v>
      </c>
      <c r="E18" s="37">
        <f t="shared" si="3"/>
        <v>35480.9</v>
      </c>
      <c r="F18" s="37">
        <f t="shared" si="3"/>
        <v>35506.379999999997</v>
      </c>
      <c r="G18" s="37">
        <f t="shared" si="3"/>
        <v>35531.86</v>
      </c>
      <c r="H18" s="37">
        <f t="shared" si="3"/>
        <v>35557.340000000004</v>
      </c>
      <c r="I18" s="37">
        <f t="shared" si="3"/>
        <v>35582.82</v>
      </c>
      <c r="J18" s="37">
        <f t="shared" si="3"/>
        <v>35608.300000000003</v>
      </c>
      <c r="K18" s="37">
        <f t="shared" si="3"/>
        <v>35633.78</v>
      </c>
      <c r="L18" s="37">
        <f t="shared" si="3"/>
        <v>35659.26</v>
      </c>
      <c r="M18" s="37">
        <f t="shared" si="3"/>
        <v>35684.74</v>
      </c>
      <c r="N18" s="37">
        <f t="shared" si="3"/>
        <v>35710.22</v>
      </c>
      <c r="O18" s="37">
        <f t="shared" si="3"/>
        <v>35735.699999999997</v>
      </c>
      <c r="P18" s="37">
        <f t="shared" si="3"/>
        <v>35761.18</v>
      </c>
      <c r="Q18" s="37">
        <f t="shared" si="3"/>
        <v>35786.660000000003</v>
      </c>
      <c r="R18" s="37">
        <f t="shared" si="3"/>
        <v>35812.14</v>
      </c>
      <c r="S18" s="37">
        <f t="shared" si="3"/>
        <v>35837.620000000003</v>
      </c>
      <c r="T18" s="37">
        <f t="shared" si="3"/>
        <v>35863.1</v>
      </c>
      <c r="U18" s="37">
        <f t="shared" si="3"/>
        <v>35888.58</v>
      </c>
      <c r="V18" s="37">
        <f t="shared" si="3"/>
        <v>35914.06</v>
      </c>
      <c r="W18" s="37">
        <f t="shared" si="3"/>
        <v>35939.54</v>
      </c>
      <c r="X18" s="37">
        <f t="shared" si="3"/>
        <v>35965.020000000004</v>
      </c>
      <c r="Y18" s="37">
        <f t="shared" si="3"/>
        <v>35990.5</v>
      </c>
      <c r="Z18" s="37">
        <f t="shared" si="3"/>
        <v>36015.980000000003</v>
      </c>
      <c r="AA18" s="37">
        <f t="shared" si="3"/>
        <v>36041.46</v>
      </c>
      <c r="AB18" s="37">
        <f t="shared" si="3"/>
        <v>36066.94</v>
      </c>
      <c r="AC18" s="37">
        <f t="shared" si="3"/>
        <v>36092.42</v>
      </c>
      <c r="AD18" s="37">
        <f t="shared" si="3"/>
        <v>36117.9</v>
      </c>
    </row>
    <row r="19" spans="1:30" x14ac:dyDescent="0.25">
      <c r="A19" s="36" t="s">
        <v>675</v>
      </c>
      <c r="B19" s="37">
        <f>B16*$O$5</f>
        <v>13589.31</v>
      </c>
      <c r="C19" s="37">
        <f t="shared" ref="C19:AD19" si="4">C16*$O$5</f>
        <v>13599.089999999998</v>
      </c>
      <c r="D19" s="37">
        <f t="shared" si="4"/>
        <v>13608.869999999999</v>
      </c>
      <c r="E19" s="37">
        <f t="shared" si="4"/>
        <v>13618.65</v>
      </c>
      <c r="F19" s="37">
        <f t="shared" si="4"/>
        <v>13628.429999999998</v>
      </c>
      <c r="G19" s="37">
        <f t="shared" si="4"/>
        <v>13638.21</v>
      </c>
      <c r="H19" s="37">
        <f t="shared" si="4"/>
        <v>13647.99</v>
      </c>
      <c r="I19" s="37">
        <f t="shared" si="4"/>
        <v>13657.769999999999</v>
      </c>
      <c r="J19" s="37">
        <f t="shared" si="4"/>
        <v>13667.55</v>
      </c>
      <c r="K19" s="37">
        <f t="shared" si="4"/>
        <v>13677.33</v>
      </c>
      <c r="L19" s="37">
        <f t="shared" si="4"/>
        <v>13687.109999999999</v>
      </c>
      <c r="M19" s="37">
        <f t="shared" si="4"/>
        <v>13696.89</v>
      </c>
      <c r="N19" s="37">
        <f t="shared" si="4"/>
        <v>13706.669999999998</v>
      </c>
      <c r="O19" s="37">
        <f t="shared" si="4"/>
        <v>13716.449999999999</v>
      </c>
      <c r="P19" s="37">
        <f t="shared" si="4"/>
        <v>13726.23</v>
      </c>
      <c r="Q19" s="37">
        <f t="shared" si="4"/>
        <v>13736.009999999998</v>
      </c>
      <c r="R19" s="37">
        <f t="shared" si="4"/>
        <v>13745.789999999999</v>
      </c>
      <c r="S19" s="37">
        <f t="shared" si="4"/>
        <v>13755.57</v>
      </c>
      <c r="T19" s="37">
        <f t="shared" si="4"/>
        <v>13765.349999999999</v>
      </c>
      <c r="U19" s="37">
        <f t="shared" si="4"/>
        <v>13775.13</v>
      </c>
      <c r="V19" s="37">
        <f t="shared" si="4"/>
        <v>13784.91</v>
      </c>
      <c r="W19" s="37">
        <f t="shared" si="4"/>
        <v>13794.689999999999</v>
      </c>
      <c r="X19" s="37">
        <f t="shared" si="4"/>
        <v>13804.47</v>
      </c>
      <c r="Y19" s="37">
        <f t="shared" si="4"/>
        <v>13814.25</v>
      </c>
      <c r="Z19" s="37">
        <f t="shared" si="4"/>
        <v>13824.029999999999</v>
      </c>
      <c r="AA19" s="37">
        <f t="shared" si="4"/>
        <v>13833.81</v>
      </c>
      <c r="AB19" s="37">
        <f t="shared" si="4"/>
        <v>13843.589999999998</v>
      </c>
      <c r="AC19" s="37">
        <f t="shared" si="4"/>
        <v>13853.369999999999</v>
      </c>
      <c r="AD19" s="37">
        <f t="shared" si="4"/>
        <v>13863.15</v>
      </c>
    </row>
    <row r="20" spans="1:30" x14ac:dyDescent="0.25">
      <c r="A20" s="36" t="s">
        <v>676</v>
      </c>
      <c r="B20" s="37">
        <f>B16*$P$5</f>
        <v>11810.75</v>
      </c>
      <c r="C20" s="37">
        <f t="shared" ref="C20:AD20" si="5">C16*$P$5</f>
        <v>11819.25</v>
      </c>
      <c r="D20" s="37">
        <f t="shared" si="5"/>
        <v>11827.75</v>
      </c>
      <c r="E20" s="37">
        <f t="shared" si="5"/>
        <v>11836.25</v>
      </c>
      <c r="F20" s="37">
        <f t="shared" si="5"/>
        <v>11844.75</v>
      </c>
      <c r="G20" s="37">
        <f t="shared" si="5"/>
        <v>11853.25</v>
      </c>
      <c r="H20" s="37">
        <f t="shared" si="5"/>
        <v>11861.75</v>
      </c>
      <c r="I20" s="37">
        <f t="shared" si="5"/>
        <v>11870.25</v>
      </c>
      <c r="J20" s="37">
        <f t="shared" si="5"/>
        <v>11878.75</v>
      </c>
      <c r="K20" s="37">
        <f t="shared" si="5"/>
        <v>11887.25</v>
      </c>
      <c r="L20" s="37">
        <f t="shared" si="5"/>
        <v>11895.75</v>
      </c>
      <c r="M20" s="37">
        <f t="shared" si="5"/>
        <v>11904.25</v>
      </c>
      <c r="N20" s="37">
        <f t="shared" si="5"/>
        <v>11912.75</v>
      </c>
      <c r="O20" s="37">
        <f t="shared" si="5"/>
        <v>11921.25</v>
      </c>
      <c r="P20" s="37">
        <f t="shared" si="5"/>
        <v>11929.75</v>
      </c>
      <c r="Q20" s="37">
        <f t="shared" si="5"/>
        <v>11938.25</v>
      </c>
      <c r="R20" s="37">
        <f t="shared" si="5"/>
        <v>11946.75</v>
      </c>
      <c r="S20" s="37">
        <f t="shared" si="5"/>
        <v>11955.25</v>
      </c>
      <c r="T20" s="37">
        <f t="shared" si="5"/>
        <v>11963.75</v>
      </c>
      <c r="U20" s="37">
        <f t="shared" si="5"/>
        <v>11972.25</v>
      </c>
      <c r="V20" s="37">
        <f t="shared" si="5"/>
        <v>11980.75</v>
      </c>
      <c r="W20" s="37">
        <f t="shared" si="5"/>
        <v>11989.25</v>
      </c>
      <c r="X20" s="37">
        <f t="shared" si="5"/>
        <v>11997.75</v>
      </c>
      <c r="Y20" s="37">
        <f t="shared" si="5"/>
        <v>12006.25</v>
      </c>
      <c r="Z20" s="37">
        <f t="shared" si="5"/>
        <v>12014.75</v>
      </c>
      <c r="AA20" s="37">
        <f t="shared" si="5"/>
        <v>12023.25</v>
      </c>
      <c r="AB20" s="37">
        <f t="shared" si="5"/>
        <v>12031.75</v>
      </c>
      <c r="AC20" s="37">
        <f t="shared" si="5"/>
        <v>12040.25</v>
      </c>
      <c r="AD20" s="37">
        <f t="shared" si="5"/>
        <v>12048.75</v>
      </c>
    </row>
    <row r="21" spans="1:30" x14ac:dyDescent="0.25">
      <c r="A21" s="36" t="s">
        <v>677</v>
      </c>
      <c r="B21" s="37">
        <f>B16*$Q$5</f>
        <v>1417.29</v>
      </c>
      <c r="C21" s="37">
        <f t="shared" ref="C21:AD21" si="6">C16*$Q$5</f>
        <v>1418.31</v>
      </c>
      <c r="D21" s="37">
        <f t="shared" si="6"/>
        <v>1419.33</v>
      </c>
      <c r="E21" s="37">
        <f t="shared" si="6"/>
        <v>1420.3500000000001</v>
      </c>
      <c r="F21" s="37">
        <f t="shared" si="6"/>
        <v>1421.3700000000001</v>
      </c>
      <c r="G21" s="37">
        <f t="shared" si="6"/>
        <v>1422.39</v>
      </c>
      <c r="H21" s="37">
        <f t="shared" si="6"/>
        <v>1423.41</v>
      </c>
      <c r="I21" s="37">
        <f t="shared" si="6"/>
        <v>1424.43</v>
      </c>
      <c r="J21" s="37">
        <f t="shared" si="6"/>
        <v>1425.45</v>
      </c>
      <c r="K21" s="37">
        <f t="shared" si="6"/>
        <v>1426.47</v>
      </c>
      <c r="L21" s="37">
        <f t="shared" si="6"/>
        <v>1427.49</v>
      </c>
      <c r="M21" s="37">
        <f t="shared" si="6"/>
        <v>1428.51</v>
      </c>
      <c r="N21" s="37">
        <f t="shared" si="6"/>
        <v>1429.53</v>
      </c>
      <c r="O21" s="37">
        <f t="shared" si="6"/>
        <v>1430.55</v>
      </c>
      <c r="P21" s="37">
        <f t="shared" si="6"/>
        <v>1431.57</v>
      </c>
      <c r="Q21" s="37">
        <f t="shared" si="6"/>
        <v>1432.59</v>
      </c>
      <c r="R21" s="37">
        <f t="shared" si="6"/>
        <v>1433.6100000000001</v>
      </c>
      <c r="S21" s="37">
        <f t="shared" si="6"/>
        <v>1434.63</v>
      </c>
      <c r="T21" s="37">
        <f t="shared" si="6"/>
        <v>1435.65</v>
      </c>
      <c r="U21" s="37">
        <f t="shared" si="6"/>
        <v>1436.67</v>
      </c>
      <c r="V21" s="37">
        <f t="shared" si="6"/>
        <v>1437.69</v>
      </c>
      <c r="W21" s="37">
        <f t="shared" si="6"/>
        <v>1438.71</v>
      </c>
      <c r="X21" s="37">
        <f t="shared" si="6"/>
        <v>1439.73</v>
      </c>
      <c r="Y21" s="37">
        <f t="shared" si="6"/>
        <v>1440.75</v>
      </c>
      <c r="Z21" s="37">
        <f t="shared" si="6"/>
        <v>1441.77</v>
      </c>
      <c r="AA21" s="37">
        <f t="shared" si="6"/>
        <v>1442.79</v>
      </c>
      <c r="AB21" s="37">
        <f t="shared" si="6"/>
        <v>1443.81</v>
      </c>
      <c r="AC21" s="37">
        <f t="shared" si="6"/>
        <v>1444.83</v>
      </c>
      <c r="AD21" s="37">
        <f t="shared" si="6"/>
        <v>1445.8500000000001</v>
      </c>
    </row>
    <row r="22" spans="1:30" x14ac:dyDescent="0.25">
      <c r="A22" s="36" t="s">
        <v>678</v>
      </c>
      <c r="B22" s="37">
        <f t="shared" ref="B22:AD22" si="7">MIN(B$18,$C$4)</f>
        <v>35404.46</v>
      </c>
      <c r="C22" s="37">
        <f t="shared" si="7"/>
        <v>35404.46</v>
      </c>
      <c r="D22" s="37">
        <f t="shared" si="7"/>
        <v>35404.46</v>
      </c>
      <c r="E22" s="37">
        <f t="shared" si="7"/>
        <v>35404.46</v>
      </c>
      <c r="F22" s="37">
        <f t="shared" si="7"/>
        <v>35404.46</v>
      </c>
      <c r="G22" s="37">
        <f t="shared" si="7"/>
        <v>35404.46</v>
      </c>
      <c r="H22" s="37">
        <f t="shared" si="7"/>
        <v>35404.46</v>
      </c>
      <c r="I22" s="37">
        <f t="shared" si="7"/>
        <v>35404.46</v>
      </c>
      <c r="J22" s="37">
        <f t="shared" si="7"/>
        <v>35404.46</v>
      </c>
      <c r="K22" s="37">
        <f t="shared" si="7"/>
        <v>35404.46</v>
      </c>
      <c r="L22" s="37">
        <f t="shared" si="7"/>
        <v>35404.46</v>
      </c>
      <c r="M22" s="37">
        <f t="shared" si="7"/>
        <v>35404.46</v>
      </c>
      <c r="N22" s="37">
        <f t="shared" si="7"/>
        <v>35404.46</v>
      </c>
      <c r="O22" s="37">
        <f t="shared" si="7"/>
        <v>35404.46</v>
      </c>
      <c r="P22" s="37">
        <f t="shared" si="7"/>
        <v>35404.46</v>
      </c>
      <c r="Q22" s="37">
        <f t="shared" si="7"/>
        <v>35404.46</v>
      </c>
      <c r="R22" s="37">
        <f t="shared" si="7"/>
        <v>35404.46</v>
      </c>
      <c r="S22" s="37">
        <f t="shared" si="7"/>
        <v>35404.46</v>
      </c>
      <c r="T22" s="37">
        <f t="shared" si="7"/>
        <v>35404.46</v>
      </c>
      <c r="U22" s="37">
        <f t="shared" si="7"/>
        <v>35404.46</v>
      </c>
      <c r="V22" s="37">
        <f t="shared" si="7"/>
        <v>35404.46</v>
      </c>
      <c r="W22" s="37">
        <f t="shared" si="7"/>
        <v>35404.46</v>
      </c>
      <c r="X22" s="37">
        <f t="shared" si="7"/>
        <v>35404.46</v>
      </c>
      <c r="Y22" s="37">
        <f t="shared" si="7"/>
        <v>35404.46</v>
      </c>
      <c r="Z22" s="37">
        <f t="shared" si="7"/>
        <v>35404.46</v>
      </c>
      <c r="AA22" s="37">
        <f t="shared" si="7"/>
        <v>35404.46</v>
      </c>
      <c r="AB22" s="37">
        <f t="shared" si="7"/>
        <v>35404.46</v>
      </c>
      <c r="AC22" s="37">
        <f t="shared" si="7"/>
        <v>35404.46</v>
      </c>
      <c r="AD22" s="37">
        <f t="shared" si="7"/>
        <v>35404.46</v>
      </c>
    </row>
    <row r="23" spans="1:30" x14ac:dyDescent="0.25">
      <c r="A23" s="36" t="s">
        <v>679</v>
      </c>
      <c r="B23" s="37">
        <f t="shared" ref="B23:AD23" si="8">MIN(B$19,$C$5)</f>
        <v>13589.31</v>
      </c>
      <c r="C23" s="37">
        <f t="shared" si="8"/>
        <v>13589.31</v>
      </c>
      <c r="D23" s="37">
        <f t="shared" si="8"/>
        <v>13589.31</v>
      </c>
      <c r="E23" s="37">
        <f t="shared" si="8"/>
        <v>13589.31</v>
      </c>
      <c r="F23" s="37">
        <f t="shared" si="8"/>
        <v>13589.31</v>
      </c>
      <c r="G23" s="37">
        <f t="shared" si="8"/>
        <v>13589.31</v>
      </c>
      <c r="H23" s="37">
        <f t="shared" si="8"/>
        <v>13589.31</v>
      </c>
      <c r="I23" s="37">
        <f t="shared" si="8"/>
        <v>13589.31</v>
      </c>
      <c r="J23" s="37">
        <f t="shared" si="8"/>
        <v>13589.31</v>
      </c>
      <c r="K23" s="37">
        <f t="shared" si="8"/>
        <v>13589.31</v>
      </c>
      <c r="L23" s="37">
        <f t="shared" si="8"/>
        <v>13589.31</v>
      </c>
      <c r="M23" s="37">
        <f t="shared" si="8"/>
        <v>13589.31</v>
      </c>
      <c r="N23" s="37">
        <f t="shared" si="8"/>
        <v>13589.31</v>
      </c>
      <c r="O23" s="37">
        <f t="shared" si="8"/>
        <v>13589.31</v>
      </c>
      <c r="P23" s="37">
        <f t="shared" si="8"/>
        <v>13589.31</v>
      </c>
      <c r="Q23" s="37">
        <f t="shared" si="8"/>
        <v>13589.31</v>
      </c>
      <c r="R23" s="37">
        <f t="shared" si="8"/>
        <v>13589.31</v>
      </c>
      <c r="S23" s="37">
        <f t="shared" si="8"/>
        <v>13589.31</v>
      </c>
      <c r="T23" s="37">
        <f t="shared" si="8"/>
        <v>13589.31</v>
      </c>
      <c r="U23" s="37">
        <f t="shared" si="8"/>
        <v>13589.31</v>
      </c>
      <c r="V23" s="37">
        <f t="shared" si="8"/>
        <v>13589.31</v>
      </c>
      <c r="W23" s="37">
        <f t="shared" si="8"/>
        <v>13589.31</v>
      </c>
      <c r="X23" s="37">
        <f t="shared" si="8"/>
        <v>13589.31</v>
      </c>
      <c r="Y23" s="37">
        <f t="shared" si="8"/>
        <v>13589.31</v>
      </c>
      <c r="Z23" s="37">
        <f t="shared" si="8"/>
        <v>13589.31</v>
      </c>
      <c r="AA23" s="37">
        <f t="shared" si="8"/>
        <v>13589.31</v>
      </c>
      <c r="AB23" s="37">
        <f t="shared" si="8"/>
        <v>13589.31</v>
      </c>
      <c r="AC23" s="37">
        <f t="shared" si="8"/>
        <v>13589.31</v>
      </c>
      <c r="AD23" s="37">
        <f t="shared" si="8"/>
        <v>13589.31</v>
      </c>
    </row>
    <row r="24" spans="1:30" x14ac:dyDescent="0.25">
      <c r="A24" s="36" t="s">
        <v>680</v>
      </c>
      <c r="B24" s="37">
        <f t="shared" ref="B24:AD24" si="9">MIN(B$20,$C$6)</f>
        <v>11810.75</v>
      </c>
      <c r="C24" s="37">
        <f t="shared" si="9"/>
        <v>11810.75</v>
      </c>
      <c r="D24" s="37">
        <f t="shared" si="9"/>
        <v>11810.75</v>
      </c>
      <c r="E24" s="37">
        <f t="shared" si="9"/>
        <v>11810.75</v>
      </c>
      <c r="F24" s="37">
        <f t="shared" si="9"/>
        <v>11810.75</v>
      </c>
      <c r="G24" s="37">
        <f t="shared" si="9"/>
        <v>11810.75</v>
      </c>
      <c r="H24" s="37">
        <f t="shared" si="9"/>
        <v>11810.75</v>
      </c>
      <c r="I24" s="37">
        <f t="shared" si="9"/>
        <v>11810.75</v>
      </c>
      <c r="J24" s="37">
        <f t="shared" si="9"/>
        <v>11810.75</v>
      </c>
      <c r="K24" s="37">
        <f t="shared" si="9"/>
        <v>11810.75</v>
      </c>
      <c r="L24" s="37">
        <f t="shared" si="9"/>
        <v>11810.75</v>
      </c>
      <c r="M24" s="37">
        <f t="shared" si="9"/>
        <v>11810.75</v>
      </c>
      <c r="N24" s="37">
        <f t="shared" si="9"/>
        <v>11810.75</v>
      </c>
      <c r="O24" s="37">
        <f t="shared" si="9"/>
        <v>11810.75</v>
      </c>
      <c r="P24" s="37">
        <f t="shared" si="9"/>
        <v>11810.75</v>
      </c>
      <c r="Q24" s="37">
        <f t="shared" si="9"/>
        <v>11810.75</v>
      </c>
      <c r="R24" s="37">
        <f t="shared" si="9"/>
        <v>11810.75</v>
      </c>
      <c r="S24" s="37">
        <f t="shared" si="9"/>
        <v>11810.75</v>
      </c>
      <c r="T24" s="37">
        <f t="shared" si="9"/>
        <v>11810.75</v>
      </c>
      <c r="U24" s="37">
        <f t="shared" si="9"/>
        <v>11810.75</v>
      </c>
      <c r="V24" s="37">
        <f t="shared" si="9"/>
        <v>11810.75</v>
      </c>
      <c r="W24" s="37">
        <f t="shared" si="9"/>
        <v>11810.75</v>
      </c>
      <c r="X24" s="37">
        <f t="shared" si="9"/>
        <v>11810.75</v>
      </c>
      <c r="Y24" s="37">
        <f t="shared" si="9"/>
        <v>11810.75</v>
      </c>
      <c r="Z24" s="37">
        <f t="shared" si="9"/>
        <v>11810.75</v>
      </c>
      <c r="AA24" s="37">
        <f t="shared" si="9"/>
        <v>11810.75</v>
      </c>
      <c r="AB24" s="37">
        <f t="shared" si="9"/>
        <v>11810.75</v>
      </c>
      <c r="AC24" s="37">
        <f t="shared" si="9"/>
        <v>11810.75</v>
      </c>
      <c r="AD24" s="37">
        <f t="shared" si="9"/>
        <v>11810.75</v>
      </c>
    </row>
    <row r="25" spans="1:30" x14ac:dyDescent="0.25">
      <c r="A25" s="36" t="s">
        <v>681</v>
      </c>
      <c r="B25" s="37">
        <f t="shared" ref="B25:AD25" si="10">MIN(B$21,$C$7)</f>
        <v>1417.29</v>
      </c>
      <c r="C25" s="37">
        <f t="shared" si="10"/>
        <v>1417.29</v>
      </c>
      <c r="D25" s="37">
        <f t="shared" si="10"/>
        <v>1417.29</v>
      </c>
      <c r="E25" s="37">
        <f t="shared" si="10"/>
        <v>1417.29</v>
      </c>
      <c r="F25" s="37">
        <f t="shared" si="10"/>
        <v>1417.29</v>
      </c>
      <c r="G25" s="37">
        <f t="shared" si="10"/>
        <v>1417.29</v>
      </c>
      <c r="H25" s="37">
        <f t="shared" si="10"/>
        <v>1417.29</v>
      </c>
      <c r="I25" s="37">
        <f t="shared" si="10"/>
        <v>1417.29</v>
      </c>
      <c r="J25" s="37">
        <f t="shared" si="10"/>
        <v>1417.29</v>
      </c>
      <c r="K25" s="37">
        <f t="shared" si="10"/>
        <v>1417.29</v>
      </c>
      <c r="L25" s="37">
        <f t="shared" si="10"/>
        <v>1417.29</v>
      </c>
      <c r="M25" s="37">
        <f t="shared" si="10"/>
        <v>1417.29</v>
      </c>
      <c r="N25" s="37">
        <f t="shared" si="10"/>
        <v>1417.29</v>
      </c>
      <c r="O25" s="37">
        <f t="shared" si="10"/>
        <v>1417.29</v>
      </c>
      <c r="P25" s="37">
        <f t="shared" si="10"/>
        <v>1417.29</v>
      </c>
      <c r="Q25" s="37">
        <f t="shared" si="10"/>
        <v>1417.29</v>
      </c>
      <c r="R25" s="37">
        <f t="shared" si="10"/>
        <v>1417.29</v>
      </c>
      <c r="S25" s="37">
        <f t="shared" si="10"/>
        <v>1417.29</v>
      </c>
      <c r="T25" s="37">
        <f t="shared" si="10"/>
        <v>1417.29</v>
      </c>
      <c r="U25" s="37">
        <f t="shared" si="10"/>
        <v>1417.29</v>
      </c>
      <c r="V25" s="37">
        <f t="shared" si="10"/>
        <v>1417.29</v>
      </c>
      <c r="W25" s="37">
        <f t="shared" si="10"/>
        <v>1417.29</v>
      </c>
      <c r="X25" s="37">
        <f t="shared" si="10"/>
        <v>1417.29</v>
      </c>
      <c r="Y25" s="37">
        <f t="shared" si="10"/>
        <v>1417.29</v>
      </c>
      <c r="Z25" s="37">
        <f t="shared" si="10"/>
        <v>1417.29</v>
      </c>
      <c r="AA25" s="37">
        <f t="shared" si="10"/>
        <v>1417.29</v>
      </c>
      <c r="AB25" s="37">
        <f t="shared" si="10"/>
        <v>1417.29</v>
      </c>
      <c r="AC25" s="37">
        <f t="shared" si="10"/>
        <v>1417.29</v>
      </c>
      <c r="AD25" s="37">
        <f t="shared" si="10"/>
        <v>1417.29</v>
      </c>
    </row>
    <row r="26" spans="1:30" x14ac:dyDescent="0.25">
      <c r="A26" s="38" t="s">
        <v>682</v>
      </c>
      <c r="B26" s="39">
        <v>0</v>
      </c>
      <c r="C26" s="39">
        <f>IF(C22&gt;$B$4,(C22-$B$4)*$H$4,0)</f>
        <v>13499.219999999994</v>
      </c>
      <c r="D26" s="39">
        <v>0</v>
      </c>
      <c r="E26" s="39">
        <f>IF(E22&gt;$B$4,(E22-$B$4)*$H$4,0)</f>
        <v>13499.219999999994</v>
      </c>
      <c r="F26" s="39">
        <v>0</v>
      </c>
      <c r="G26" s="39">
        <f>IF(G22&gt;$B$4,(G22-$B$4)*$H$4,0)</f>
        <v>13499.219999999994</v>
      </c>
      <c r="H26" s="39">
        <v>0</v>
      </c>
      <c r="I26" s="39">
        <v>0</v>
      </c>
      <c r="J26" s="39">
        <f>IF(J22&gt;$B$4,(J22-$B$4)*$H$4,0)</f>
        <v>13499.219999999994</v>
      </c>
      <c r="K26" s="39">
        <v>0</v>
      </c>
      <c r="L26" s="39">
        <f>IF(L22&gt;$B$4,(L22-$B$4)*$H$4,0)</f>
        <v>13499.219999999994</v>
      </c>
      <c r="M26" s="39">
        <v>0</v>
      </c>
      <c r="N26" s="39">
        <f>IF(N22&gt;$B$4,(N22-$B$4)*$H$4,0)</f>
        <v>13499.219999999994</v>
      </c>
      <c r="O26" s="39">
        <v>0</v>
      </c>
      <c r="P26" s="39">
        <f>IF(P22&gt;$B$4,(P22-$B$4)*$H$4,0)</f>
        <v>13499.219999999994</v>
      </c>
      <c r="Q26" s="39">
        <v>0</v>
      </c>
      <c r="R26" s="39">
        <f>IF(R22&gt;$B$4,(R22-$B$4)*$H$4,0)</f>
        <v>13499.219999999994</v>
      </c>
      <c r="S26" s="39">
        <v>0</v>
      </c>
      <c r="T26" s="39">
        <f>IF(T22&gt;$B$4,(T22-$B$4)*$H$4,0)</f>
        <v>13499.219999999994</v>
      </c>
      <c r="U26" s="39">
        <v>0</v>
      </c>
      <c r="V26" s="39">
        <f>IF(V22&gt;$B$4,(V22-$B$4)*$H$4,0)</f>
        <v>13499.219999999994</v>
      </c>
      <c r="W26" s="39">
        <v>0</v>
      </c>
      <c r="X26" s="39">
        <f>IF(X22&gt;$B$4,(X22-$B$4)*$H$4,0)</f>
        <v>13499.219999999994</v>
      </c>
      <c r="Y26" s="39">
        <v>0</v>
      </c>
      <c r="Z26" s="39">
        <f>IF(Z22&gt;$B$4,(Z22-$B$4)*$H$4,0)</f>
        <v>13499.219999999994</v>
      </c>
      <c r="AA26" s="39">
        <v>0</v>
      </c>
      <c r="AB26" s="39">
        <f>IF(AB22&gt;$B$4,(AB22-$B$4)*$H$4,0)</f>
        <v>13499.219999999994</v>
      </c>
      <c r="AC26" s="39">
        <v>0</v>
      </c>
      <c r="AD26" s="39">
        <f>IF(AD22&gt;$B$4,(AD22-$B$4)*$H$4,0)</f>
        <v>13499.219999999994</v>
      </c>
    </row>
    <row r="27" spans="1:30" x14ac:dyDescent="0.25">
      <c r="A27" s="38" t="s">
        <v>683</v>
      </c>
      <c r="B27" s="39">
        <v>0</v>
      </c>
      <c r="C27" s="39">
        <f>IF(C23&gt;$B$5,(C23-$B$5)*$H$5,0)</f>
        <v>9523.0999999999949</v>
      </c>
      <c r="D27" s="39">
        <v>0</v>
      </c>
      <c r="E27" s="39">
        <f>IF(E23&gt;$B$5,(E23-$B$5)*$H$5,0)</f>
        <v>9523.0999999999949</v>
      </c>
      <c r="F27" s="39">
        <v>0</v>
      </c>
      <c r="G27" s="39">
        <f>IF(G23&gt;$B$5,(G23-$B$5)*$H$5,0)</f>
        <v>9523.0999999999949</v>
      </c>
      <c r="H27" s="39">
        <v>0</v>
      </c>
      <c r="I27" s="39">
        <v>0</v>
      </c>
      <c r="J27" s="39">
        <f>IF(J23&gt;$B$5,(J23-$B$5)*$H$5,0)</f>
        <v>9523.0999999999949</v>
      </c>
      <c r="K27" s="39">
        <v>0</v>
      </c>
      <c r="L27" s="39">
        <f>IF(L23&gt;$B$5,(L23-$B$5)*$H$5,0)</f>
        <v>9523.0999999999949</v>
      </c>
      <c r="M27" s="39">
        <v>0</v>
      </c>
      <c r="N27" s="39">
        <f>IF(N23&gt;$B$5,(N23-$B$5)*$H$5,0)</f>
        <v>9523.0999999999949</v>
      </c>
      <c r="O27" s="39">
        <v>0</v>
      </c>
      <c r="P27" s="39">
        <f>IF(P23&gt;$B$5,(P23-$B$5)*$H$5,0)</f>
        <v>9523.0999999999949</v>
      </c>
      <c r="Q27" s="39">
        <v>0</v>
      </c>
      <c r="R27" s="39">
        <f>IF(R23&gt;$B$5,(R23-$B$5)*$H$5,0)</f>
        <v>9523.0999999999949</v>
      </c>
      <c r="S27" s="39">
        <v>0</v>
      </c>
      <c r="T27" s="39">
        <f>IF(T23&gt;$B$5,(T23-$B$5)*$H$5,0)</f>
        <v>9523.0999999999949</v>
      </c>
      <c r="U27" s="39">
        <v>0</v>
      </c>
      <c r="V27" s="39">
        <f>IF(V23&gt;$B$5,(V23-$B$5)*$H$5,0)</f>
        <v>9523.0999999999949</v>
      </c>
      <c r="W27" s="39">
        <v>0</v>
      </c>
      <c r="X27" s="39">
        <f>IF(X23&gt;$B$5,(X23-$B$5)*$H$5,0)</f>
        <v>9523.0999999999949</v>
      </c>
      <c r="Y27" s="39">
        <v>0</v>
      </c>
      <c r="Z27" s="39">
        <f>IF(Z23&gt;$B$5,(Z23-$B$5)*$H$5,0)</f>
        <v>9523.0999999999949</v>
      </c>
      <c r="AA27" s="39">
        <v>0</v>
      </c>
      <c r="AB27" s="39">
        <f>IF(AB23&gt;$B$5,(AB23-$B$5)*$H$5,0)</f>
        <v>9523.0999999999949</v>
      </c>
      <c r="AC27" s="39">
        <v>0</v>
      </c>
      <c r="AD27" s="39">
        <f>IF(AD23&gt;$B$5,(AD23-$B$5)*$H$5,0)</f>
        <v>9523.0999999999949</v>
      </c>
    </row>
    <row r="28" spans="1:30" x14ac:dyDescent="0.25">
      <c r="A28" s="38" t="s">
        <v>684</v>
      </c>
      <c r="B28" s="39">
        <v>0</v>
      </c>
      <c r="C28" s="39">
        <f>IF(C24&gt;$B$6,(C24-$B$6)*$H$6,0)</f>
        <v>20876.25</v>
      </c>
      <c r="D28" s="39">
        <v>0</v>
      </c>
      <c r="E28" s="39">
        <f>IF(E24&gt;$B$6,(E24-$B$6)*$H$6,0)</f>
        <v>20876.25</v>
      </c>
      <c r="F28" s="39">
        <v>0</v>
      </c>
      <c r="G28" s="39">
        <f>IF(G24&gt;$B$6,(G24-$B$6)*$H$6,0)</f>
        <v>20876.25</v>
      </c>
      <c r="H28" s="39">
        <v>0</v>
      </c>
      <c r="I28" s="39">
        <v>0</v>
      </c>
      <c r="J28" s="39">
        <f>IF(J24&gt;$B$6,(J24-$B$6)*$H$6,0)</f>
        <v>20876.25</v>
      </c>
      <c r="K28" s="39">
        <v>0</v>
      </c>
      <c r="L28" s="39">
        <f>IF(L24&gt;$B$6,(L24-$B$6)*$H$6,0)</f>
        <v>20876.25</v>
      </c>
      <c r="M28" s="39">
        <v>0</v>
      </c>
      <c r="N28" s="39">
        <f>IF(N24&gt;$B$6,(N24-$B$6)*$H$6,0)</f>
        <v>20876.25</v>
      </c>
      <c r="O28" s="39">
        <v>0</v>
      </c>
      <c r="P28" s="39">
        <f>IF(P24&gt;$B$6,(P24-$B$6)*$H$6,0)</f>
        <v>20876.25</v>
      </c>
      <c r="Q28" s="39">
        <v>0</v>
      </c>
      <c r="R28" s="39">
        <f>IF(R24&gt;$B$6,(R24-$B$6)*$H$6,0)</f>
        <v>20876.25</v>
      </c>
      <c r="S28" s="39">
        <v>0</v>
      </c>
      <c r="T28" s="39">
        <f>IF(T24&gt;$B$6,(T24-$B$6)*$H$6,0)</f>
        <v>20876.25</v>
      </c>
      <c r="U28" s="39">
        <v>0</v>
      </c>
      <c r="V28" s="39">
        <f>IF(V24&gt;$B$6,(V24-$B$6)*$H$6,0)</f>
        <v>20876.25</v>
      </c>
      <c r="W28" s="39">
        <v>0</v>
      </c>
      <c r="X28" s="39">
        <f>IF(X24&gt;$B$6,(X24-$B$6)*$H$6,0)</f>
        <v>20876.25</v>
      </c>
      <c r="Y28" s="39">
        <v>0</v>
      </c>
      <c r="Z28" s="39">
        <f>IF(Z24&gt;$B$6,(Z24-$B$6)*$H$6,0)</f>
        <v>20876.25</v>
      </c>
      <c r="AA28" s="39">
        <v>0</v>
      </c>
      <c r="AB28" s="39">
        <f>IF(AB24&gt;$B$6,(AB24-$B$6)*$H$6,0)</f>
        <v>20876.25</v>
      </c>
      <c r="AC28" s="39">
        <v>0</v>
      </c>
      <c r="AD28" s="39">
        <f>IF(AD24&gt;$B$6,(AD24-$B$6)*$H$6,0)</f>
        <v>20876.25</v>
      </c>
    </row>
    <row r="29" spans="1:30" x14ac:dyDescent="0.25">
      <c r="A29" s="38" t="s">
        <v>685</v>
      </c>
      <c r="B29" s="39">
        <v>0</v>
      </c>
      <c r="C29" s="39">
        <f>IF(C25&gt;$B$7,(C25-$B$7)*$H$7,0)</f>
        <v>4700.1499999999987</v>
      </c>
      <c r="D29" s="39">
        <v>0</v>
      </c>
      <c r="E29" s="39">
        <f>IF(E25&gt;$B$7,(E25-$B$7)*$H$7,0)</f>
        <v>4700.1499999999987</v>
      </c>
      <c r="F29" s="39">
        <v>0</v>
      </c>
      <c r="G29" s="39">
        <f>IF(G25&gt;$B$7,(G25-$B$7)*$H$7,0)</f>
        <v>4700.1499999999987</v>
      </c>
      <c r="H29" s="39">
        <v>0</v>
      </c>
      <c r="I29" s="39">
        <v>0</v>
      </c>
      <c r="J29" s="39">
        <f>IF(J25&gt;$B$7,(J25-$B$7)*$H$7,0)</f>
        <v>4700.1499999999987</v>
      </c>
      <c r="K29" s="39">
        <v>0</v>
      </c>
      <c r="L29" s="39">
        <f>IF(L25&gt;$B$7,(L25-$B$7)*$H$7,0)</f>
        <v>4700.1499999999987</v>
      </c>
      <c r="M29" s="39">
        <v>0</v>
      </c>
      <c r="N29" s="39">
        <f>IF(N25&gt;$B$7,(N25-$B$7)*$H$7,0)</f>
        <v>4700.1499999999987</v>
      </c>
      <c r="O29" s="39">
        <v>0</v>
      </c>
      <c r="P29" s="39">
        <f>IF(P25&gt;$B$7,(P25-$B$7)*$H$7,0)</f>
        <v>4700.1499999999987</v>
      </c>
      <c r="Q29" s="39">
        <v>0</v>
      </c>
      <c r="R29" s="39">
        <f>IF(R25&gt;$B$7,(R25-$B$7)*$H$7,0)</f>
        <v>4700.1499999999987</v>
      </c>
      <c r="S29" s="39">
        <v>0</v>
      </c>
      <c r="T29" s="39">
        <f>IF(T25&gt;$B$7,(T25-$B$7)*$H$7,0)</f>
        <v>4700.1499999999987</v>
      </c>
      <c r="U29" s="39">
        <v>0</v>
      </c>
      <c r="V29" s="39">
        <f>IF(V25&gt;$B$7,(V25-$B$7)*$H$7,0)</f>
        <v>4700.1499999999987</v>
      </c>
      <c r="W29" s="39">
        <v>0</v>
      </c>
      <c r="X29" s="39">
        <f>IF(X25&gt;$B$7,(X25-$B$7)*$H$7,0)</f>
        <v>4700.1499999999987</v>
      </c>
      <c r="Y29" s="39">
        <v>0</v>
      </c>
      <c r="Z29" s="39">
        <f>IF(Z25&gt;$B$7,(Z25-$B$7)*$H$7,0)</f>
        <v>4700.1499999999987</v>
      </c>
      <c r="AA29" s="39">
        <v>0</v>
      </c>
      <c r="AB29" s="39">
        <f>IF(AB25&gt;$B$7,(AB25-$B$7)*$H$7,0)</f>
        <v>4700.1499999999987</v>
      </c>
      <c r="AC29" s="39">
        <v>0</v>
      </c>
      <c r="AD29" s="39">
        <f>IF(AD25&gt;$B$7,(AD25-$B$7)*$H$7,0)</f>
        <v>4700.1499999999987</v>
      </c>
    </row>
    <row r="30" spans="1:30" x14ac:dyDescent="0.25">
      <c r="A30" s="40" t="s">
        <v>686</v>
      </c>
      <c r="B30" s="41">
        <f>G4+G5+G6+G7</f>
        <v>3065.3219999999992</v>
      </c>
      <c r="C30" s="41">
        <f t="shared" ref="C30:AD30" si="11">B30</f>
        <v>3065.3219999999992</v>
      </c>
      <c r="D30" s="41">
        <f t="shared" si="11"/>
        <v>3065.3219999999992</v>
      </c>
      <c r="E30" s="41">
        <f t="shared" si="11"/>
        <v>3065.3219999999992</v>
      </c>
      <c r="F30" s="41">
        <f t="shared" si="11"/>
        <v>3065.3219999999992</v>
      </c>
      <c r="G30" s="41">
        <f t="shared" si="11"/>
        <v>3065.3219999999992</v>
      </c>
      <c r="H30" s="41">
        <f t="shared" si="11"/>
        <v>3065.3219999999992</v>
      </c>
      <c r="I30" s="41">
        <f t="shared" si="11"/>
        <v>3065.3219999999992</v>
      </c>
      <c r="J30" s="41">
        <f t="shared" si="11"/>
        <v>3065.3219999999992</v>
      </c>
      <c r="K30" s="41">
        <f t="shared" si="11"/>
        <v>3065.3219999999992</v>
      </c>
      <c r="L30" s="41">
        <f t="shared" si="11"/>
        <v>3065.3219999999992</v>
      </c>
      <c r="M30" s="41">
        <f t="shared" si="11"/>
        <v>3065.3219999999992</v>
      </c>
      <c r="N30" s="41">
        <f t="shared" si="11"/>
        <v>3065.3219999999992</v>
      </c>
      <c r="O30" s="41">
        <f t="shared" si="11"/>
        <v>3065.3219999999992</v>
      </c>
      <c r="P30" s="41">
        <f t="shared" si="11"/>
        <v>3065.3219999999992</v>
      </c>
      <c r="Q30" s="41">
        <f t="shared" si="11"/>
        <v>3065.3219999999992</v>
      </c>
      <c r="R30" s="41">
        <f t="shared" si="11"/>
        <v>3065.3219999999992</v>
      </c>
      <c r="S30" s="41">
        <f t="shared" si="11"/>
        <v>3065.3219999999992</v>
      </c>
      <c r="T30" s="41">
        <f t="shared" si="11"/>
        <v>3065.3219999999992</v>
      </c>
      <c r="U30" s="41">
        <f t="shared" si="11"/>
        <v>3065.3219999999992</v>
      </c>
      <c r="V30" s="41">
        <f t="shared" si="11"/>
        <v>3065.3219999999992</v>
      </c>
      <c r="W30" s="41">
        <f t="shared" si="11"/>
        <v>3065.3219999999992</v>
      </c>
      <c r="X30" s="41">
        <f t="shared" si="11"/>
        <v>3065.3219999999992</v>
      </c>
      <c r="Y30" s="41">
        <f t="shared" si="11"/>
        <v>3065.3219999999992</v>
      </c>
      <c r="Z30" s="41">
        <f t="shared" si="11"/>
        <v>3065.3219999999992</v>
      </c>
      <c r="AA30" s="41">
        <f t="shared" si="11"/>
        <v>3065.3219999999992</v>
      </c>
      <c r="AB30" s="41">
        <f t="shared" si="11"/>
        <v>3065.3219999999992</v>
      </c>
      <c r="AC30" s="41">
        <f t="shared" si="11"/>
        <v>3065.3219999999992</v>
      </c>
      <c r="AD30" s="41">
        <f t="shared" si="11"/>
        <v>3065.3219999999992</v>
      </c>
    </row>
    <row r="31" spans="1:30" x14ac:dyDescent="0.25">
      <c r="A31" s="42" t="s">
        <v>687</v>
      </c>
      <c r="B31" s="43">
        <f t="shared" ref="B31:AD31" si="12">B26+B27+B28+B29-B30</f>
        <v>-3065.3219999999992</v>
      </c>
      <c r="C31" s="43">
        <f t="shared" si="12"/>
        <v>45533.397999999994</v>
      </c>
      <c r="D31" s="43">
        <f t="shared" si="12"/>
        <v>-3065.3219999999992</v>
      </c>
      <c r="E31" s="43">
        <f t="shared" si="12"/>
        <v>45533.397999999994</v>
      </c>
      <c r="F31" s="43">
        <f t="shared" si="12"/>
        <v>-3065.3219999999992</v>
      </c>
      <c r="G31" s="43">
        <f t="shared" si="12"/>
        <v>45533.397999999994</v>
      </c>
      <c r="H31" s="43">
        <f t="shared" si="12"/>
        <v>-3065.3219999999992</v>
      </c>
      <c r="I31" s="43">
        <f t="shared" si="12"/>
        <v>-3065.3219999999992</v>
      </c>
      <c r="J31" s="43">
        <f t="shared" si="12"/>
        <v>45533.397999999994</v>
      </c>
      <c r="K31" s="43">
        <f t="shared" si="12"/>
        <v>-3065.3219999999992</v>
      </c>
      <c r="L31" s="43">
        <f t="shared" si="12"/>
        <v>45533.397999999994</v>
      </c>
      <c r="M31" s="43">
        <f t="shared" si="12"/>
        <v>-3065.3219999999992</v>
      </c>
      <c r="N31" s="43">
        <f t="shared" si="12"/>
        <v>45533.397999999994</v>
      </c>
      <c r="O31" s="43">
        <f t="shared" si="12"/>
        <v>-3065.3219999999992</v>
      </c>
      <c r="P31" s="43">
        <f t="shared" si="12"/>
        <v>45533.397999999994</v>
      </c>
      <c r="Q31" s="43">
        <f t="shared" si="12"/>
        <v>-3065.3219999999992</v>
      </c>
      <c r="R31" s="43">
        <f t="shared" si="12"/>
        <v>45533.397999999994</v>
      </c>
      <c r="S31" s="43">
        <f t="shared" si="12"/>
        <v>-3065.3219999999992</v>
      </c>
      <c r="T31" s="43">
        <f t="shared" si="12"/>
        <v>45533.397999999994</v>
      </c>
      <c r="U31" s="43">
        <f t="shared" si="12"/>
        <v>-3065.3219999999992</v>
      </c>
      <c r="V31" s="43">
        <f t="shared" si="12"/>
        <v>45533.397999999994</v>
      </c>
      <c r="W31" s="43">
        <f t="shared" si="12"/>
        <v>-3065.3219999999992</v>
      </c>
      <c r="X31" s="43">
        <f t="shared" si="12"/>
        <v>45533.397999999994</v>
      </c>
      <c r="Y31" s="43">
        <f t="shared" si="12"/>
        <v>-3065.3219999999992</v>
      </c>
      <c r="Z31" s="43">
        <f t="shared" si="12"/>
        <v>45533.397999999994</v>
      </c>
      <c r="AA31" s="43">
        <f t="shared" si="12"/>
        <v>-3065.3219999999992</v>
      </c>
      <c r="AB31" s="43">
        <f t="shared" si="12"/>
        <v>45533.397999999994</v>
      </c>
      <c r="AC31" s="43">
        <f t="shared" si="12"/>
        <v>-3065.3219999999992</v>
      </c>
      <c r="AD31" s="43">
        <f t="shared" si="12"/>
        <v>45533.397999999994</v>
      </c>
    </row>
    <row r="32" spans="1:30" x14ac:dyDescent="0.25">
      <c r="A32" s="44" t="s">
        <v>688</v>
      </c>
      <c r="B32" s="43">
        <f>-B12-B11+B31</f>
        <v>-310443.77199999988</v>
      </c>
      <c r="C32" s="43">
        <f t="shared" ref="C32:AD32" si="13">B32+C31</f>
        <v>-264910.37399999989</v>
      </c>
      <c r="D32" s="43">
        <f t="shared" si="13"/>
        <v>-267975.69599999988</v>
      </c>
      <c r="E32" s="43">
        <f t="shared" si="13"/>
        <v>-222442.29799999989</v>
      </c>
      <c r="F32" s="43">
        <f t="shared" si="13"/>
        <v>-225507.61999999988</v>
      </c>
      <c r="G32" s="43">
        <f t="shared" si="13"/>
        <v>-179974.22199999989</v>
      </c>
      <c r="H32" s="43">
        <f t="shared" si="13"/>
        <v>-183039.54399999988</v>
      </c>
      <c r="I32" s="43">
        <f t="shared" si="13"/>
        <v>-186104.86599999986</v>
      </c>
      <c r="J32" s="43">
        <f t="shared" si="13"/>
        <v>-140571.46799999988</v>
      </c>
      <c r="K32" s="43">
        <f t="shared" si="13"/>
        <v>-143636.78999999986</v>
      </c>
      <c r="L32" s="43">
        <f t="shared" si="13"/>
        <v>-98103.391999999876</v>
      </c>
      <c r="M32" s="43">
        <f t="shared" si="13"/>
        <v>-101168.71399999988</v>
      </c>
      <c r="N32" s="43">
        <f t="shared" si="13"/>
        <v>-55635.315999999882</v>
      </c>
      <c r="O32" s="43">
        <f t="shared" si="13"/>
        <v>-58700.637999999883</v>
      </c>
      <c r="P32" s="43">
        <f t="shared" si="13"/>
        <v>-13167.239999999889</v>
      </c>
      <c r="Q32" s="43">
        <f t="shared" si="13"/>
        <v>-16232.561999999889</v>
      </c>
      <c r="R32" s="43">
        <f t="shared" si="13"/>
        <v>29300.836000000105</v>
      </c>
      <c r="S32" s="43">
        <f t="shared" si="13"/>
        <v>26235.514000000105</v>
      </c>
      <c r="T32" s="43">
        <f t="shared" si="13"/>
        <v>71768.912000000098</v>
      </c>
      <c r="U32" s="43">
        <f t="shared" si="13"/>
        <v>68703.590000000098</v>
      </c>
      <c r="V32" s="43">
        <f t="shared" si="13"/>
        <v>114236.9880000001</v>
      </c>
      <c r="W32" s="43">
        <f t="shared" si="13"/>
        <v>111171.6660000001</v>
      </c>
      <c r="X32" s="43">
        <f t="shared" si="13"/>
        <v>156705.0640000001</v>
      </c>
      <c r="Y32" s="43">
        <f t="shared" si="13"/>
        <v>153639.74200000011</v>
      </c>
      <c r="Z32" s="43">
        <f t="shared" si="13"/>
        <v>199173.1400000001</v>
      </c>
      <c r="AA32" s="43">
        <f t="shared" si="13"/>
        <v>196107.81800000012</v>
      </c>
      <c r="AB32" s="43">
        <f t="shared" si="13"/>
        <v>241641.2160000001</v>
      </c>
      <c r="AC32" s="43">
        <f t="shared" si="13"/>
        <v>238575.89400000012</v>
      </c>
      <c r="AD32" s="43">
        <f t="shared" si="13"/>
        <v>284109.29200000013</v>
      </c>
    </row>
    <row r="33" spans="2:30" x14ac:dyDescent="0.25">
      <c r="B33" s="45">
        <f t="shared" ref="B33:AD33" si="14">B32/$B$13</f>
        <v>-1.0099724687921354</v>
      </c>
      <c r="C33" s="45">
        <f t="shared" si="14"/>
        <v>-0.86183782239776396</v>
      </c>
      <c r="D33" s="45">
        <f t="shared" si="14"/>
        <v>-0.8718102911898995</v>
      </c>
      <c r="E33" s="45">
        <f t="shared" si="14"/>
        <v>-0.72367564479552804</v>
      </c>
      <c r="F33" s="45">
        <f t="shared" si="14"/>
        <v>-0.73364811358766358</v>
      </c>
      <c r="G33" s="45">
        <f t="shared" si="14"/>
        <v>-0.585513467193292</v>
      </c>
      <c r="H33" s="45">
        <f t="shared" si="14"/>
        <v>-0.59548593598542754</v>
      </c>
      <c r="I33" s="45">
        <f t="shared" si="14"/>
        <v>-0.60545840477756308</v>
      </c>
      <c r="J33" s="45">
        <f t="shared" si="14"/>
        <v>-0.45732375838319156</v>
      </c>
      <c r="K33" s="45">
        <f t="shared" si="14"/>
        <v>-0.46729622717532704</v>
      </c>
      <c r="L33" s="45">
        <f t="shared" si="14"/>
        <v>-0.31916158078095558</v>
      </c>
      <c r="M33" s="45">
        <f t="shared" si="14"/>
        <v>-0.32913404957309111</v>
      </c>
      <c r="N33" s="45">
        <f t="shared" si="14"/>
        <v>-0.1809994031787196</v>
      </c>
      <c r="O33" s="45">
        <f t="shared" si="14"/>
        <v>-0.19097187197085516</v>
      </c>
      <c r="P33" s="45">
        <f t="shared" si="14"/>
        <v>-4.2837225576483624E-2</v>
      </c>
      <c r="Q33" s="45">
        <f t="shared" si="14"/>
        <v>-5.2809694368619188E-2</v>
      </c>
      <c r="R33" s="45">
        <f t="shared" si="14"/>
        <v>9.5324952025752335E-2</v>
      </c>
      <c r="S33" s="45">
        <f t="shared" si="14"/>
        <v>8.5352483233616785E-2</v>
      </c>
      <c r="T33" s="45">
        <f t="shared" si="14"/>
        <v>0.23348712962798832</v>
      </c>
      <c r="U33" s="45">
        <f t="shared" si="14"/>
        <v>0.22351466083585275</v>
      </c>
      <c r="V33" s="45">
        <f t="shared" si="14"/>
        <v>0.37164930723022432</v>
      </c>
      <c r="W33" s="45">
        <f t="shared" si="14"/>
        <v>0.36167683843808873</v>
      </c>
      <c r="X33" s="45">
        <f t="shared" si="14"/>
        <v>0.5098114848324603</v>
      </c>
      <c r="Y33" s="45">
        <f t="shared" si="14"/>
        <v>0.49983901604032477</v>
      </c>
      <c r="Z33" s="45">
        <f t="shared" si="14"/>
        <v>0.64797366243469623</v>
      </c>
      <c r="AA33" s="45">
        <f t="shared" si="14"/>
        <v>0.6380011936425608</v>
      </c>
      <c r="AB33" s="45">
        <f t="shared" si="14"/>
        <v>0.78613584003693227</v>
      </c>
      <c r="AC33" s="45">
        <f t="shared" si="14"/>
        <v>0.77616337124479673</v>
      </c>
      <c r="AD33" s="45">
        <f t="shared" si="14"/>
        <v>0.92429801763916841</v>
      </c>
    </row>
    <row r="37" spans="2:30" x14ac:dyDescent="0.25">
      <c r="B37" s="114">
        <f t="shared" ref="B37:P37" si="15">B18/B17</f>
        <v>0.56900401965163017</v>
      </c>
      <c r="C37" s="114">
        <f t="shared" si="15"/>
        <v>0.56900401965163028</v>
      </c>
      <c r="D37" s="114">
        <f t="shared" si="15"/>
        <v>0.56900401965163017</v>
      </c>
      <c r="E37" s="114">
        <f t="shared" si="15"/>
        <v>0.56900401965163017</v>
      </c>
      <c r="F37" s="114">
        <f t="shared" si="15"/>
        <v>0.56900401965163017</v>
      </c>
      <c r="G37" s="114">
        <f t="shared" si="15"/>
        <v>0.56900401965163017</v>
      </c>
      <c r="H37" s="114">
        <f t="shared" si="15"/>
        <v>0.56900401965163017</v>
      </c>
      <c r="I37" s="114">
        <f t="shared" si="15"/>
        <v>0.56900401965163017</v>
      </c>
      <c r="J37" s="114">
        <f t="shared" si="15"/>
        <v>0.56900401965163017</v>
      </c>
      <c r="K37" s="114">
        <f t="shared" si="15"/>
        <v>0.56900401965163017</v>
      </c>
      <c r="L37" s="114">
        <f t="shared" si="15"/>
        <v>0.56900401965163017</v>
      </c>
      <c r="M37" s="114">
        <f t="shared" si="15"/>
        <v>0.56900401965163017</v>
      </c>
      <c r="N37" s="114">
        <f t="shared" si="15"/>
        <v>0.56900401965163028</v>
      </c>
      <c r="O37" s="114">
        <f t="shared" si="15"/>
        <v>0.56900401965163017</v>
      </c>
      <c r="P37" s="114">
        <f t="shared" si="15"/>
        <v>0.56900401965163017</v>
      </c>
    </row>
    <row r="38" spans="2:30" x14ac:dyDescent="0.25">
      <c r="B38" s="114">
        <f t="shared" ref="B38:P38" si="16">B19/B17</f>
        <v>0.2184010719071014</v>
      </c>
      <c r="C38" s="114">
        <f t="shared" si="16"/>
        <v>0.21840107190710137</v>
      </c>
      <c r="D38" s="114">
        <f t="shared" si="16"/>
        <v>0.2184010719071014</v>
      </c>
      <c r="E38" s="114">
        <f t="shared" si="16"/>
        <v>0.21840107190710137</v>
      </c>
      <c r="F38" s="114">
        <f t="shared" si="16"/>
        <v>0.21840107190710137</v>
      </c>
      <c r="G38" s="114">
        <f t="shared" si="16"/>
        <v>0.21840107190710137</v>
      </c>
      <c r="H38" s="114">
        <f t="shared" si="16"/>
        <v>0.21840107190710137</v>
      </c>
      <c r="I38" s="114">
        <f t="shared" si="16"/>
        <v>0.21840107190710137</v>
      </c>
      <c r="J38" s="114">
        <f t="shared" si="16"/>
        <v>0.21840107190710137</v>
      </c>
      <c r="K38" s="114">
        <f t="shared" si="16"/>
        <v>0.21840107190710137</v>
      </c>
      <c r="L38" s="114">
        <f t="shared" si="16"/>
        <v>0.21840107190710137</v>
      </c>
      <c r="M38" s="114">
        <f t="shared" si="16"/>
        <v>0.21840107190710137</v>
      </c>
      <c r="N38" s="114">
        <f t="shared" si="16"/>
        <v>0.21840107190710137</v>
      </c>
      <c r="O38" s="114">
        <f t="shared" si="16"/>
        <v>0.21840107190710137</v>
      </c>
      <c r="P38" s="114">
        <f t="shared" si="16"/>
        <v>0.21840107190710137</v>
      </c>
    </row>
    <row r="39" spans="2:30" x14ac:dyDescent="0.25">
      <c r="B39" s="114">
        <f t="shared" ref="B39:P39" si="17">B20/B17</f>
        <v>0.18981688253684681</v>
      </c>
      <c r="C39" s="114">
        <f t="shared" si="17"/>
        <v>0.18981688253684681</v>
      </c>
      <c r="D39" s="114">
        <f t="shared" si="17"/>
        <v>0.18981688253684681</v>
      </c>
      <c r="E39" s="114">
        <f t="shared" si="17"/>
        <v>0.18981688253684681</v>
      </c>
      <c r="F39" s="114">
        <f t="shared" si="17"/>
        <v>0.18981688253684681</v>
      </c>
      <c r="G39" s="114">
        <f t="shared" si="17"/>
        <v>0.18981688253684681</v>
      </c>
      <c r="H39" s="114">
        <f t="shared" si="17"/>
        <v>0.18981688253684678</v>
      </c>
      <c r="I39" s="114">
        <f t="shared" si="17"/>
        <v>0.18981688253684681</v>
      </c>
      <c r="J39" s="114">
        <f t="shared" si="17"/>
        <v>0.18981688253684681</v>
      </c>
      <c r="K39" s="114">
        <f t="shared" si="17"/>
        <v>0.18981688253684681</v>
      </c>
      <c r="L39" s="114">
        <f t="shared" si="17"/>
        <v>0.18981688253684681</v>
      </c>
      <c r="M39" s="114">
        <f t="shared" si="17"/>
        <v>0.18981688253684681</v>
      </c>
      <c r="N39" s="114">
        <f t="shared" si="17"/>
        <v>0.18981688253684681</v>
      </c>
      <c r="O39" s="114">
        <f t="shared" si="17"/>
        <v>0.18981688253684681</v>
      </c>
      <c r="P39" s="114">
        <f t="shared" si="17"/>
        <v>0.18981688253684681</v>
      </c>
    </row>
    <row r="40" spans="2:30" x14ac:dyDescent="0.25">
      <c r="B40" s="114">
        <f t="shared" ref="B40:P40" si="18">B21/B17</f>
        <v>2.2778025904421618E-2</v>
      </c>
      <c r="C40" s="114">
        <f t="shared" si="18"/>
        <v>2.2778025904421618E-2</v>
      </c>
      <c r="D40" s="114">
        <f t="shared" si="18"/>
        <v>2.2778025904421618E-2</v>
      </c>
      <c r="E40" s="114">
        <f t="shared" si="18"/>
        <v>2.2778025904421618E-2</v>
      </c>
      <c r="F40" s="114">
        <f t="shared" si="18"/>
        <v>2.2778025904421618E-2</v>
      </c>
      <c r="G40" s="114">
        <f t="shared" si="18"/>
        <v>2.2778025904421618E-2</v>
      </c>
      <c r="H40" s="114">
        <f t="shared" si="18"/>
        <v>2.2778025904421618E-2</v>
      </c>
      <c r="I40" s="114">
        <f t="shared" si="18"/>
        <v>2.2778025904421618E-2</v>
      </c>
      <c r="J40" s="114">
        <f t="shared" si="18"/>
        <v>2.2778025904421618E-2</v>
      </c>
      <c r="K40" s="114">
        <f t="shared" si="18"/>
        <v>2.2778025904421618E-2</v>
      </c>
      <c r="L40" s="114">
        <f t="shared" si="18"/>
        <v>2.2778025904421618E-2</v>
      </c>
      <c r="M40" s="114">
        <f t="shared" si="18"/>
        <v>2.2778025904421618E-2</v>
      </c>
      <c r="N40" s="114">
        <f t="shared" si="18"/>
        <v>2.2778025904421618E-2</v>
      </c>
      <c r="O40" s="114">
        <f t="shared" si="18"/>
        <v>2.2778025904421618E-2</v>
      </c>
      <c r="P40" s="114">
        <f t="shared" si="18"/>
        <v>2.2778025904421614E-2</v>
      </c>
    </row>
    <row r="41" spans="2:30" x14ac:dyDescent="0.25">
      <c r="G41" s="50">
        <f>G21-B7</f>
        <v>139.3900000000001</v>
      </c>
      <c r="I41" s="50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46" t="s">
        <v>187</v>
      </c>
      <c r="B1" s="546"/>
      <c r="C1" s="546"/>
      <c r="D1" s="546"/>
      <c r="E1" s="546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3"/>
      <c r="V1" s="263"/>
      <c r="W1" s="263"/>
      <c r="X1" s="263"/>
      <c r="Y1" s="263"/>
      <c r="Z1" s="265"/>
      <c r="AA1" s="266"/>
      <c r="AC1" s="547" t="s">
        <v>188</v>
      </c>
      <c r="AD1" s="547"/>
      <c r="AE1" s="547"/>
      <c r="AF1" s="54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7" t="s">
        <v>87</v>
      </c>
      <c r="B2" s="267" t="s">
        <v>189</v>
      </c>
      <c r="C2" s="267" t="s">
        <v>89</v>
      </c>
      <c r="D2" s="268" t="s">
        <v>190</v>
      </c>
      <c r="E2" s="267" t="s">
        <v>191</v>
      </c>
      <c r="F2" s="267" t="s">
        <v>192</v>
      </c>
      <c r="G2" s="267" t="s">
        <v>14</v>
      </c>
      <c r="H2" s="267" t="s">
        <v>193</v>
      </c>
      <c r="I2" s="269" t="s">
        <v>37</v>
      </c>
      <c r="J2" s="269" t="s">
        <v>193</v>
      </c>
      <c r="K2" s="267" t="s">
        <v>194</v>
      </c>
      <c r="L2" s="267" t="s">
        <v>193</v>
      </c>
      <c r="M2" s="269" t="s">
        <v>195</v>
      </c>
      <c r="N2" s="269" t="s">
        <v>193</v>
      </c>
      <c r="O2" s="267" t="s">
        <v>196</v>
      </c>
      <c r="P2" s="267" t="s">
        <v>193</v>
      </c>
      <c r="Q2" s="269" t="s">
        <v>197</v>
      </c>
      <c r="R2" s="269" t="s">
        <v>193</v>
      </c>
      <c r="S2" s="267" t="s">
        <v>198</v>
      </c>
      <c r="T2" s="267" t="s">
        <v>193</v>
      </c>
      <c r="U2" s="268" t="s">
        <v>199</v>
      </c>
      <c r="V2" s="268" t="s">
        <v>91</v>
      </c>
      <c r="W2" s="268" t="s">
        <v>180</v>
      </c>
      <c r="X2" s="268" t="s">
        <v>200</v>
      </c>
      <c r="Y2" s="268" t="s">
        <v>198</v>
      </c>
      <c r="Z2" s="270" t="s">
        <v>201</v>
      </c>
      <c r="AA2" s="66"/>
    </row>
    <row r="3" spans="1:46" x14ac:dyDescent="0.25">
      <c r="A3" s="548" t="s">
        <v>202</v>
      </c>
      <c r="B3" s="548"/>
      <c r="C3" s="548"/>
      <c r="D3" s="548"/>
      <c r="E3" s="548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1"/>
      <c r="V3" s="271"/>
      <c r="W3" s="271"/>
      <c r="X3" s="271"/>
      <c r="Y3" s="271"/>
      <c r="Z3" s="273"/>
      <c r="AA3" s="266"/>
      <c r="AC3" s="549" t="s">
        <v>203</v>
      </c>
      <c r="AD3" s="549"/>
      <c r="AE3" s="549"/>
      <c r="AF3" s="549"/>
      <c r="AG3" s="544" t="s">
        <v>204</v>
      </c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</row>
    <row r="4" spans="1:46" x14ac:dyDescent="0.25">
      <c r="A4" s="274" t="s">
        <v>203</v>
      </c>
      <c r="B4" s="274"/>
      <c r="C4" s="274"/>
      <c r="D4" s="274"/>
      <c r="E4" s="274"/>
      <c r="F4" s="274"/>
      <c r="G4" s="274" t="s">
        <v>204</v>
      </c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5"/>
      <c r="V4" s="275"/>
      <c r="W4" s="275"/>
      <c r="X4" s="275"/>
      <c r="Y4" s="275"/>
      <c r="Z4" s="276"/>
      <c r="AA4" s="277"/>
      <c r="AC4" s="294" t="s">
        <v>87</v>
      </c>
      <c r="AD4" s="294" t="s">
        <v>189</v>
      </c>
      <c r="AE4" s="294" t="s">
        <v>89</v>
      </c>
      <c r="AF4" s="306" t="s">
        <v>190</v>
      </c>
      <c r="AG4" s="294" t="s">
        <v>14</v>
      </c>
      <c r="AH4" s="294" t="s">
        <v>205</v>
      </c>
      <c r="AI4" s="294" t="s">
        <v>37</v>
      </c>
      <c r="AJ4" s="294" t="s">
        <v>206</v>
      </c>
      <c r="AK4" s="294" t="s">
        <v>194</v>
      </c>
      <c r="AL4" s="294" t="s">
        <v>207</v>
      </c>
      <c r="AM4" s="294" t="s">
        <v>195</v>
      </c>
      <c r="AN4" s="294" t="s">
        <v>208</v>
      </c>
      <c r="AO4" s="294" t="s">
        <v>197</v>
      </c>
      <c r="AP4" s="294" t="s">
        <v>209</v>
      </c>
      <c r="AQ4" s="294" t="s">
        <v>196</v>
      </c>
      <c r="AR4" s="294" t="s">
        <v>210</v>
      </c>
      <c r="AS4" s="294" t="s">
        <v>198</v>
      </c>
      <c r="AT4" s="294" t="s">
        <v>211</v>
      </c>
    </row>
    <row r="5" spans="1:46" x14ac:dyDescent="0.25">
      <c r="A5" s="274" t="s">
        <v>87</v>
      </c>
      <c r="B5" s="274" t="s">
        <v>189</v>
      </c>
      <c r="C5" s="274" t="s">
        <v>89</v>
      </c>
      <c r="D5" s="275" t="s">
        <v>190</v>
      </c>
      <c r="E5" s="274" t="s">
        <v>191</v>
      </c>
      <c r="F5" s="274" t="s">
        <v>192</v>
      </c>
      <c r="G5" s="274" t="s">
        <v>14</v>
      </c>
      <c r="H5" s="274" t="s">
        <v>193</v>
      </c>
      <c r="I5" s="278" t="s">
        <v>37</v>
      </c>
      <c r="J5" s="278" t="s">
        <v>193</v>
      </c>
      <c r="K5" s="274" t="s">
        <v>194</v>
      </c>
      <c r="L5" s="274" t="s">
        <v>193</v>
      </c>
      <c r="M5" s="278" t="s">
        <v>195</v>
      </c>
      <c r="N5" s="278" t="s">
        <v>193</v>
      </c>
      <c r="O5" s="274" t="s">
        <v>196</v>
      </c>
      <c r="P5" s="274" t="s">
        <v>193</v>
      </c>
      <c r="Q5" s="278" t="s">
        <v>197</v>
      </c>
      <c r="R5" s="278" t="s">
        <v>193</v>
      </c>
      <c r="S5" s="274" t="s">
        <v>198</v>
      </c>
      <c r="T5" s="274" t="s">
        <v>193</v>
      </c>
      <c r="U5" s="275" t="s">
        <v>199</v>
      </c>
      <c r="V5" s="275" t="s">
        <v>91</v>
      </c>
      <c r="W5" s="275" t="s">
        <v>180</v>
      </c>
      <c r="X5" s="275" t="s">
        <v>200</v>
      </c>
      <c r="Y5" s="275" t="s">
        <v>198</v>
      </c>
      <c r="Z5" s="276" t="s">
        <v>201</v>
      </c>
      <c r="AA5" s="66"/>
      <c r="AC5" s="332" t="s">
        <v>212</v>
      </c>
      <c r="AD5" s="1">
        <v>17</v>
      </c>
      <c r="AE5" s="279">
        <v>1798</v>
      </c>
      <c r="AF5" s="73" t="s">
        <v>157</v>
      </c>
      <c r="AG5" s="307"/>
      <c r="AH5" s="307"/>
      <c r="AI5" s="308">
        <v>3</v>
      </c>
      <c r="AJ5" s="308">
        <v>3.99</v>
      </c>
      <c r="AK5" s="308">
        <v>2</v>
      </c>
      <c r="AL5" s="308">
        <v>2.99</v>
      </c>
      <c r="AM5" s="307"/>
      <c r="AN5" s="309">
        <v>3.99</v>
      </c>
      <c r="AO5" s="307"/>
      <c r="AP5" s="309">
        <v>3.99</v>
      </c>
      <c r="AQ5" s="308">
        <v>2</v>
      </c>
      <c r="AR5" s="308">
        <v>2.99</v>
      </c>
      <c r="AS5" s="307"/>
      <c r="AT5" s="307"/>
    </row>
    <row r="6" spans="1:46" ht="15.75" x14ac:dyDescent="0.25">
      <c r="A6" s="304" t="s">
        <v>213</v>
      </c>
      <c r="B6" s="1">
        <v>16</v>
      </c>
      <c r="C6" s="279">
        <f ca="1">58+$A$33-$A$32-112</f>
        <v>510</v>
      </c>
      <c r="D6" s="73" t="s">
        <v>161</v>
      </c>
      <c r="E6" s="288">
        <f ca="1">F6-$A$33</f>
        <v>-398</v>
      </c>
      <c r="F6" s="280">
        <v>43810</v>
      </c>
      <c r="G6" s="2"/>
      <c r="H6" s="286">
        <v>0.99</v>
      </c>
      <c r="I6" s="282">
        <v>1</v>
      </c>
      <c r="J6" s="289">
        <v>1.99</v>
      </c>
      <c r="K6" s="290">
        <v>5</v>
      </c>
      <c r="L6" s="453">
        <v>5.99</v>
      </c>
      <c r="M6" s="283">
        <v>3</v>
      </c>
      <c r="N6" s="286">
        <v>4.99</v>
      </c>
      <c r="O6" s="282">
        <v>2</v>
      </c>
      <c r="P6" s="289">
        <v>2.99</v>
      </c>
      <c r="Q6" s="290">
        <v>4</v>
      </c>
      <c r="R6" s="291">
        <v>4.99</v>
      </c>
      <c r="S6" s="2"/>
      <c r="T6" s="2"/>
      <c r="U6" s="262" t="s">
        <v>214</v>
      </c>
      <c r="V6" s="1"/>
      <c r="W6" s="262">
        <f>COUNTA(H6,J6,L6,N6,P6,R6,T6)</f>
        <v>6</v>
      </c>
      <c r="X6" s="262">
        <v>0</v>
      </c>
      <c r="Y6" s="262">
        <v>0</v>
      </c>
      <c r="Z6" s="287" t="s">
        <v>215</v>
      </c>
      <c r="AA6" s="1"/>
      <c r="AC6" s="332" t="s">
        <v>216</v>
      </c>
      <c r="AD6" s="1">
        <v>16</v>
      </c>
      <c r="AE6" s="279">
        <v>1849</v>
      </c>
      <c r="AF6" s="73"/>
      <c r="AG6" s="307"/>
      <c r="AH6" s="307"/>
      <c r="AI6" s="308">
        <v>4</v>
      </c>
      <c r="AJ6" s="308">
        <v>4.99</v>
      </c>
      <c r="AK6" s="307"/>
      <c r="AL6" s="307"/>
      <c r="AM6" s="308">
        <v>0</v>
      </c>
      <c r="AN6" s="308">
        <v>0.99</v>
      </c>
      <c r="AO6" s="309">
        <v>3</v>
      </c>
      <c r="AP6" s="309">
        <v>4.99</v>
      </c>
      <c r="AQ6" s="308">
        <v>1</v>
      </c>
      <c r="AR6" s="308">
        <v>1.99</v>
      </c>
      <c r="AS6" s="307"/>
      <c r="AT6" s="307"/>
    </row>
    <row r="7" spans="1:46" ht="15.75" x14ac:dyDescent="0.25">
      <c r="A7" s="304" t="s">
        <v>217</v>
      </c>
      <c r="B7" s="1">
        <v>16</v>
      </c>
      <c r="C7" s="279">
        <f ca="1">52+$A$33-$A$32-112</f>
        <v>504</v>
      </c>
      <c r="D7" s="73" t="s">
        <v>157</v>
      </c>
      <c r="E7" s="288">
        <f ca="1">F7-$A$33</f>
        <v>-392</v>
      </c>
      <c r="F7" s="280">
        <v>43816</v>
      </c>
      <c r="G7" s="1"/>
      <c r="H7" s="1"/>
      <c r="I7" s="1"/>
      <c r="J7" s="286">
        <v>2.99</v>
      </c>
      <c r="K7" s="283">
        <v>4</v>
      </c>
      <c r="L7" s="284">
        <v>5.99</v>
      </c>
      <c r="M7" s="290">
        <v>3</v>
      </c>
      <c r="N7" s="291">
        <v>3.99</v>
      </c>
      <c r="O7" s="282">
        <v>1</v>
      </c>
      <c r="P7" s="289">
        <v>1.99</v>
      </c>
      <c r="Q7" s="290">
        <v>3</v>
      </c>
      <c r="R7" s="291">
        <v>3.99</v>
      </c>
      <c r="S7" s="1"/>
      <c r="T7" s="1"/>
      <c r="U7" s="262" t="s">
        <v>214</v>
      </c>
      <c r="V7" s="262"/>
      <c r="W7" s="262">
        <f>COUNTA(H7,J7,L7,N7,P7,R7,T7)</f>
        <v>5</v>
      </c>
      <c r="X7" s="262">
        <v>0</v>
      </c>
      <c r="Y7" s="262">
        <v>0</v>
      </c>
      <c r="Z7" s="287" t="s">
        <v>215</v>
      </c>
      <c r="AA7" s="266"/>
      <c r="AC7" s="332" t="s">
        <v>218</v>
      </c>
      <c r="AD7" s="1">
        <v>18</v>
      </c>
      <c r="AE7" s="279">
        <v>1773</v>
      </c>
      <c r="AF7" s="73"/>
      <c r="AG7" s="307"/>
      <c r="AH7" s="307"/>
      <c r="AI7" s="308">
        <v>4</v>
      </c>
      <c r="AJ7" s="308">
        <v>4.99</v>
      </c>
      <c r="AK7" s="308">
        <v>2</v>
      </c>
      <c r="AL7" s="308">
        <v>2.99</v>
      </c>
      <c r="AM7" s="307"/>
      <c r="AN7" s="307"/>
      <c r="AO7" s="307"/>
      <c r="AP7" s="307"/>
      <c r="AQ7" s="309">
        <v>4</v>
      </c>
      <c r="AR7" s="309">
        <v>4.99</v>
      </c>
      <c r="AS7" s="307"/>
      <c r="AT7" s="309">
        <v>2.99</v>
      </c>
    </row>
    <row r="8" spans="1:46" ht="15.75" x14ac:dyDescent="0.25">
      <c r="A8" s="304" t="s">
        <v>219</v>
      </c>
      <c r="B8" s="1">
        <v>15</v>
      </c>
      <c r="C8" s="279">
        <f ca="1">103+$A$33-$A$32-112</f>
        <v>555</v>
      </c>
      <c r="D8" s="73" t="s">
        <v>180</v>
      </c>
      <c r="E8" s="288">
        <f ca="1">F8-$A$33</f>
        <v>-331</v>
      </c>
      <c r="F8" s="280">
        <v>43877</v>
      </c>
      <c r="G8" s="281"/>
      <c r="H8" s="1"/>
      <c r="I8" s="1"/>
      <c r="J8" s="286">
        <v>3.99</v>
      </c>
      <c r="K8" s="283">
        <v>4</v>
      </c>
      <c r="L8" s="284">
        <v>5.99</v>
      </c>
      <c r="M8" s="1"/>
      <c r="N8" s="284">
        <v>5.99</v>
      </c>
      <c r="O8" s="1"/>
      <c r="P8" s="286">
        <v>4.99</v>
      </c>
      <c r="Q8" s="283">
        <v>2</v>
      </c>
      <c r="R8" s="1"/>
      <c r="S8" s="281"/>
      <c r="T8" s="281"/>
      <c r="U8" s="292" t="s">
        <v>220</v>
      </c>
      <c r="V8" s="262"/>
      <c r="W8" s="262">
        <f>COUNTA(H8,J8,L8,N8,P8,R8,T8)</f>
        <v>4</v>
      </c>
      <c r="X8" s="262">
        <v>0</v>
      </c>
      <c r="Y8" s="262">
        <v>0</v>
      </c>
      <c r="Z8" s="287" t="s">
        <v>221</v>
      </c>
      <c r="AA8" s="277"/>
      <c r="AC8" s="332" t="s">
        <v>148</v>
      </c>
      <c r="AD8" s="1">
        <v>17</v>
      </c>
      <c r="AE8" s="279">
        <v>1752</v>
      </c>
      <c r="AF8" s="73"/>
      <c r="AG8" s="307"/>
      <c r="AH8" s="307">
        <v>1.99</v>
      </c>
      <c r="AI8" s="310">
        <v>6</v>
      </c>
      <c r="AJ8" s="311">
        <v>6.99</v>
      </c>
      <c r="AK8" s="310">
        <v>4</v>
      </c>
      <c r="AL8" s="310">
        <v>4.99</v>
      </c>
      <c r="AM8" s="308">
        <v>3</v>
      </c>
      <c r="AN8" s="308">
        <v>3.99</v>
      </c>
      <c r="AO8" s="309">
        <v>2</v>
      </c>
      <c r="AP8" s="309">
        <v>3.99</v>
      </c>
      <c r="AQ8" s="308">
        <v>2</v>
      </c>
      <c r="AR8" s="308">
        <v>2.99</v>
      </c>
      <c r="AS8" s="307"/>
      <c r="AT8" s="307"/>
    </row>
    <row r="9" spans="1:46" ht="15.75" x14ac:dyDescent="0.25">
      <c r="A9" s="304" t="s">
        <v>222</v>
      </c>
      <c r="B9" s="1">
        <v>15</v>
      </c>
      <c r="C9" s="279">
        <f ca="1">3+$A$33-$A$32-78</f>
        <v>489</v>
      </c>
      <c r="D9" s="73"/>
      <c r="E9" s="288">
        <f ca="1">F9-$A$33</f>
        <v>-265</v>
      </c>
      <c r="F9" s="280">
        <v>43943</v>
      </c>
      <c r="G9" s="1"/>
      <c r="H9" s="1"/>
      <c r="I9" s="1"/>
      <c r="J9" s="286">
        <v>4.99</v>
      </c>
      <c r="K9" s="283">
        <v>4</v>
      </c>
      <c r="L9" s="285">
        <v>6.99</v>
      </c>
      <c r="M9" s="282">
        <v>2</v>
      </c>
      <c r="N9" s="289">
        <v>2.99</v>
      </c>
      <c r="O9" s="1"/>
      <c r="P9" s="286">
        <v>3.99</v>
      </c>
      <c r="Q9" s="1"/>
      <c r="R9" s="1"/>
      <c r="S9" s="1"/>
      <c r="T9" s="1"/>
      <c r="U9" s="262" t="s">
        <v>214</v>
      </c>
      <c r="V9" s="1"/>
      <c r="W9" s="262">
        <f>COUNTA(H9,J9,L9,N9,P9,R9,T9)</f>
        <v>4</v>
      </c>
      <c r="X9" s="262">
        <v>0</v>
      </c>
      <c r="Y9" s="262">
        <v>0</v>
      </c>
      <c r="Z9" s="287" t="s">
        <v>215</v>
      </c>
      <c r="AA9" s="66"/>
      <c r="AC9" s="332" t="s">
        <v>223</v>
      </c>
      <c r="AD9" s="1">
        <v>17</v>
      </c>
      <c r="AE9" s="279">
        <v>1701</v>
      </c>
      <c r="AF9" s="73"/>
      <c r="AG9" s="307"/>
      <c r="AH9" s="307"/>
      <c r="AI9" s="308">
        <v>1</v>
      </c>
      <c r="AJ9" s="308">
        <v>1.99</v>
      </c>
      <c r="AK9" s="310">
        <v>5</v>
      </c>
      <c r="AL9" s="312">
        <v>5.99</v>
      </c>
      <c r="AM9" s="308">
        <v>2</v>
      </c>
      <c r="AN9" s="308">
        <v>2.99</v>
      </c>
      <c r="AO9" s="308">
        <v>2</v>
      </c>
      <c r="AP9" s="308">
        <v>2.99</v>
      </c>
      <c r="AQ9" s="308">
        <v>2</v>
      </c>
      <c r="AR9" s="308">
        <v>2.99</v>
      </c>
      <c r="AS9" s="307"/>
      <c r="AT9" s="307"/>
    </row>
    <row r="10" spans="1:46" ht="15.75" x14ac:dyDescent="0.25">
      <c r="A10" s="545" t="s">
        <v>224</v>
      </c>
      <c r="B10" s="545"/>
      <c r="C10" s="545"/>
      <c r="D10" s="545"/>
      <c r="E10" s="545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8"/>
      <c r="V10" s="298"/>
      <c r="W10" s="298"/>
      <c r="X10" s="298"/>
      <c r="Y10" s="298"/>
      <c r="Z10" s="299"/>
      <c r="AA10" s="2"/>
      <c r="AC10" s="332" t="s">
        <v>225</v>
      </c>
      <c r="AD10" s="1">
        <v>17</v>
      </c>
      <c r="AE10" s="279">
        <v>1714</v>
      </c>
      <c r="AF10" s="73" t="s">
        <v>146</v>
      </c>
      <c r="AG10" s="313"/>
      <c r="AH10" s="313"/>
      <c r="AI10" s="314">
        <v>5</v>
      </c>
      <c r="AJ10" s="315">
        <v>5.99</v>
      </c>
      <c r="AK10" s="316">
        <v>2</v>
      </c>
      <c r="AL10" s="316">
        <v>2.99</v>
      </c>
      <c r="AM10" s="316">
        <v>4</v>
      </c>
      <c r="AN10" s="316">
        <v>4.99</v>
      </c>
      <c r="AO10" s="316">
        <v>5</v>
      </c>
      <c r="AP10" s="317">
        <v>5.99</v>
      </c>
      <c r="AQ10" s="313"/>
      <c r="AR10" s="318">
        <v>5.99</v>
      </c>
      <c r="AS10" s="313"/>
      <c r="AT10" s="309">
        <v>2.99</v>
      </c>
    </row>
    <row r="11" spans="1:46" ht="15.75" x14ac:dyDescent="0.25">
      <c r="A11" s="300" t="s">
        <v>203</v>
      </c>
      <c r="B11" s="300"/>
      <c r="C11" s="300"/>
      <c r="D11" s="300"/>
      <c r="E11" s="300"/>
      <c r="F11" s="300"/>
      <c r="G11" s="300" t="s">
        <v>204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1"/>
      <c r="V11" s="301"/>
      <c r="W11" s="301"/>
      <c r="X11" s="301"/>
      <c r="Y11" s="301"/>
      <c r="Z11" s="302"/>
      <c r="AA11" s="2"/>
      <c r="AC11" s="332" t="s">
        <v>226</v>
      </c>
      <c r="AD11" s="1">
        <v>17</v>
      </c>
      <c r="AE11" s="279">
        <v>1719</v>
      </c>
      <c r="AF11" s="73" t="s">
        <v>157</v>
      </c>
      <c r="AG11" s="313"/>
      <c r="AH11" s="313"/>
      <c r="AI11" s="319">
        <v>2</v>
      </c>
      <c r="AJ11" s="313"/>
      <c r="AK11" s="319">
        <v>2</v>
      </c>
      <c r="AL11" s="313"/>
      <c r="AM11" s="313"/>
      <c r="AN11" s="319">
        <v>2.99</v>
      </c>
      <c r="AO11" s="314">
        <v>5</v>
      </c>
      <c r="AP11" s="315">
        <v>5.99</v>
      </c>
      <c r="AQ11" s="314">
        <v>4</v>
      </c>
      <c r="AR11" s="314">
        <v>4.99</v>
      </c>
      <c r="AS11" s="313"/>
      <c r="AT11" s="313"/>
    </row>
    <row r="12" spans="1:46" ht="15.75" x14ac:dyDescent="0.25">
      <c r="A12" s="300" t="s">
        <v>87</v>
      </c>
      <c r="B12" s="300" t="s">
        <v>189</v>
      </c>
      <c r="C12" s="300" t="s">
        <v>89</v>
      </c>
      <c r="D12" s="301" t="s">
        <v>190</v>
      </c>
      <c r="E12" s="300" t="s">
        <v>191</v>
      </c>
      <c r="F12" s="300" t="s">
        <v>192</v>
      </c>
      <c r="G12" s="300" t="s">
        <v>14</v>
      </c>
      <c r="H12" s="300" t="s">
        <v>193</v>
      </c>
      <c r="I12" s="300" t="s">
        <v>37</v>
      </c>
      <c r="J12" s="300" t="s">
        <v>193</v>
      </c>
      <c r="K12" s="300" t="s">
        <v>194</v>
      </c>
      <c r="L12" s="300" t="s">
        <v>193</v>
      </c>
      <c r="M12" s="300" t="s">
        <v>195</v>
      </c>
      <c r="N12" s="300" t="s">
        <v>193</v>
      </c>
      <c r="O12" s="300" t="s">
        <v>196</v>
      </c>
      <c r="P12" s="300" t="s">
        <v>193</v>
      </c>
      <c r="Q12" s="300" t="s">
        <v>197</v>
      </c>
      <c r="R12" s="300" t="s">
        <v>193</v>
      </c>
      <c r="S12" s="300" t="s">
        <v>198</v>
      </c>
      <c r="T12" s="300" t="s">
        <v>193</v>
      </c>
      <c r="U12" s="301" t="s">
        <v>199</v>
      </c>
      <c r="V12" s="301" t="s">
        <v>91</v>
      </c>
      <c r="W12" s="301" t="s">
        <v>180</v>
      </c>
      <c r="X12" s="301" t="s">
        <v>200</v>
      </c>
      <c r="Y12" s="301" t="s">
        <v>198</v>
      </c>
      <c r="Z12" s="302" t="s">
        <v>201</v>
      </c>
      <c r="AA12" s="1"/>
      <c r="AC12" s="332" t="s">
        <v>227</v>
      </c>
      <c r="AD12" s="1">
        <v>18</v>
      </c>
      <c r="AE12" s="279">
        <v>1715</v>
      </c>
      <c r="AF12" s="73"/>
      <c r="AG12" s="313"/>
      <c r="AH12" s="313"/>
      <c r="AI12" s="313"/>
      <c r="AJ12" s="319">
        <v>2.99</v>
      </c>
      <c r="AK12" s="316">
        <v>2</v>
      </c>
      <c r="AL12" s="316">
        <v>2.99</v>
      </c>
      <c r="AM12" s="319">
        <v>5</v>
      </c>
      <c r="AN12" s="320">
        <v>6.99</v>
      </c>
      <c r="AO12" s="314">
        <v>3</v>
      </c>
      <c r="AP12" s="314">
        <v>3.99</v>
      </c>
      <c r="AQ12" s="313"/>
      <c r="AR12" s="318">
        <v>5.99</v>
      </c>
      <c r="AS12" s="313"/>
      <c r="AT12" s="313"/>
    </row>
    <row r="13" spans="1:46" ht="15.75" x14ac:dyDescent="0.25">
      <c r="A13" s="304" t="s">
        <v>228</v>
      </c>
      <c r="B13" s="1">
        <v>15</v>
      </c>
      <c r="C13" s="279">
        <f ca="1">-18+$A$33-$A$32</f>
        <v>546</v>
      </c>
      <c r="D13" s="73"/>
      <c r="E13" s="288">
        <f ca="1">F13-A33</f>
        <v>-322</v>
      </c>
      <c r="F13" s="280">
        <v>43886</v>
      </c>
      <c r="G13" s="1"/>
      <c r="H13" s="1"/>
      <c r="I13" s="1"/>
      <c r="J13" s="286">
        <v>1.99</v>
      </c>
      <c r="K13" s="290">
        <v>4</v>
      </c>
      <c r="L13" s="291">
        <v>4.99</v>
      </c>
      <c r="M13" s="1"/>
      <c r="N13" s="1"/>
      <c r="O13" s="1"/>
      <c r="P13" s="286">
        <v>2.99</v>
      </c>
      <c r="Q13" s="283">
        <v>3</v>
      </c>
      <c r="R13" s="286">
        <v>4.99</v>
      </c>
      <c r="S13" s="1"/>
      <c r="T13" s="1"/>
      <c r="U13" s="1"/>
      <c r="V13" s="262"/>
      <c r="W13" s="262">
        <f>COUNTA(H13,J13,L13,N13,P13,R13,T13)</f>
        <v>4</v>
      </c>
      <c r="X13" s="262">
        <v>0</v>
      </c>
      <c r="Y13" s="262">
        <v>0</v>
      </c>
      <c r="Z13" s="287" t="s">
        <v>221</v>
      </c>
      <c r="AA13" s="1"/>
      <c r="AC13" s="332" t="s">
        <v>229</v>
      </c>
      <c r="AD13" s="1">
        <v>18</v>
      </c>
      <c r="AE13" s="279">
        <v>1707</v>
      </c>
      <c r="AF13" s="73" t="s">
        <v>154</v>
      </c>
      <c r="AG13" s="313"/>
      <c r="AH13" s="313"/>
      <c r="AI13" s="319">
        <v>1</v>
      </c>
      <c r="AJ13" s="319">
        <v>2.99</v>
      </c>
      <c r="AK13" s="319">
        <v>6</v>
      </c>
      <c r="AL13" s="320">
        <v>7</v>
      </c>
      <c r="AM13" s="314">
        <v>4</v>
      </c>
      <c r="AN13" s="314">
        <v>4.99</v>
      </c>
      <c r="AO13" s="313"/>
      <c r="AP13" s="313"/>
      <c r="AQ13" s="316">
        <v>3</v>
      </c>
      <c r="AR13" s="316">
        <v>3.99</v>
      </c>
      <c r="AS13" s="313"/>
      <c r="AT13" s="319">
        <v>4.99</v>
      </c>
    </row>
    <row r="14" spans="1:46" ht="15.75" x14ac:dyDescent="0.25">
      <c r="A14" s="304" t="s">
        <v>230</v>
      </c>
      <c r="B14" s="1">
        <v>15</v>
      </c>
      <c r="C14" s="279">
        <f ca="1">-39+$A$33-$A$32</f>
        <v>525</v>
      </c>
      <c r="D14" s="73"/>
      <c r="E14" s="288">
        <f ca="1">F14-$A$33</f>
        <v>-301</v>
      </c>
      <c r="F14" s="280">
        <v>43907</v>
      </c>
      <c r="G14" s="281"/>
      <c r="H14" s="281"/>
      <c r="I14" s="283">
        <v>3</v>
      </c>
      <c r="J14" s="281"/>
      <c r="K14" s="283">
        <v>4</v>
      </c>
      <c r="L14" s="281"/>
      <c r="M14" s="281"/>
      <c r="N14" s="286">
        <v>3.99</v>
      </c>
      <c r="O14" s="281"/>
      <c r="P14" s="286">
        <v>4.99</v>
      </c>
      <c r="Q14" s="281"/>
      <c r="R14" s="281"/>
      <c r="S14" s="281"/>
      <c r="T14" s="281"/>
      <c r="U14" s="262" t="s">
        <v>214</v>
      </c>
      <c r="V14" s="262" t="s">
        <v>231</v>
      </c>
      <c r="W14" s="262">
        <f>COUNTA(H14,J14,L14,N14,P14,R14,T14)</f>
        <v>2</v>
      </c>
      <c r="X14" s="262">
        <v>0</v>
      </c>
      <c r="Y14" s="262">
        <v>0</v>
      </c>
      <c r="Z14" s="287" t="s">
        <v>221</v>
      </c>
      <c r="AA14" s="2"/>
      <c r="AC14" s="332" t="s">
        <v>232</v>
      </c>
      <c r="AD14" s="1">
        <v>17</v>
      </c>
      <c r="AE14" s="279">
        <v>1601</v>
      </c>
      <c r="AF14" s="73" t="s">
        <v>161</v>
      </c>
      <c r="AG14" s="313"/>
      <c r="AH14" s="319">
        <v>1.99</v>
      </c>
      <c r="AI14" s="319">
        <v>4</v>
      </c>
      <c r="AJ14" s="318">
        <v>5.99</v>
      </c>
      <c r="AK14" s="316">
        <v>2</v>
      </c>
      <c r="AL14" s="316">
        <v>2.99</v>
      </c>
      <c r="AM14" s="316">
        <v>2</v>
      </c>
      <c r="AN14" s="316">
        <v>2.99</v>
      </c>
      <c r="AO14" s="316">
        <v>6</v>
      </c>
      <c r="AP14" s="321">
        <v>6.99</v>
      </c>
      <c r="AQ14" s="316">
        <v>2</v>
      </c>
      <c r="AR14" s="316">
        <v>2.99</v>
      </c>
      <c r="AS14" s="313"/>
      <c r="AT14" s="320">
        <v>7</v>
      </c>
    </row>
    <row r="15" spans="1:46" ht="15.75" x14ac:dyDescent="0.25">
      <c r="A15" s="546" t="s">
        <v>233</v>
      </c>
      <c r="B15" s="546"/>
      <c r="C15" s="546"/>
      <c r="D15" s="546"/>
      <c r="E15" s="546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3"/>
      <c r="V15" s="263"/>
      <c r="W15" s="263"/>
      <c r="X15" s="263"/>
      <c r="Y15" s="263"/>
      <c r="Z15" s="293"/>
      <c r="AA15" s="266"/>
      <c r="AC15" s="332" t="s">
        <v>234</v>
      </c>
      <c r="AD15" s="1">
        <v>18</v>
      </c>
      <c r="AE15" s="279">
        <v>1658</v>
      </c>
      <c r="AF15" s="73"/>
      <c r="AG15" s="313"/>
      <c r="AH15" s="313"/>
      <c r="AI15" s="314">
        <v>4</v>
      </c>
      <c r="AJ15" s="314">
        <v>4.99</v>
      </c>
      <c r="AK15" s="314">
        <v>2</v>
      </c>
      <c r="AL15" s="314">
        <v>2.99</v>
      </c>
      <c r="AM15" s="314">
        <v>4</v>
      </c>
      <c r="AN15" s="314">
        <v>4.99</v>
      </c>
      <c r="AO15" s="319">
        <v>6</v>
      </c>
      <c r="AP15" s="320">
        <v>6.99</v>
      </c>
      <c r="AQ15" s="314">
        <v>5</v>
      </c>
      <c r="AR15" s="315">
        <v>5.99</v>
      </c>
      <c r="AS15" s="316">
        <v>4</v>
      </c>
      <c r="AT15" s="316">
        <v>4.99</v>
      </c>
    </row>
    <row r="16" spans="1:46" ht="15.75" x14ac:dyDescent="0.25">
      <c r="A16" s="267" t="s">
        <v>203</v>
      </c>
      <c r="B16" s="267"/>
      <c r="C16" s="267"/>
      <c r="D16" s="267"/>
      <c r="E16" s="267"/>
      <c r="F16" s="267"/>
      <c r="G16" s="267" t="s">
        <v>204</v>
      </c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8"/>
      <c r="V16" s="268"/>
      <c r="W16" s="268"/>
      <c r="X16" s="268"/>
      <c r="Y16" s="268"/>
      <c r="Z16" s="293"/>
      <c r="AA16" s="277"/>
      <c r="AC16" s="332" t="s">
        <v>235</v>
      </c>
      <c r="AD16" s="1">
        <v>17</v>
      </c>
      <c r="AE16" s="279">
        <v>1676</v>
      </c>
      <c r="AF16" s="73"/>
      <c r="AG16" s="322"/>
      <c r="AH16" s="319">
        <v>1.99</v>
      </c>
      <c r="AI16" s="319">
        <v>1</v>
      </c>
      <c r="AJ16" s="322"/>
      <c r="AK16" s="316">
        <v>6</v>
      </c>
      <c r="AL16" s="321">
        <v>6.99</v>
      </c>
      <c r="AM16" s="322"/>
      <c r="AN16" s="319">
        <v>1.99</v>
      </c>
      <c r="AO16" s="319">
        <v>5</v>
      </c>
      <c r="AP16" s="320">
        <v>6.99</v>
      </c>
      <c r="AQ16" s="316">
        <v>1</v>
      </c>
      <c r="AR16" s="316">
        <v>1.99</v>
      </c>
      <c r="AS16" s="322"/>
      <c r="AT16" s="319">
        <v>2.99</v>
      </c>
    </row>
    <row r="17" spans="1:46" ht="15.75" x14ac:dyDescent="0.25">
      <c r="A17" s="267" t="s">
        <v>87</v>
      </c>
      <c r="B17" s="267" t="s">
        <v>189</v>
      </c>
      <c r="C17" s="267" t="s">
        <v>89</v>
      </c>
      <c r="D17" s="268" t="s">
        <v>190</v>
      </c>
      <c r="E17" s="267" t="s">
        <v>191</v>
      </c>
      <c r="F17" s="267" t="s">
        <v>192</v>
      </c>
      <c r="G17" s="267" t="s">
        <v>14</v>
      </c>
      <c r="H17" s="267" t="s">
        <v>193</v>
      </c>
      <c r="I17" s="269" t="s">
        <v>37</v>
      </c>
      <c r="J17" s="269" t="s">
        <v>193</v>
      </c>
      <c r="K17" s="267" t="s">
        <v>194</v>
      </c>
      <c r="L17" s="267" t="s">
        <v>193</v>
      </c>
      <c r="M17" s="269" t="s">
        <v>195</v>
      </c>
      <c r="N17" s="269" t="s">
        <v>193</v>
      </c>
      <c r="O17" s="267" t="s">
        <v>196</v>
      </c>
      <c r="P17" s="267" t="s">
        <v>193</v>
      </c>
      <c r="Q17" s="269" t="s">
        <v>197</v>
      </c>
      <c r="R17" s="269" t="s">
        <v>193</v>
      </c>
      <c r="S17" s="267" t="s">
        <v>198</v>
      </c>
      <c r="T17" s="267" t="s">
        <v>193</v>
      </c>
      <c r="U17" s="268" t="s">
        <v>199</v>
      </c>
      <c r="V17" s="268" t="s">
        <v>91</v>
      </c>
      <c r="W17" s="268" t="s">
        <v>180</v>
      </c>
      <c r="X17" s="268" t="s">
        <v>200</v>
      </c>
      <c r="Y17" s="268" t="s">
        <v>198</v>
      </c>
      <c r="Z17" s="293" t="s">
        <v>201</v>
      </c>
      <c r="AA17" s="66"/>
      <c r="AC17" s="332" t="s">
        <v>236</v>
      </c>
      <c r="AD17" s="1">
        <v>18</v>
      </c>
      <c r="AE17" s="279">
        <v>1549</v>
      </c>
      <c r="AF17" s="73" t="s">
        <v>154</v>
      </c>
      <c r="AG17" s="313"/>
      <c r="AH17" s="313"/>
      <c r="AI17" s="314">
        <v>3</v>
      </c>
      <c r="AJ17" s="314">
        <v>3.99</v>
      </c>
      <c r="AK17" s="316">
        <v>3</v>
      </c>
      <c r="AL17" s="316">
        <v>3.99</v>
      </c>
      <c r="AM17" s="314">
        <v>5</v>
      </c>
      <c r="AN17" s="315">
        <v>5.99</v>
      </c>
      <c r="AO17" s="313"/>
      <c r="AP17" s="319">
        <v>2.99</v>
      </c>
      <c r="AQ17" s="316">
        <v>4</v>
      </c>
      <c r="AR17" s="316">
        <v>4.99</v>
      </c>
      <c r="AS17" s="316">
        <v>4</v>
      </c>
      <c r="AT17" s="316">
        <v>4.99</v>
      </c>
    </row>
    <row r="18" spans="1:46" ht="15.75" x14ac:dyDescent="0.25">
      <c r="A18" s="304" t="s">
        <v>237</v>
      </c>
      <c r="B18" s="1">
        <v>15</v>
      </c>
      <c r="C18" s="279">
        <f ca="1">9+$A$33-$A$32-74-34</f>
        <v>465</v>
      </c>
      <c r="D18" s="73"/>
      <c r="E18" s="288">
        <f ca="1">F18-$A$33</f>
        <v>-241</v>
      </c>
      <c r="F18" s="280">
        <v>43967</v>
      </c>
      <c r="G18" s="283">
        <v>3</v>
      </c>
      <c r="H18" s="1"/>
      <c r="I18" s="1"/>
      <c r="J18" s="286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62" t="s">
        <v>214</v>
      </c>
      <c r="V18" s="262"/>
      <c r="W18" s="262">
        <f t="shared" ref="W18:W29" si="0">COUNTA(H18,J18,L18,N18,P18,R18,T18)</f>
        <v>1</v>
      </c>
      <c r="X18" s="262">
        <v>0</v>
      </c>
      <c r="Y18" s="262">
        <v>0</v>
      </c>
      <c r="Z18" s="287" t="s">
        <v>221</v>
      </c>
      <c r="AC18" s="332" t="s">
        <v>238</v>
      </c>
      <c r="AD18" s="1">
        <v>16</v>
      </c>
      <c r="AE18" s="279">
        <v>1633</v>
      </c>
      <c r="AF18" s="73" t="s">
        <v>146</v>
      </c>
      <c r="AG18" s="86"/>
      <c r="AH18" s="86"/>
      <c r="AI18" s="316">
        <v>2</v>
      </c>
      <c r="AJ18" s="316">
        <v>2.99</v>
      </c>
      <c r="AK18" s="314">
        <v>5</v>
      </c>
      <c r="AL18" s="315">
        <v>5.99</v>
      </c>
      <c r="AM18" s="316">
        <v>2</v>
      </c>
      <c r="AN18" s="316">
        <v>2.99</v>
      </c>
      <c r="AO18" s="314">
        <v>4</v>
      </c>
      <c r="AP18" s="314">
        <v>4.99</v>
      </c>
      <c r="AQ18" s="86"/>
      <c r="AR18" s="319">
        <v>4.99</v>
      </c>
      <c r="AS18" s="86"/>
      <c r="AT18" s="319">
        <v>1.99</v>
      </c>
    </row>
    <row r="19" spans="1:46" ht="15.75" x14ac:dyDescent="0.25">
      <c r="A19" s="304" t="s">
        <v>239</v>
      </c>
      <c r="B19" s="1">
        <v>16</v>
      </c>
      <c r="C19" s="279">
        <f ca="1">-2+$A$33-$A$32-112</f>
        <v>450</v>
      </c>
      <c r="D19" s="73"/>
      <c r="E19" s="288">
        <f ca="1">F19-$A$33</f>
        <v>-338</v>
      </c>
      <c r="F19" s="280">
        <v>43870</v>
      </c>
      <c r="G19" s="1"/>
      <c r="H19" s="285">
        <v>6.99</v>
      </c>
      <c r="I19" s="1"/>
      <c r="J19" s="286">
        <v>1.99</v>
      </c>
      <c r="K19" s="1"/>
      <c r="L19" s="1"/>
      <c r="M19" s="1"/>
      <c r="N19" s="1"/>
      <c r="O19" s="1"/>
      <c r="P19" s="1"/>
      <c r="Q19" s="283">
        <v>0</v>
      </c>
      <c r="R19" s="286">
        <v>1.99</v>
      </c>
      <c r="S19" s="1"/>
      <c r="T19" s="1"/>
      <c r="U19" s="292" t="s">
        <v>240</v>
      </c>
      <c r="V19" s="262"/>
      <c r="W19" s="262">
        <f t="shared" si="0"/>
        <v>3</v>
      </c>
      <c r="X19" s="262">
        <v>0</v>
      </c>
      <c r="Y19" s="262">
        <v>0</v>
      </c>
      <c r="Z19" s="287" t="s">
        <v>221</v>
      </c>
      <c r="AA19" s="1"/>
      <c r="AC19" s="332" t="s">
        <v>241</v>
      </c>
      <c r="AD19" s="1">
        <v>16</v>
      </c>
      <c r="AE19" s="279">
        <v>1626</v>
      </c>
      <c r="AF19" s="73"/>
      <c r="AG19" s="322"/>
      <c r="AH19" s="322"/>
      <c r="AI19" s="316">
        <v>4</v>
      </c>
      <c r="AJ19" s="316">
        <v>4.99</v>
      </c>
      <c r="AK19" s="316">
        <v>5</v>
      </c>
      <c r="AL19" s="317">
        <v>5.99</v>
      </c>
      <c r="AM19" s="316">
        <v>4</v>
      </c>
      <c r="AN19" s="316">
        <v>4.99</v>
      </c>
      <c r="AO19" s="322"/>
      <c r="AP19" s="322"/>
      <c r="AQ19" s="314">
        <v>2</v>
      </c>
      <c r="AR19" s="314">
        <v>2.99</v>
      </c>
      <c r="AS19" s="316">
        <v>1</v>
      </c>
      <c r="AT19" s="316">
        <v>1.99</v>
      </c>
    </row>
    <row r="20" spans="1:46" ht="15.75" x14ac:dyDescent="0.25">
      <c r="A20" s="304" t="s">
        <v>242</v>
      </c>
      <c r="B20" s="1">
        <v>16</v>
      </c>
      <c r="C20" s="279">
        <f ca="1">9+$A$33-$A$32-74</f>
        <v>499</v>
      </c>
      <c r="D20" s="73"/>
      <c r="E20" s="288">
        <f ca="1">F20-$A$33</f>
        <v>-386</v>
      </c>
      <c r="F20" s="280">
        <v>43822</v>
      </c>
      <c r="G20" s="1"/>
      <c r="H20" s="1"/>
      <c r="I20" s="283">
        <v>3</v>
      </c>
      <c r="J20" s="286">
        <v>4.99</v>
      </c>
      <c r="K20" s="283">
        <v>3</v>
      </c>
      <c r="L20" s="286">
        <v>4.99</v>
      </c>
      <c r="M20" s="283">
        <v>3</v>
      </c>
      <c r="N20" s="286">
        <v>3.99</v>
      </c>
      <c r="O20" s="282">
        <v>2</v>
      </c>
      <c r="P20" s="289">
        <v>2.99</v>
      </c>
      <c r="Q20" s="1"/>
      <c r="R20" s="286">
        <v>4.99</v>
      </c>
      <c r="S20" s="1"/>
      <c r="T20" s="1"/>
      <c r="U20" s="262" t="s">
        <v>214</v>
      </c>
      <c r="V20" s="262"/>
      <c r="W20" s="262">
        <f t="shared" si="0"/>
        <v>5</v>
      </c>
      <c r="X20" s="262">
        <v>0</v>
      </c>
      <c r="Y20" s="262">
        <v>0</v>
      </c>
      <c r="Z20" s="287" t="s">
        <v>215</v>
      </c>
      <c r="AA20" s="2"/>
      <c r="AC20" s="332" t="s">
        <v>243</v>
      </c>
      <c r="AD20" s="1">
        <v>17</v>
      </c>
      <c r="AE20" s="279">
        <v>1561</v>
      </c>
      <c r="AF20" s="73" t="s">
        <v>154</v>
      </c>
      <c r="AG20" s="313"/>
      <c r="AH20" s="313"/>
      <c r="AI20" s="316">
        <v>4</v>
      </c>
      <c r="AJ20" s="316">
        <v>4.99</v>
      </c>
      <c r="AK20" s="314">
        <v>5</v>
      </c>
      <c r="AL20" s="315">
        <v>5.99</v>
      </c>
      <c r="AM20" s="316">
        <v>4</v>
      </c>
      <c r="AN20" s="316">
        <v>4.99</v>
      </c>
      <c r="AO20" s="313"/>
      <c r="AP20" s="313"/>
      <c r="AQ20" s="313"/>
      <c r="AR20" s="319">
        <v>2.99</v>
      </c>
      <c r="AS20" s="316">
        <v>3</v>
      </c>
      <c r="AT20" s="316">
        <v>3.99</v>
      </c>
    </row>
    <row r="21" spans="1:46" ht="15.75" x14ac:dyDescent="0.25">
      <c r="A21" s="303" t="s">
        <v>244</v>
      </c>
      <c r="B21" s="1">
        <v>17</v>
      </c>
      <c r="C21" s="279">
        <f ca="1">2+$A$33-$A$32-112</f>
        <v>454</v>
      </c>
      <c r="D21" s="73"/>
      <c r="E21" s="288">
        <f ca="1">F21-$A$33</f>
        <v>-428</v>
      </c>
      <c r="F21" s="280">
        <v>43780</v>
      </c>
      <c r="G21" s="1"/>
      <c r="H21" s="286">
        <v>1.99</v>
      </c>
      <c r="I21" s="283">
        <v>3</v>
      </c>
      <c r="J21" s="284">
        <v>5.99</v>
      </c>
      <c r="K21" s="290">
        <v>4</v>
      </c>
      <c r="L21" s="291">
        <v>4.99</v>
      </c>
      <c r="M21" s="282">
        <v>2</v>
      </c>
      <c r="N21" s="289">
        <v>2.99</v>
      </c>
      <c r="O21" s="1"/>
      <c r="P21" s="285">
        <v>6.99</v>
      </c>
      <c r="Q21" s="283">
        <v>4</v>
      </c>
      <c r="R21" s="284">
        <v>5.99</v>
      </c>
      <c r="S21" s="1"/>
      <c r="T21" s="1"/>
      <c r="U21" s="292" t="s">
        <v>245</v>
      </c>
      <c r="V21" s="262"/>
      <c r="W21" s="262">
        <f t="shared" si="0"/>
        <v>6</v>
      </c>
      <c r="X21" s="262">
        <v>0</v>
      </c>
      <c r="Y21" s="262">
        <v>0</v>
      </c>
      <c r="Z21" s="287" t="s">
        <v>215</v>
      </c>
      <c r="AA21" s="2"/>
      <c r="AC21" s="332" t="s">
        <v>246</v>
      </c>
      <c r="AD21" s="1">
        <v>17</v>
      </c>
      <c r="AE21" s="279">
        <v>1515</v>
      </c>
      <c r="AF21" s="73"/>
      <c r="AG21" s="322"/>
      <c r="AH21" s="322"/>
      <c r="AI21" s="314">
        <v>3</v>
      </c>
      <c r="AJ21" s="314">
        <v>3.99</v>
      </c>
      <c r="AK21" s="316">
        <v>4</v>
      </c>
      <c r="AL21" s="316">
        <v>4.99</v>
      </c>
      <c r="AM21" s="316">
        <v>5</v>
      </c>
      <c r="AN21" s="317">
        <v>5.99</v>
      </c>
      <c r="AO21" s="322"/>
      <c r="AP21" s="322"/>
      <c r="AQ21" s="316">
        <v>3</v>
      </c>
      <c r="AR21" s="316">
        <v>3.99</v>
      </c>
      <c r="AS21" s="322"/>
      <c r="AT21" s="322"/>
    </row>
    <row r="22" spans="1:46" ht="15.75" x14ac:dyDescent="0.25">
      <c r="A22" s="303" t="s">
        <v>247</v>
      </c>
      <c r="B22" s="1">
        <v>18</v>
      </c>
      <c r="C22" s="279">
        <f ca="1">103+$A$33-$A$32-112</f>
        <v>555</v>
      </c>
      <c r="D22" s="73"/>
      <c r="E22" s="288">
        <v>0</v>
      </c>
      <c r="F22" s="280">
        <f t="shared" ref="F22:F29" ca="1" si="1">TODAY()</f>
        <v>44208</v>
      </c>
      <c r="G22" s="290">
        <v>1</v>
      </c>
      <c r="H22" s="291">
        <v>1.99</v>
      </c>
      <c r="I22" s="282">
        <v>4</v>
      </c>
      <c r="J22" s="289">
        <v>4.99</v>
      </c>
      <c r="K22" s="282">
        <v>3</v>
      </c>
      <c r="L22" s="289">
        <v>3.99</v>
      </c>
      <c r="M22" s="282">
        <v>1</v>
      </c>
      <c r="N22" s="289">
        <v>1.99</v>
      </c>
      <c r="O22" s="1"/>
      <c r="P22" s="284">
        <v>5.99</v>
      </c>
      <c r="Q22" s="283">
        <v>4</v>
      </c>
      <c r="R22" s="284">
        <v>5.99</v>
      </c>
      <c r="S22" s="1"/>
      <c r="T22" s="284">
        <v>5.99</v>
      </c>
      <c r="U22" s="292" t="s">
        <v>248</v>
      </c>
      <c r="V22" s="262"/>
      <c r="W22" s="262">
        <f t="shared" si="0"/>
        <v>7</v>
      </c>
      <c r="X22" s="262">
        <v>3</v>
      </c>
      <c r="Y22" s="262">
        <v>6</v>
      </c>
      <c r="Z22" s="287" t="s">
        <v>215</v>
      </c>
      <c r="AA22" s="2"/>
      <c r="AC22" s="332" t="s">
        <v>249</v>
      </c>
      <c r="AD22" s="1">
        <v>19</v>
      </c>
      <c r="AE22" s="279">
        <v>1502</v>
      </c>
      <c r="AF22" s="73"/>
      <c r="AG22" s="322"/>
      <c r="AH22" s="319">
        <v>1.99</v>
      </c>
      <c r="AI22" s="322"/>
      <c r="AJ22" s="319">
        <v>2.99</v>
      </c>
      <c r="AK22" s="319">
        <v>3</v>
      </c>
      <c r="AL22" s="322"/>
      <c r="AM22" s="322"/>
      <c r="AN22" s="322"/>
      <c r="AO22" s="314">
        <v>5</v>
      </c>
      <c r="AP22" s="315">
        <v>5.99</v>
      </c>
      <c r="AQ22" s="322"/>
      <c r="AR22" s="319">
        <v>2.99</v>
      </c>
      <c r="AS22" s="322"/>
      <c r="AT22" s="322"/>
    </row>
    <row r="23" spans="1:46" ht="15.75" x14ac:dyDescent="0.25">
      <c r="A23" s="303" t="s">
        <v>250</v>
      </c>
      <c r="B23" s="1">
        <v>18</v>
      </c>
      <c r="C23" s="279">
        <f ca="1">92+$A$33-$A$32-112</f>
        <v>544</v>
      </c>
      <c r="D23" s="73"/>
      <c r="E23" s="288">
        <v>0</v>
      </c>
      <c r="F23" s="280">
        <f t="shared" ca="1" si="1"/>
        <v>44208</v>
      </c>
      <c r="G23" s="1"/>
      <c r="H23" s="286">
        <v>1.99</v>
      </c>
      <c r="I23" s="282">
        <v>4</v>
      </c>
      <c r="J23" s="289">
        <v>4.99</v>
      </c>
      <c r="K23" s="282">
        <v>3</v>
      </c>
      <c r="L23" s="289">
        <v>3.99</v>
      </c>
      <c r="M23" s="1"/>
      <c r="N23" s="286">
        <v>2.99</v>
      </c>
      <c r="O23" s="1"/>
      <c r="P23" s="284">
        <v>5.99</v>
      </c>
      <c r="Q23" s="290">
        <v>3</v>
      </c>
      <c r="R23" s="291">
        <v>3.99</v>
      </c>
      <c r="S23" s="1"/>
      <c r="T23" s="286">
        <v>4.99</v>
      </c>
      <c r="U23" s="292" t="s">
        <v>251</v>
      </c>
      <c r="V23" s="262"/>
      <c r="W23" s="262">
        <f t="shared" si="0"/>
        <v>7</v>
      </c>
      <c r="X23" s="262">
        <v>0</v>
      </c>
      <c r="Y23" s="262">
        <v>0</v>
      </c>
      <c r="Z23" s="287" t="s">
        <v>215</v>
      </c>
      <c r="AA23" s="2"/>
      <c r="AC23" s="332" t="s">
        <v>252</v>
      </c>
      <c r="AD23" s="1">
        <v>18</v>
      </c>
      <c r="AE23" s="279">
        <v>1561</v>
      </c>
      <c r="AF23" s="73"/>
      <c r="AG23" s="313"/>
      <c r="AH23" s="313"/>
      <c r="AI23" s="319">
        <v>1</v>
      </c>
      <c r="AJ23" s="319">
        <v>2.99</v>
      </c>
      <c r="AK23" s="314">
        <v>3</v>
      </c>
      <c r="AL23" s="314">
        <v>3.99</v>
      </c>
      <c r="AM23" s="313"/>
      <c r="AN23" s="318">
        <v>5.99</v>
      </c>
      <c r="AO23" s="319">
        <v>3</v>
      </c>
      <c r="AP23" s="319">
        <v>4.99</v>
      </c>
      <c r="AQ23" s="316">
        <v>1</v>
      </c>
      <c r="AR23" s="316">
        <v>1.99</v>
      </c>
      <c r="AS23" s="313"/>
      <c r="AT23" s="313"/>
    </row>
    <row r="24" spans="1:46" ht="15.75" x14ac:dyDescent="0.25">
      <c r="A24" s="303" t="s">
        <v>253</v>
      </c>
      <c r="B24" s="1">
        <v>18</v>
      </c>
      <c r="C24" s="279">
        <f ca="1">75+$A$33-$A$32-112</f>
        <v>527</v>
      </c>
      <c r="D24" s="2"/>
      <c r="E24" s="288">
        <v>0</v>
      </c>
      <c r="F24" s="280">
        <f t="shared" ca="1" si="1"/>
        <v>44208</v>
      </c>
      <c r="G24" s="2"/>
      <c r="H24" s="286">
        <v>1.99</v>
      </c>
      <c r="I24" s="282">
        <v>3</v>
      </c>
      <c r="J24" s="289">
        <v>3.99</v>
      </c>
      <c r="K24" s="282">
        <v>3</v>
      </c>
      <c r="L24" s="289">
        <v>3.99</v>
      </c>
      <c r="M24" s="283">
        <v>4</v>
      </c>
      <c r="N24" s="284">
        <v>5.99</v>
      </c>
      <c r="O24" s="282">
        <v>4</v>
      </c>
      <c r="P24" s="289">
        <v>4.99</v>
      </c>
      <c r="Q24" s="2"/>
      <c r="R24" s="286">
        <v>3.99</v>
      </c>
      <c r="S24" s="282">
        <v>1</v>
      </c>
      <c r="T24" s="289">
        <v>1.99</v>
      </c>
      <c r="U24" s="262" t="s">
        <v>214</v>
      </c>
      <c r="V24" s="2"/>
      <c r="W24" s="262">
        <f t="shared" si="0"/>
        <v>7</v>
      </c>
      <c r="X24" s="262">
        <v>0</v>
      </c>
      <c r="Y24" s="262">
        <v>0</v>
      </c>
      <c r="Z24" s="287" t="s">
        <v>215</v>
      </c>
      <c r="AA24" s="1"/>
      <c r="AC24" s="332" t="s">
        <v>254</v>
      </c>
      <c r="AD24" s="1">
        <v>18</v>
      </c>
      <c r="AE24" s="279">
        <v>1540</v>
      </c>
      <c r="AF24" s="73" t="s">
        <v>161</v>
      </c>
      <c r="AG24" s="322"/>
      <c r="AH24" s="322"/>
      <c r="AI24" s="322"/>
      <c r="AJ24" s="319">
        <v>4.99</v>
      </c>
      <c r="AK24" s="316">
        <v>5.5</v>
      </c>
      <c r="AL24" s="317">
        <v>5.99</v>
      </c>
      <c r="AM24" s="316">
        <v>1</v>
      </c>
      <c r="AN24" s="316">
        <v>1.99</v>
      </c>
      <c r="AO24" s="316">
        <v>2</v>
      </c>
      <c r="AP24" s="316">
        <v>2.99</v>
      </c>
      <c r="AQ24" s="316">
        <v>3</v>
      </c>
      <c r="AR24" s="316">
        <v>3.99</v>
      </c>
      <c r="AS24" s="322"/>
      <c r="AT24" s="322"/>
    </row>
    <row r="25" spans="1:46" ht="15.75" x14ac:dyDescent="0.25">
      <c r="A25" s="303" t="s">
        <v>255</v>
      </c>
      <c r="B25" s="1">
        <v>18</v>
      </c>
      <c r="C25" s="279">
        <f ca="1">75+$A$33-$A$32-112</f>
        <v>527</v>
      </c>
      <c r="D25" s="73" t="s">
        <v>154</v>
      </c>
      <c r="E25" s="288">
        <v>0</v>
      </c>
      <c r="F25" s="280">
        <f t="shared" ca="1" si="1"/>
        <v>44208</v>
      </c>
      <c r="G25" s="1"/>
      <c r="H25" s="1"/>
      <c r="I25" s="282">
        <v>2</v>
      </c>
      <c r="J25" s="289">
        <v>2.99</v>
      </c>
      <c r="K25" s="282">
        <v>2</v>
      </c>
      <c r="L25" s="289">
        <v>2.99</v>
      </c>
      <c r="M25" s="283">
        <v>5</v>
      </c>
      <c r="N25" s="285">
        <v>6.99</v>
      </c>
      <c r="O25" s="1"/>
      <c r="P25" s="284">
        <v>5.99</v>
      </c>
      <c r="Q25" s="283">
        <v>2</v>
      </c>
      <c r="R25" s="286">
        <v>3.99</v>
      </c>
      <c r="S25" s="1"/>
      <c r="T25" s="286">
        <v>3.99</v>
      </c>
      <c r="U25" s="262" t="s">
        <v>214</v>
      </c>
      <c r="V25" s="262"/>
      <c r="W25" s="262">
        <f t="shared" si="0"/>
        <v>6</v>
      </c>
      <c r="X25" s="262">
        <v>0</v>
      </c>
      <c r="Y25" s="262">
        <v>0</v>
      </c>
      <c r="Z25" s="287" t="s">
        <v>221</v>
      </c>
      <c r="AA25" s="2"/>
      <c r="AC25" s="332" t="s">
        <v>256</v>
      </c>
      <c r="AD25" s="1">
        <v>18</v>
      </c>
      <c r="AE25" s="279">
        <v>1501</v>
      </c>
      <c r="AF25" s="73" t="s">
        <v>180</v>
      </c>
      <c r="AG25" s="322"/>
      <c r="AH25" s="319">
        <v>1.99</v>
      </c>
      <c r="AI25" s="322"/>
      <c r="AJ25" s="319">
        <v>1.99</v>
      </c>
      <c r="AK25" s="314">
        <v>5</v>
      </c>
      <c r="AL25" s="315">
        <v>5.99</v>
      </c>
      <c r="AM25" s="322"/>
      <c r="AN25" s="319">
        <v>3.99</v>
      </c>
      <c r="AO25" s="316">
        <v>3</v>
      </c>
      <c r="AP25" s="316">
        <v>3.99</v>
      </c>
      <c r="AQ25" s="314">
        <v>2</v>
      </c>
      <c r="AR25" s="314">
        <v>2.99</v>
      </c>
      <c r="AS25" s="322"/>
      <c r="AT25" s="322"/>
    </row>
    <row r="26" spans="1:46" ht="15.75" x14ac:dyDescent="0.25">
      <c r="A26" s="303" t="s">
        <v>257</v>
      </c>
      <c r="B26" s="1">
        <v>18</v>
      </c>
      <c r="C26" s="279">
        <f ca="1">48+$A$33-$A$32-112</f>
        <v>500</v>
      </c>
      <c r="D26" s="73" t="s">
        <v>180</v>
      </c>
      <c r="E26" s="288">
        <v>0</v>
      </c>
      <c r="F26" s="280">
        <f t="shared" ca="1" si="1"/>
        <v>44208</v>
      </c>
      <c r="G26" s="281"/>
      <c r="H26" s="286">
        <v>1.99</v>
      </c>
      <c r="I26" s="282">
        <v>4</v>
      </c>
      <c r="J26" s="289">
        <v>4.99</v>
      </c>
      <c r="K26" s="282">
        <v>3</v>
      </c>
      <c r="L26" s="289">
        <v>3.99</v>
      </c>
      <c r="M26" s="282">
        <v>2</v>
      </c>
      <c r="N26" s="289">
        <v>2.99</v>
      </c>
      <c r="O26" s="282">
        <v>2</v>
      </c>
      <c r="P26" s="289">
        <v>2.99</v>
      </c>
      <c r="Q26" s="283">
        <v>4</v>
      </c>
      <c r="R26" s="285">
        <v>6.99</v>
      </c>
      <c r="S26" s="281"/>
      <c r="T26" s="286">
        <v>2.99</v>
      </c>
      <c r="U26" s="262" t="s">
        <v>214</v>
      </c>
      <c r="V26" s="262" t="s">
        <v>231</v>
      </c>
      <c r="W26" s="262">
        <f t="shared" si="0"/>
        <v>7</v>
      </c>
      <c r="X26" s="262">
        <v>0</v>
      </c>
      <c r="Y26" s="262">
        <v>0</v>
      </c>
      <c r="Z26" s="287" t="s">
        <v>215</v>
      </c>
      <c r="AA26" s="1"/>
      <c r="AC26" s="332" t="s">
        <v>258</v>
      </c>
      <c r="AD26" s="1">
        <v>16</v>
      </c>
      <c r="AE26" s="279">
        <v>1510</v>
      </c>
      <c r="AF26" s="73"/>
      <c r="AG26" s="313"/>
      <c r="AH26" s="319">
        <v>1.99</v>
      </c>
      <c r="AI26" s="316">
        <v>3</v>
      </c>
      <c r="AJ26" s="317">
        <v>3.99</v>
      </c>
      <c r="AK26" s="316">
        <v>5.4</v>
      </c>
      <c r="AL26" s="317">
        <v>5.99</v>
      </c>
      <c r="AM26" s="316">
        <v>2</v>
      </c>
      <c r="AN26" s="316">
        <v>2.99</v>
      </c>
      <c r="AO26" s="313"/>
      <c r="AP26" s="313"/>
      <c r="AQ26" s="316">
        <v>4</v>
      </c>
      <c r="AR26" s="316">
        <v>4.99</v>
      </c>
      <c r="AS26" s="322"/>
      <c r="AT26" s="319">
        <v>3.99</v>
      </c>
    </row>
    <row r="27" spans="1:46" ht="15.75" x14ac:dyDescent="0.25">
      <c r="A27" s="303" t="s">
        <v>259</v>
      </c>
      <c r="B27" s="1">
        <v>17</v>
      </c>
      <c r="C27" s="279">
        <f ca="1">76+$A$33-$A$32-112</f>
        <v>528</v>
      </c>
      <c r="D27" s="73" t="s">
        <v>180</v>
      </c>
      <c r="E27" s="288">
        <v>0</v>
      </c>
      <c r="F27" s="280">
        <f t="shared" ca="1" si="1"/>
        <v>44208</v>
      </c>
      <c r="G27" s="281"/>
      <c r="H27" s="286">
        <v>0.99</v>
      </c>
      <c r="I27" s="282">
        <v>3</v>
      </c>
      <c r="J27" s="289">
        <v>3.99</v>
      </c>
      <c r="K27" s="282">
        <v>4</v>
      </c>
      <c r="L27" s="289">
        <v>4.99</v>
      </c>
      <c r="M27" s="281"/>
      <c r="N27" s="286">
        <v>3.99</v>
      </c>
      <c r="O27" s="281"/>
      <c r="P27" s="285">
        <v>6.99</v>
      </c>
      <c r="Q27" s="281"/>
      <c r="R27" s="286">
        <v>4.99</v>
      </c>
      <c r="S27" s="281"/>
      <c r="T27" s="281"/>
      <c r="U27" s="292" t="s">
        <v>260</v>
      </c>
      <c r="V27" s="262" t="s">
        <v>231</v>
      </c>
      <c r="W27" s="262">
        <f t="shared" si="0"/>
        <v>6</v>
      </c>
      <c r="X27" s="262">
        <v>0</v>
      </c>
      <c r="Y27" s="262">
        <v>0</v>
      </c>
      <c r="Z27" s="287" t="s">
        <v>221</v>
      </c>
      <c r="AA27" s="2"/>
      <c r="AC27" s="332" t="s">
        <v>261</v>
      </c>
      <c r="AD27" s="1">
        <v>17</v>
      </c>
      <c r="AE27" s="279">
        <v>1456</v>
      </c>
      <c r="AF27" s="73"/>
      <c r="AG27" s="86"/>
      <c r="AH27" s="86"/>
      <c r="AI27" s="86"/>
      <c r="AJ27" s="319">
        <v>3.99</v>
      </c>
      <c r="AK27" s="316">
        <v>2</v>
      </c>
      <c r="AL27" s="316">
        <v>2.99</v>
      </c>
      <c r="AM27" s="316">
        <v>4</v>
      </c>
      <c r="AN27" s="316">
        <v>4.99</v>
      </c>
      <c r="AO27" s="316">
        <v>5</v>
      </c>
      <c r="AP27" s="317">
        <v>5.99</v>
      </c>
      <c r="AQ27" s="316">
        <v>6</v>
      </c>
      <c r="AR27" s="321">
        <v>6.99</v>
      </c>
      <c r="AS27" s="86"/>
      <c r="AT27" s="86"/>
    </row>
    <row r="28" spans="1:46" ht="15.75" x14ac:dyDescent="0.25">
      <c r="A28" s="303" t="s">
        <v>262</v>
      </c>
      <c r="B28" s="1">
        <v>18</v>
      </c>
      <c r="C28" s="279">
        <f ca="1">27+$A$33-$A$32-112</f>
        <v>479</v>
      </c>
      <c r="D28" s="73"/>
      <c r="E28" s="288">
        <v>0</v>
      </c>
      <c r="F28" s="280">
        <f t="shared" ca="1" si="1"/>
        <v>44208</v>
      </c>
      <c r="G28" s="281"/>
      <c r="H28" s="281"/>
      <c r="I28" s="281"/>
      <c r="J28" s="281"/>
      <c r="K28" s="283">
        <v>3</v>
      </c>
      <c r="L28" s="281"/>
      <c r="M28" s="281"/>
      <c r="N28" s="281"/>
      <c r="O28" s="281"/>
      <c r="P28" s="285">
        <v>7</v>
      </c>
      <c r="Q28" s="281"/>
      <c r="R28" s="286">
        <v>1.99</v>
      </c>
      <c r="S28" s="281"/>
      <c r="T28" s="284">
        <v>5.99</v>
      </c>
      <c r="U28" s="262" t="s">
        <v>214</v>
      </c>
      <c r="V28" s="262" t="s">
        <v>231</v>
      </c>
      <c r="W28" s="262">
        <f t="shared" si="0"/>
        <v>3</v>
      </c>
      <c r="X28" s="262">
        <v>0</v>
      </c>
      <c r="Y28" s="262">
        <v>0</v>
      </c>
      <c r="Z28" s="287" t="s">
        <v>215</v>
      </c>
      <c r="AA28" s="2"/>
      <c r="AC28" s="332" t="s">
        <v>263</v>
      </c>
      <c r="AD28" s="1">
        <v>17</v>
      </c>
      <c r="AE28" s="279">
        <v>1439</v>
      </c>
      <c r="AF28" s="73" t="s">
        <v>157</v>
      </c>
      <c r="AG28" s="322"/>
      <c r="AH28" s="322"/>
      <c r="AI28" s="316">
        <v>2</v>
      </c>
      <c r="AJ28" s="316">
        <v>2.99</v>
      </c>
      <c r="AK28" s="314">
        <v>4</v>
      </c>
      <c r="AL28" s="314">
        <v>4.99</v>
      </c>
      <c r="AM28" s="322"/>
      <c r="AN28" s="319">
        <v>3.99</v>
      </c>
      <c r="AO28" s="322"/>
      <c r="AP28" s="319">
        <v>3.99</v>
      </c>
      <c r="AQ28" s="316">
        <v>4</v>
      </c>
      <c r="AR28" s="316">
        <v>4.99</v>
      </c>
      <c r="AS28" s="322"/>
      <c r="AT28" s="322"/>
    </row>
    <row r="29" spans="1:46" ht="15.75" x14ac:dyDescent="0.25">
      <c r="A29" s="303" t="s">
        <v>264</v>
      </c>
      <c r="B29" s="1">
        <v>17</v>
      </c>
      <c r="C29" s="279">
        <f ca="1">68+$A$33-$A$32-112</f>
        <v>520</v>
      </c>
      <c r="D29" s="73"/>
      <c r="E29" s="288">
        <v>0</v>
      </c>
      <c r="F29" s="280">
        <f t="shared" ca="1" si="1"/>
        <v>44208</v>
      </c>
      <c r="G29" s="1"/>
      <c r="H29" s="285">
        <v>6.99</v>
      </c>
      <c r="I29" s="282">
        <v>2</v>
      </c>
      <c r="J29" s="289">
        <v>2.99</v>
      </c>
      <c r="K29" s="282">
        <v>1</v>
      </c>
      <c r="L29" s="289">
        <v>1.99</v>
      </c>
      <c r="M29" s="282">
        <v>0</v>
      </c>
      <c r="N29" s="289">
        <v>0.99</v>
      </c>
      <c r="O29" s="1"/>
      <c r="P29" s="286">
        <v>0.99</v>
      </c>
      <c r="Q29" s="1"/>
      <c r="R29" s="286">
        <v>1.99</v>
      </c>
      <c r="S29" s="1"/>
      <c r="T29" s="286">
        <v>1.99</v>
      </c>
      <c r="U29" s="292" t="s">
        <v>240</v>
      </c>
      <c r="V29" s="262"/>
      <c r="W29" s="262">
        <f t="shared" si="0"/>
        <v>7</v>
      </c>
      <c r="X29" s="262">
        <v>0</v>
      </c>
      <c r="Y29" s="262">
        <v>0</v>
      </c>
      <c r="Z29" s="287" t="s">
        <v>215</v>
      </c>
      <c r="AA29" s="1"/>
      <c r="AC29" s="332" t="s">
        <v>184</v>
      </c>
      <c r="AD29" s="1">
        <v>17</v>
      </c>
      <c r="AE29" s="279">
        <v>1340</v>
      </c>
      <c r="AF29" s="73" t="s">
        <v>157</v>
      </c>
      <c r="AG29" s="322"/>
      <c r="AH29" s="322"/>
      <c r="AI29" s="314">
        <v>2</v>
      </c>
      <c r="AJ29" s="314">
        <v>2.99</v>
      </c>
      <c r="AK29" s="316">
        <v>6.1</v>
      </c>
      <c r="AL29" s="321">
        <v>6.2</v>
      </c>
      <c r="AM29" s="316">
        <v>4</v>
      </c>
      <c r="AN29" s="316">
        <v>4.99</v>
      </c>
      <c r="AO29" s="316">
        <v>4</v>
      </c>
      <c r="AP29" s="316">
        <v>4.99</v>
      </c>
      <c r="AQ29" s="317">
        <v>5</v>
      </c>
      <c r="AR29" s="317">
        <v>5.99</v>
      </c>
      <c r="AS29" s="322"/>
      <c r="AT29" s="322"/>
    </row>
    <row r="30" spans="1:46" ht="15.75" x14ac:dyDescent="0.25">
      <c r="A30" s="1"/>
      <c r="B30" s="1"/>
      <c r="C30" s="279"/>
      <c r="D30" s="26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62"/>
      <c r="V30" s="262"/>
      <c r="W30" s="262"/>
      <c r="X30" s="262"/>
      <c r="Y30" s="262"/>
      <c r="Z30" s="287"/>
      <c r="AA30" s="2"/>
      <c r="AC30" s="332" t="s">
        <v>265</v>
      </c>
      <c r="AD30" s="1">
        <v>19</v>
      </c>
      <c r="AE30" s="279">
        <v>1416</v>
      </c>
      <c r="AF30" s="73" t="s">
        <v>180</v>
      </c>
      <c r="AG30" s="86"/>
      <c r="AH30" s="319">
        <v>1.99</v>
      </c>
      <c r="AI30" s="319">
        <v>5</v>
      </c>
      <c r="AJ30" s="320">
        <v>6.99</v>
      </c>
      <c r="AK30" s="316">
        <v>1</v>
      </c>
      <c r="AL30" s="316">
        <v>1.99</v>
      </c>
      <c r="AM30" s="316">
        <v>3</v>
      </c>
      <c r="AN30" s="316">
        <v>3.99</v>
      </c>
      <c r="AO30" s="86"/>
      <c r="AP30" s="319">
        <v>3.99</v>
      </c>
      <c r="AQ30" s="316">
        <v>2</v>
      </c>
      <c r="AR30" s="316">
        <v>2.99</v>
      </c>
      <c r="AS30" s="86"/>
      <c r="AT30" s="319">
        <v>2.99</v>
      </c>
    </row>
    <row r="31" spans="1:46" ht="15.75" x14ac:dyDescent="0.25">
      <c r="A31" s="66" t="s">
        <v>266</v>
      </c>
      <c r="B31" s="2"/>
      <c r="C31" s="2"/>
      <c r="D31" s="1"/>
      <c r="E31" s="27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32" t="s">
        <v>267</v>
      </c>
      <c r="AD31" s="1">
        <v>19</v>
      </c>
      <c r="AE31" s="279">
        <v>1289</v>
      </c>
      <c r="AF31" s="73"/>
      <c r="AG31" s="86"/>
      <c r="AH31" s="86"/>
      <c r="AI31" s="86"/>
      <c r="AJ31" s="318">
        <v>5.99</v>
      </c>
      <c r="AK31" s="314">
        <v>4</v>
      </c>
      <c r="AL31" s="314">
        <v>4.99</v>
      </c>
      <c r="AM31" s="86"/>
      <c r="AN31" s="319">
        <v>2.99</v>
      </c>
      <c r="AO31" s="319">
        <v>5</v>
      </c>
      <c r="AP31" s="318">
        <v>5.99</v>
      </c>
      <c r="AQ31" s="316">
        <v>5</v>
      </c>
      <c r="AR31" s="317">
        <v>5.99</v>
      </c>
      <c r="AS31" s="316">
        <v>2</v>
      </c>
      <c r="AT31" s="316">
        <v>2.99</v>
      </c>
    </row>
    <row r="32" spans="1:46" ht="15.75" x14ac:dyDescent="0.25">
      <c r="A32" s="305">
        <v>43644</v>
      </c>
      <c r="B32" s="280"/>
      <c r="C32" s="2"/>
      <c r="D32" s="1"/>
      <c r="E32" s="279"/>
      <c r="F32" s="66" t="s">
        <v>268</v>
      </c>
      <c r="G32" s="26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8"/>
      <c r="AA32" s="2"/>
      <c r="AC32" s="332" t="s">
        <v>269</v>
      </c>
      <c r="AD32" s="1">
        <v>17</v>
      </c>
      <c r="AE32" s="279">
        <v>1296</v>
      </c>
      <c r="AF32" s="73"/>
      <c r="AG32" s="323"/>
      <c r="AH32" s="319">
        <v>1.99</v>
      </c>
      <c r="AI32" s="316">
        <v>2</v>
      </c>
      <c r="AJ32" s="316">
        <v>2.99</v>
      </c>
      <c r="AK32" s="314">
        <v>3</v>
      </c>
      <c r="AL32" s="314">
        <v>3.99</v>
      </c>
      <c r="AM32" s="316">
        <v>3</v>
      </c>
      <c r="AN32" s="316">
        <v>3.99</v>
      </c>
      <c r="AO32" s="316">
        <v>6</v>
      </c>
      <c r="AP32" s="321">
        <v>6.99</v>
      </c>
      <c r="AQ32" s="314">
        <v>6</v>
      </c>
      <c r="AR32" s="324">
        <v>6.99</v>
      </c>
      <c r="AS32" s="323"/>
      <c r="AT32" s="323"/>
    </row>
    <row r="33" spans="1:46" ht="15.75" x14ac:dyDescent="0.25">
      <c r="A33" s="295">
        <f ca="1">TODAY()</f>
        <v>44208</v>
      </c>
      <c r="B33" s="1"/>
      <c r="C33" s="1"/>
      <c r="D33" s="1"/>
      <c r="E33" s="1"/>
      <c r="F33" s="1" t="s">
        <v>270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32" t="s">
        <v>271</v>
      </c>
      <c r="AD33" s="1">
        <v>17</v>
      </c>
      <c r="AE33" s="279">
        <v>1291</v>
      </c>
      <c r="AF33" s="73"/>
      <c r="AG33" s="322"/>
      <c r="AH33" s="322"/>
      <c r="AI33" s="316">
        <v>1</v>
      </c>
      <c r="AJ33" s="316">
        <v>1.99</v>
      </c>
      <c r="AK33" s="319">
        <v>4</v>
      </c>
      <c r="AL33" s="320">
        <v>6.99</v>
      </c>
      <c r="AM33" s="316">
        <v>3</v>
      </c>
      <c r="AN33" s="316">
        <v>3.99</v>
      </c>
      <c r="AO33" s="322"/>
      <c r="AP33" s="319">
        <v>2.99</v>
      </c>
      <c r="AQ33" s="316">
        <v>3</v>
      </c>
      <c r="AR33" s="316">
        <v>3.99</v>
      </c>
      <c r="AS33" s="322"/>
      <c r="AT33" s="322"/>
    </row>
    <row r="34" spans="1:46" ht="15.75" x14ac:dyDescent="0.25">
      <c r="A34" s="295"/>
      <c r="B34" s="296"/>
      <c r="C34" s="296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32" t="s">
        <v>272</v>
      </c>
      <c r="AD34" s="1">
        <v>17</v>
      </c>
      <c r="AE34" s="279">
        <v>1328</v>
      </c>
      <c r="AF34" s="73"/>
      <c r="AG34" s="322"/>
      <c r="AH34" s="322"/>
      <c r="AI34" s="316">
        <v>3</v>
      </c>
      <c r="AJ34" s="316">
        <v>3.99</v>
      </c>
      <c r="AK34" s="316">
        <v>6</v>
      </c>
      <c r="AL34" s="321">
        <v>6.99</v>
      </c>
      <c r="AM34" s="316">
        <v>3</v>
      </c>
      <c r="AN34" s="316">
        <v>3.99</v>
      </c>
      <c r="AO34" s="314">
        <v>4</v>
      </c>
      <c r="AP34" s="314">
        <v>4.99</v>
      </c>
      <c r="AQ34" s="316">
        <v>4</v>
      </c>
      <c r="AR34" s="316">
        <v>4.99</v>
      </c>
      <c r="AS34" s="322"/>
      <c r="AT34" s="322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32" t="s">
        <v>273</v>
      </c>
      <c r="AD35" s="1">
        <v>17</v>
      </c>
      <c r="AE35" s="279">
        <v>-628</v>
      </c>
      <c r="AF35" s="73"/>
      <c r="AG35" s="322"/>
      <c r="AH35" s="322"/>
      <c r="AI35" s="314">
        <v>6</v>
      </c>
      <c r="AJ35" s="324">
        <v>6.99</v>
      </c>
      <c r="AK35" s="314">
        <v>4</v>
      </c>
      <c r="AL35" s="314">
        <v>4.99</v>
      </c>
      <c r="AM35" s="316">
        <v>1</v>
      </c>
      <c r="AN35" s="316">
        <v>1.99</v>
      </c>
      <c r="AO35" s="322"/>
      <c r="AP35" s="319">
        <v>3.99</v>
      </c>
      <c r="AQ35" s="316">
        <v>1</v>
      </c>
      <c r="AR35" s="316">
        <v>1.99</v>
      </c>
      <c r="AS35" s="322"/>
      <c r="AT35" s="319">
        <v>4.99</v>
      </c>
    </row>
    <row r="36" spans="1:46" ht="15.75" x14ac:dyDescent="0.25">
      <c r="AC36" s="332" t="s">
        <v>274</v>
      </c>
      <c r="AD36" s="1">
        <v>17</v>
      </c>
      <c r="AE36" s="279">
        <v>1272</v>
      </c>
      <c r="AF36" s="73"/>
      <c r="AG36" s="313"/>
      <c r="AH36" s="313"/>
      <c r="AI36" s="316">
        <v>2</v>
      </c>
      <c r="AJ36" s="316">
        <v>2.99</v>
      </c>
      <c r="AK36" s="314">
        <v>6</v>
      </c>
      <c r="AL36" s="324">
        <v>6.99</v>
      </c>
      <c r="AM36" s="316">
        <v>3</v>
      </c>
      <c r="AN36" s="316">
        <v>3.99</v>
      </c>
      <c r="AO36" s="316">
        <v>3</v>
      </c>
      <c r="AP36" s="316">
        <v>3.99</v>
      </c>
      <c r="AQ36" s="316">
        <v>2</v>
      </c>
      <c r="AR36" s="316">
        <v>2.99</v>
      </c>
      <c r="AS36" s="316">
        <v>2</v>
      </c>
      <c r="AT36" s="316">
        <v>2.99</v>
      </c>
    </row>
    <row r="37" spans="1:46" ht="15.75" x14ac:dyDescent="0.25">
      <c r="AC37" s="332" t="s">
        <v>151</v>
      </c>
      <c r="AD37" s="1">
        <v>18</v>
      </c>
      <c r="AE37" s="279">
        <v>1200</v>
      </c>
      <c r="AF37" s="73"/>
      <c r="AG37" s="86"/>
      <c r="AH37" s="86"/>
      <c r="AI37" s="316">
        <v>6</v>
      </c>
      <c r="AJ37" s="321">
        <v>6.99</v>
      </c>
      <c r="AK37" s="316">
        <v>6.7</v>
      </c>
      <c r="AL37" s="321">
        <v>6.99</v>
      </c>
      <c r="AM37" s="316">
        <v>5</v>
      </c>
      <c r="AN37" s="317">
        <v>5.99</v>
      </c>
      <c r="AO37" s="316">
        <v>2</v>
      </c>
      <c r="AP37" s="316">
        <v>2.99</v>
      </c>
      <c r="AQ37" s="316">
        <v>3</v>
      </c>
      <c r="AR37" s="316">
        <v>3.99</v>
      </c>
      <c r="AS37" s="86"/>
      <c r="AT37" s="319">
        <v>2.99</v>
      </c>
    </row>
    <row r="38" spans="1:46" ht="15.75" x14ac:dyDescent="0.25">
      <c r="AC38" s="332" t="s">
        <v>275</v>
      </c>
      <c r="AD38" s="1">
        <v>18</v>
      </c>
      <c r="AE38" s="279">
        <v>1220</v>
      </c>
      <c r="AF38" s="73"/>
      <c r="AG38" s="322"/>
      <c r="AH38" s="319">
        <v>1.99</v>
      </c>
      <c r="AI38" s="314">
        <v>6</v>
      </c>
      <c r="AJ38" s="324">
        <v>6.99</v>
      </c>
      <c r="AK38" s="322"/>
      <c r="AL38" s="319">
        <v>3.99</v>
      </c>
      <c r="AM38" s="316">
        <v>3</v>
      </c>
      <c r="AN38" s="316">
        <v>3.99</v>
      </c>
      <c r="AO38" s="316">
        <v>2</v>
      </c>
      <c r="AP38" s="316">
        <v>2.99</v>
      </c>
      <c r="AQ38" s="316">
        <v>4</v>
      </c>
      <c r="AR38" s="316">
        <v>4.99</v>
      </c>
      <c r="AS38" s="322"/>
      <c r="AT38" s="318">
        <v>5.99</v>
      </c>
    </row>
    <row r="39" spans="1:46" ht="15.75" x14ac:dyDescent="0.25">
      <c r="AC39" s="332" t="s">
        <v>276</v>
      </c>
      <c r="AD39" s="1">
        <v>18</v>
      </c>
      <c r="AE39" s="279">
        <v>-673</v>
      </c>
      <c r="AF39" s="73"/>
      <c r="AG39" s="322"/>
      <c r="AH39" s="319">
        <v>1.99</v>
      </c>
      <c r="AI39" s="316">
        <v>2</v>
      </c>
      <c r="AJ39" s="316">
        <v>2.99</v>
      </c>
      <c r="AK39" s="316">
        <v>2</v>
      </c>
      <c r="AL39" s="316">
        <v>2.99</v>
      </c>
      <c r="AM39" s="316">
        <v>5</v>
      </c>
      <c r="AN39" s="317">
        <v>5.99</v>
      </c>
      <c r="AO39" s="319">
        <v>5</v>
      </c>
      <c r="AP39" s="320">
        <v>6.99</v>
      </c>
      <c r="AQ39" s="316">
        <v>4</v>
      </c>
      <c r="AR39" s="316">
        <v>4.99</v>
      </c>
      <c r="AS39" s="322"/>
      <c r="AT39" s="319">
        <v>4.99</v>
      </c>
    </row>
    <row r="40" spans="1:46" ht="15.75" x14ac:dyDescent="0.25">
      <c r="AC40" s="332" t="s">
        <v>78</v>
      </c>
      <c r="AD40" s="1">
        <v>17</v>
      </c>
      <c r="AE40" s="279">
        <v>1145</v>
      </c>
      <c r="AF40" s="73" t="s">
        <v>157</v>
      </c>
      <c r="AG40" s="322"/>
      <c r="AH40" s="319">
        <v>1.99</v>
      </c>
      <c r="AI40" s="316">
        <v>5</v>
      </c>
      <c r="AJ40" s="317">
        <v>5.99</v>
      </c>
      <c r="AK40" s="325">
        <v>7</v>
      </c>
      <c r="AL40" s="326">
        <v>7</v>
      </c>
      <c r="AM40" s="316">
        <v>1</v>
      </c>
      <c r="AN40" s="316">
        <v>1.99</v>
      </c>
      <c r="AO40" s="322"/>
      <c r="AP40" s="319">
        <v>2.99</v>
      </c>
      <c r="AQ40" s="316">
        <v>1</v>
      </c>
      <c r="AR40" s="316">
        <v>1.99</v>
      </c>
      <c r="AS40" s="322"/>
      <c r="AT40" s="322"/>
    </row>
    <row r="41" spans="1:46" ht="15.75" x14ac:dyDescent="0.25">
      <c r="AC41" s="332" t="s">
        <v>277</v>
      </c>
      <c r="AD41" s="1">
        <v>19</v>
      </c>
      <c r="AE41" s="279">
        <v>1042</v>
      </c>
      <c r="AF41" s="73" t="s">
        <v>154</v>
      </c>
      <c r="AG41" s="322"/>
      <c r="AH41" s="319">
        <v>1.99</v>
      </c>
      <c r="AI41" s="319">
        <v>5</v>
      </c>
      <c r="AJ41" s="320">
        <v>6.99</v>
      </c>
      <c r="AK41" s="314">
        <v>4</v>
      </c>
      <c r="AL41" s="314">
        <v>4.99</v>
      </c>
      <c r="AM41" s="316">
        <v>1</v>
      </c>
      <c r="AN41" s="316">
        <v>1.99</v>
      </c>
      <c r="AO41" s="322"/>
      <c r="AP41" s="319">
        <v>2.99</v>
      </c>
      <c r="AQ41" s="319">
        <v>2</v>
      </c>
      <c r="AR41" s="319">
        <v>3.99</v>
      </c>
      <c r="AS41" s="322"/>
      <c r="AT41" s="319">
        <v>1.99</v>
      </c>
    </row>
    <row r="42" spans="1:46" ht="15.75" x14ac:dyDescent="0.25">
      <c r="AC42" s="332" t="s">
        <v>278</v>
      </c>
      <c r="AD42" s="1">
        <v>19</v>
      </c>
      <c r="AE42" s="279">
        <v>-813</v>
      </c>
      <c r="AF42" s="73"/>
      <c r="AG42" s="86"/>
      <c r="AH42" s="319">
        <v>0.99</v>
      </c>
      <c r="AI42" s="316">
        <v>3</v>
      </c>
      <c r="AJ42" s="316">
        <v>3.99</v>
      </c>
      <c r="AK42" s="314">
        <v>5</v>
      </c>
      <c r="AL42" s="315">
        <v>5.99</v>
      </c>
      <c r="AM42" s="316">
        <v>5</v>
      </c>
      <c r="AN42" s="317">
        <v>5.99</v>
      </c>
      <c r="AO42" s="86"/>
      <c r="AP42" s="86">
        <v>3.99</v>
      </c>
      <c r="AQ42" s="86"/>
      <c r="AR42" s="318">
        <v>5.99</v>
      </c>
      <c r="AS42" s="86"/>
      <c r="AT42" s="86"/>
    </row>
    <row r="43" spans="1:46" ht="15.75" x14ac:dyDescent="0.25">
      <c r="Z43" s="28"/>
      <c r="AC43" s="332" t="s">
        <v>279</v>
      </c>
      <c r="AD43" s="1">
        <v>18</v>
      </c>
      <c r="AE43" s="279">
        <v>4</v>
      </c>
      <c r="AF43" s="73" t="s">
        <v>154</v>
      </c>
      <c r="AG43" s="322"/>
      <c r="AH43" s="319">
        <v>1.99</v>
      </c>
      <c r="AI43" s="316">
        <v>4</v>
      </c>
      <c r="AJ43" s="316">
        <v>4.99</v>
      </c>
      <c r="AK43" s="316">
        <v>3</v>
      </c>
      <c r="AL43" s="316">
        <v>3.99</v>
      </c>
      <c r="AM43" s="322"/>
      <c r="AN43" s="320">
        <v>6.99</v>
      </c>
      <c r="AO43" s="322"/>
      <c r="AP43" s="319">
        <v>3.99</v>
      </c>
      <c r="AQ43" s="316">
        <v>2</v>
      </c>
      <c r="AR43" s="316">
        <v>2.99</v>
      </c>
      <c r="AS43" s="322"/>
      <c r="AT43" s="322">
        <v>3.99</v>
      </c>
    </row>
    <row r="44" spans="1:46" ht="15.75" x14ac:dyDescent="0.25">
      <c r="AC44" s="332" t="s">
        <v>280</v>
      </c>
      <c r="AD44" s="1">
        <v>16</v>
      </c>
      <c r="AE44" s="279">
        <v>-718</v>
      </c>
      <c r="AF44" s="73" t="s">
        <v>157</v>
      </c>
      <c r="AG44" s="86"/>
      <c r="AH44" s="319">
        <v>1.99</v>
      </c>
      <c r="AI44" s="316">
        <v>1</v>
      </c>
      <c r="AJ44" s="316">
        <v>1.99</v>
      </c>
      <c r="AK44" s="314">
        <v>6</v>
      </c>
      <c r="AL44" s="324">
        <v>6.99</v>
      </c>
      <c r="AM44" s="86"/>
      <c r="AN44" s="319">
        <v>3.99</v>
      </c>
      <c r="AO44" s="86"/>
      <c r="AP44" s="319">
        <v>3.99</v>
      </c>
      <c r="AQ44" s="316">
        <v>2</v>
      </c>
      <c r="AR44" s="316">
        <v>2.99</v>
      </c>
      <c r="AS44" s="86"/>
      <c r="AT44" s="319">
        <v>2.99</v>
      </c>
    </row>
    <row r="45" spans="1:46" ht="15.75" x14ac:dyDescent="0.25">
      <c r="AC45" s="332" t="s">
        <v>281</v>
      </c>
      <c r="AD45" s="1">
        <v>18</v>
      </c>
      <c r="AE45" s="279">
        <v>1028</v>
      </c>
      <c r="AF45" s="73"/>
      <c r="AG45" s="322"/>
      <c r="AH45" s="322"/>
      <c r="AI45" s="314">
        <v>5</v>
      </c>
      <c r="AJ45" s="315">
        <v>5.99</v>
      </c>
      <c r="AK45" s="316">
        <v>6</v>
      </c>
      <c r="AL45" s="321">
        <v>6.99</v>
      </c>
      <c r="AM45" s="316">
        <v>2</v>
      </c>
      <c r="AN45" s="316">
        <v>2.99</v>
      </c>
      <c r="AO45" s="322"/>
      <c r="AP45" s="319">
        <v>2.99</v>
      </c>
      <c r="AQ45" s="316">
        <v>4</v>
      </c>
      <c r="AR45" s="316">
        <v>4.99</v>
      </c>
      <c r="AS45" s="322"/>
      <c r="AT45" s="322"/>
    </row>
    <row r="46" spans="1:46" ht="15.75" x14ac:dyDescent="0.25">
      <c r="AC46" s="332" t="s">
        <v>282</v>
      </c>
      <c r="AD46" s="1">
        <v>17</v>
      </c>
      <c r="AE46" s="279">
        <v>932</v>
      </c>
      <c r="AF46" s="73"/>
      <c r="AG46" s="322"/>
      <c r="AH46" s="322"/>
      <c r="AI46" s="316">
        <v>2</v>
      </c>
      <c r="AJ46" s="316">
        <v>2.99</v>
      </c>
      <c r="AK46" s="314">
        <v>7</v>
      </c>
      <c r="AL46" s="324">
        <v>7</v>
      </c>
      <c r="AM46" s="314">
        <v>3</v>
      </c>
      <c r="AN46" s="314">
        <v>3.99</v>
      </c>
      <c r="AO46" s="316">
        <v>1</v>
      </c>
      <c r="AP46" s="316">
        <v>1.99</v>
      </c>
      <c r="AQ46" s="322"/>
      <c r="AR46" s="319">
        <v>3.99</v>
      </c>
      <c r="AS46" s="322"/>
      <c r="AT46" s="322"/>
    </row>
    <row r="47" spans="1:46" ht="15.75" x14ac:dyDescent="0.25">
      <c r="AC47" s="332" t="s">
        <v>283</v>
      </c>
      <c r="AD47" s="1">
        <v>18</v>
      </c>
      <c r="AE47" s="279">
        <v>1032</v>
      </c>
      <c r="AF47" s="73" t="s">
        <v>161</v>
      </c>
      <c r="AG47" s="322"/>
      <c r="AH47" s="319">
        <v>1.99</v>
      </c>
      <c r="AI47" s="322"/>
      <c r="AJ47" s="319">
        <v>2.99</v>
      </c>
      <c r="AK47" s="316">
        <v>3</v>
      </c>
      <c r="AL47" s="316">
        <v>3.99</v>
      </c>
      <c r="AM47" s="316">
        <v>5</v>
      </c>
      <c r="AN47" s="317">
        <v>5.99</v>
      </c>
      <c r="AO47" s="316">
        <v>6</v>
      </c>
      <c r="AP47" s="321">
        <v>6.99</v>
      </c>
      <c r="AQ47" s="316">
        <v>2</v>
      </c>
      <c r="AR47" s="316">
        <v>2.99</v>
      </c>
      <c r="AS47" s="316">
        <v>4</v>
      </c>
      <c r="AT47" s="316">
        <v>4.99</v>
      </c>
    </row>
    <row r="48" spans="1:46" ht="15.75" x14ac:dyDescent="0.25">
      <c r="AC48" s="332" t="s">
        <v>284</v>
      </c>
      <c r="AD48" s="1">
        <v>17</v>
      </c>
      <c r="AE48" s="279">
        <v>959</v>
      </c>
      <c r="AF48" s="73"/>
      <c r="AG48" s="327"/>
      <c r="AH48" s="327">
        <v>1.99</v>
      </c>
      <c r="AI48" s="327"/>
      <c r="AJ48" s="319">
        <v>3.99</v>
      </c>
      <c r="AK48" s="314">
        <v>5</v>
      </c>
      <c r="AL48" s="315">
        <v>5.99</v>
      </c>
      <c r="AM48" s="322"/>
      <c r="AN48" s="319">
        <v>2.99</v>
      </c>
      <c r="AO48" s="316">
        <v>5</v>
      </c>
      <c r="AP48" s="317">
        <v>5.99</v>
      </c>
      <c r="AQ48" s="314">
        <v>4</v>
      </c>
      <c r="AR48" s="314">
        <v>4.99</v>
      </c>
      <c r="AS48" s="322"/>
      <c r="AT48" s="322">
        <v>3.99</v>
      </c>
    </row>
    <row r="49" spans="29:46" ht="15.75" x14ac:dyDescent="0.25">
      <c r="AC49" s="332" t="s">
        <v>285</v>
      </c>
      <c r="AD49" s="1">
        <v>17</v>
      </c>
      <c r="AE49" s="279">
        <v>852</v>
      </c>
      <c r="AF49" s="73"/>
      <c r="AG49" s="86"/>
      <c r="AH49" s="86"/>
      <c r="AI49" s="86"/>
      <c r="AJ49" s="319">
        <v>4.99</v>
      </c>
      <c r="AK49" s="316">
        <v>3</v>
      </c>
      <c r="AL49" s="316">
        <v>3.99</v>
      </c>
      <c r="AM49" s="314">
        <v>5</v>
      </c>
      <c r="AN49" s="315">
        <v>5.99</v>
      </c>
      <c r="AO49" s="86"/>
      <c r="AP49" s="319">
        <v>2.99</v>
      </c>
      <c r="AQ49" s="316">
        <v>4</v>
      </c>
      <c r="AR49" s="316">
        <v>4.99</v>
      </c>
      <c r="AS49" s="86"/>
      <c r="AT49" s="86"/>
    </row>
    <row r="50" spans="29:46" ht="15.75" x14ac:dyDescent="0.25">
      <c r="AC50" s="332" t="s">
        <v>286</v>
      </c>
      <c r="AD50" s="1">
        <v>18</v>
      </c>
      <c r="AE50" s="279">
        <v>908</v>
      </c>
      <c r="AF50" s="73" t="s">
        <v>157</v>
      </c>
      <c r="AG50" s="322"/>
      <c r="AH50" s="322"/>
      <c r="AI50" s="319">
        <v>4</v>
      </c>
      <c r="AJ50" s="318">
        <v>5.99</v>
      </c>
      <c r="AK50" s="316">
        <v>3</v>
      </c>
      <c r="AL50" s="316">
        <v>3.99</v>
      </c>
      <c r="AM50" s="314">
        <v>6</v>
      </c>
      <c r="AN50" s="324">
        <v>6.99</v>
      </c>
      <c r="AO50" s="319">
        <v>6</v>
      </c>
      <c r="AP50" s="320">
        <v>7</v>
      </c>
      <c r="AQ50" s="316">
        <v>4</v>
      </c>
      <c r="AR50" s="316">
        <v>4.99</v>
      </c>
      <c r="AS50" s="322"/>
      <c r="AT50" s="319">
        <v>2.99</v>
      </c>
    </row>
    <row r="51" spans="29:46" ht="15.75" x14ac:dyDescent="0.25">
      <c r="AC51" s="332" t="s">
        <v>287</v>
      </c>
      <c r="AD51" s="1">
        <v>17</v>
      </c>
      <c r="AE51" s="279">
        <v>856</v>
      </c>
      <c r="AF51" s="73" t="s">
        <v>157</v>
      </c>
      <c r="AG51" s="322"/>
      <c r="AH51" s="319">
        <v>0.99</v>
      </c>
      <c r="AI51" s="319">
        <v>4</v>
      </c>
      <c r="AJ51" s="318">
        <v>5.99</v>
      </c>
      <c r="AK51" s="316">
        <v>3</v>
      </c>
      <c r="AL51" s="316">
        <v>3.99</v>
      </c>
      <c r="AM51" s="316">
        <v>3</v>
      </c>
      <c r="AN51" s="316">
        <v>3.99</v>
      </c>
      <c r="AO51" s="316">
        <v>5.3</v>
      </c>
      <c r="AP51" s="317">
        <v>5.99</v>
      </c>
      <c r="AQ51" s="319">
        <v>5</v>
      </c>
      <c r="AR51" s="320">
        <v>6.99</v>
      </c>
      <c r="AS51" s="322"/>
      <c r="AT51" s="322"/>
    </row>
    <row r="52" spans="29:46" ht="15.75" x14ac:dyDescent="0.25">
      <c r="AC52" s="332" t="s">
        <v>288</v>
      </c>
      <c r="AD52" s="1">
        <v>18</v>
      </c>
      <c r="AE52" s="279">
        <v>-975</v>
      </c>
      <c r="AF52" s="73" t="s">
        <v>161</v>
      </c>
      <c r="AG52" s="322"/>
      <c r="AH52" s="319">
        <v>1.99</v>
      </c>
      <c r="AI52" s="319">
        <v>4</v>
      </c>
      <c r="AJ52" s="318">
        <v>5.99</v>
      </c>
      <c r="AK52" s="314">
        <v>5</v>
      </c>
      <c r="AL52" s="315">
        <v>5.99</v>
      </c>
      <c r="AM52" s="314">
        <v>4</v>
      </c>
      <c r="AN52" s="314">
        <v>4.99</v>
      </c>
      <c r="AO52" s="316">
        <v>4</v>
      </c>
      <c r="AP52" s="316">
        <v>4.99</v>
      </c>
      <c r="AQ52" s="314">
        <v>3</v>
      </c>
      <c r="AR52" s="314">
        <v>3.99</v>
      </c>
      <c r="AS52" s="322"/>
      <c r="AT52" s="322"/>
    </row>
    <row r="53" spans="29:46" ht="15.75" x14ac:dyDescent="0.25">
      <c r="AC53" s="332" t="s">
        <v>289</v>
      </c>
      <c r="AD53" s="1">
        <v>17</v>
      </c>
      <c r="AE53" s="279">
        <v>724</v>
      </c>
      <c r="AF53" s="73"/>
      <c r="AG53" s="322"/>
      <c r="AH53" s="319">
        <v>1.99</v>
      </c>
      <c r="AI53" s="316">
        <v>4</v>
      </c>
      <c r="AJ53" s="316">
        <v>4.99</v>
      </c>
      <c r="AK53" s="314">
        <v>6</v>
      </c>
      <c r="AL53" s="324">
        <v>6.99</v>
      </c>
      <c r="AM53" s="322"/>
      <c r="AN53" s="319">
        <v>3.99</v>
      </c>
      <c r="AO53" s="316">
        <v>2</v>
      </c>
      <c r="AP53" s="316">
        <v>2.99</v>
      </c>
      <c r="AQ53" s="316">
        <v>3</v>
      </c>
      <c r="AR53" s="316">
        <v>3.99</v>
      </c>
      <c r="AS53" s="322"/>
      <c r="AT53" s="318">
        <v>5.99</v>
      </c>
    </row>
    <row r="54" spans="29:46" ht="15.75" x14ac:dyDescent="0.25">
      <c r="AC54" s="332" t="s">
        <v>290</v>
      </c>
      <c r="AD54" s="1">
        <v>17</v>
      </c>
      <c r="AE54" s="279">
        <v>789</v>
      </c>
      <c r="AF54" s="73" t="s">
        <v>161</v>
      </c>
      <c r="AG54" s="86"/>
      <c r="AH54" s="86"/>
      <c r="AI54" s="314">
        <v>5</v>
      </c>
      <c r="AJ54" s="315">
        <v>5.99</v>
      </c>
      <c r="AK54" s="86"/>
      <c r="AL54" s="319">
        <v>2.99</v>
      </c>
      <c r="AM54" s="319">
        <v>5</v>
      </c>
      <c r="AN54" s="320">
        <v>7</v>
      </c>
      <c r="AO54" s="316">
        <v>3</v>
      </c>
      <c r="AP54" s="316">
        <v>3.99</v>
      </c>
      <c r="AQ54" s="316">
        <v>3</v>
      </c>
      <c r="AR54" s="316">
        <v>3.99</v>
      </c>
      <c r="AS54" s="86"/>
      <c r="AT54" s="319">
        <v>3.99</v>
      </c>
    </row>
    <row r="55" spans="29:46" ht="15.75" x14ac:dyDescent="0.25">
      <c r="AC55" s="332" t="s">
        <v>291</v>
      </c>
      <c r="AD55" s="1">
        <v>16</v>
      </c>
      <c r="AE55" s="279">
        <v>796</v>
      </c>
      <c r="AF55" s="73" t="s">
        <v>157</v>
      </c>
      <c r="AG55" s="322"/>
      <c r="AH55" s="322"/>
      <c r="AI55" s="316">
        <v>2</v>
      </c>
      <c r="AJ55" s="316">
        <v>2.99</v>
      </c>
      <c r="AK55" s="314">
        <v>5</v>
      </c>
      <c r="AL55" s="315">
        <v>5.99</v>
      </c>
      <c r="AM55" s="314">
        <v>5</v>
      </c>
      <c r="AN55" s="315">
        <v>5.99</v>
      </c>
      <c r="AO55" s="316">
        <v>4</v>
      </c>
      <c r="AP55" s="316">
        <v>4.99</v>
      </c>
      <c r="AQ55" s="316">
        <v>3</v>
      </c>
      <c r="AR55" s="316">
        <v>3.99</v>
      </c>
      <c r="AS55" s="322"/>
      <c r="AT55" s="322"/>
    </row>
    <row r="56" spans="29:46" ht="15.75" x14ac:dyDescent="0.25">
      <c r="AC56" s="332" t="s">
        <v>292</v>
      </c>
      <c r="AD56" s="1">
        <v>17</v>
      </c>
      <c r="AE56" s="279">
        <v>681</v>
      </c>
      <c r="AF56" s="73" t="s">
        <v>180</v>
      </c>
      <c r="AG56" s="322"/>
      <c r="AH56" s="319">
        <v>1.99</v>
      </c>
      <c r="AI56" s="316">
        <v>3</v>
      </c>
      <c r="AJ56" s="316">
        <v>3.99</v>
      </c>
      <c r="AK56" s="314">
        <v>5</v>
      </c>
      <c r="AL56" s="315">
        <v>5.99</v>
      </c>
      <c r="AM56" s="322"/>
      <c r="AN56" s="319">
        <v>2.99</v>
      </c>
      <c r="AO56" s="316">
        <v>4</v>
      </c>
      <c r="AP56" s="316">
        <v>4.99</v>
      </c>
      <c r="AQ56" s="316">
        <v>4</v>
      </c>
      <c r="AR56" s="316">
        <v>4.99</v>
      </c>
      <c r="AS56" s="316">
        <v>2</v>
      </c>
      <c r="AT56" s="316">
        <v>2.99</v>
      </c>
    </row>
    <row r="57" spans="29:46" ht="15.75" x14ac:dyDescent="0.25">
      <c r="AC57" s="332" t="s">
        <v>293</v>
      </c>
      <c r="AD57" s="1">
        <v>19</v>
      </c>
      <c r="AE57" s="279">
        <v>686</v>
      </c>
      <c r="AF57" s="73" t="s">
        <v>154</v>
      </c>
      <c r="AG57" s="322"/>
      <c r="AH57" s="319">
        <v>1.99</v>
      </c>
      <c r="AI57" s="316">
        <v>2</v>
      </c>
      <c r="AJ57" s="316">
        <v>2.99</v>
      </c>
      <c r="AK57" s="316">
        <v>3</v>
      </c>
      <c r="AL57" s="316">
        <v>3.99</v>
      </c>
      <c r="AM57" s="319">
        <v>4</v>
      </c>
      <c r="AN57" s="318">
        <v>5.99</v>
      </c>
      <c r="AO57" s="316">
        <v>4</v>
      </c>
      <c r="AP57" s="316">
        <v>4.99</v>
      </c>
      <c r="AQ57" s="316">
        <v>5</v>
      </c>
      <c r="AR57" s="317">
        <v>5.99</v>
      </c>
      <c r="AS57" s="322"/>
      <c r="AT57" s="319">
        <v>3.99</v>
      </c>
    </row>
    <row r="58" spans="29:46" ht="15.75" x14ac:dyDescent="0.25">
      <c r="AC58" s="332" t="s">
        <v>294</v>
      </c>
      <c r="AD58" s="1">
        <v>17</v>
      </c>
      <c r="AE58" s="279">
        <v>736</v>
      </c>
      <c r="AF58" s="73" t="s">
        <v>180</v>
      </c>
      <c r="AG58" s="322"/>
      <c r="AH58" s="319">
        <v>1.99</v>
      </c>
      <c r="AI58" s="316">
        <v>1</v>
      </c>
      <c r="AJ58" s="316">
        <v>1.99</v>
      </c>
      <c r="AK58" s="314">
        <v>6</v>
      </c>
      <c r="AL58" s="324">
        <v>6.99</v>
      </c>
      <c r="AM58" s="322"/>
      <c r="AN58" s="319">
        <v>2.99</v>
      </c>
      <c r="AO58" s="322"/>
      <c r="AP58" s="319">
        <v>3.99</v>
      </c>
      <c r="AQ58" s="322"/>
      <c r="AR58" s="319">
        <v>3.99</v>
      </c>
      <c r="AS58" s="322"/>
      <c r="AT58" s="319">
        <v>2.99</v>
      </c>
    </row>
    <row r="59" spans="29:46" ht="15.75" x14ac:dyDescent="0.25">
      <c r="AC59" s="332" t="s">
        <v>295</v>
      </c>
      <c r="AD59" s="1">
        <v>16</v>
      </c>
      <c r="AE59" s="279">
        <v>774</v>
      </c>
      <c r="AF59" s="73"/>
      <c r="AG59" s="322"/>
      <c r="AH59" s="319">
        <v>1.99</v>
      </c>
      <c r="AI59" s="319">
        <v>4</v>
      </c>
      <c r="AJ59" s="318">
        <v>5.99</v>
      </c>
      <c r="AK59" s="319">
        <v>4</v>
      </c>
      <c r="AL59" s="318">
        <v>5.99</v>
      </c>
      <c r="AM59" s="316">
        <v>5</v>
      </c>
      <c r="AN59" s="317">
        <v>5.99</v>
      </c>
      <c r="AO59" s="322"/>
      <c r="AP59" s="319">
        <v>3.99</v>
      </c>
      <c r="AQ59" s="322"/>
      <c r="AR59" s="319">
        <v>3.99</v>
      </c>
      <c r="AS59" s="322"/>
      <c r="AT59" s="319">
        <v>2.99</v>
      </c>
    </row>
    <row r="60" spans="29:46" ht="15.75" x14ac:dyDescent="0.25">
      <c r="AC60" s="332" t="s">
        <v>296</v>
      </c>
      <c r="AD60" s="1">
        <v>17</v>
      </c>
      <c r="AE60" s="279">
        <v>761</v>
      </c>
      <c r="AF60" s="73" t="s">
        <v>157</v>
      </c>
      <c r="AG60" s="86"/>
      <c r="AH60" s="319">
        <v>1.99</v>
      </c>
      <c r="AI60" s="314">
        <v>3</v>
      </c>
      <c r="AJ60" s="314">
        <v>3.99</v>
      </c>
      <c r="AK60" s="319">
        <v>5</v>
      </c>
      <c r="AL60" s="320">
        <v>6.99</v>
      </c>
      <c r="AM60" s="86"/>
      <c r="AN60" s="319">
        <v>2.99</v>
      </c>
      <c r="AO60" s="316">
        <v>2</v>
      </c>
      <c r="AP60" s="316">
        <v>2.99</v>
      </c>
      <c r="AQ60" s="86"/>
      <c r="AR60" s="318">
        <v>5.99</v>
      </c>
      <c r="AS60" s="316">
        <v>2</v>
      </c>
      <c r="AT60" s="316">
        <v>2.99</v>
      </c>
    </row>
    <row r="61" spans="29:46" ht="15.75" x14ac:dyDescent="0.25">
      <c r="AC61" s="332" t="s">
        <v>297</v>
      </c>
      <c r="AD61" s="1">
        <v>19</v>
      </c>
      <c r="AE61" s="279">
        <v>633</v>
      </c>
      <c r="AF61" s="73"/>
      <c r="AG61" s="322"/>
      <c r="AH61" s="322"/>
      <c r="AI61" s="319">
        <v>5</v>
      </c>
      <c r="AJ61" s="320">
        <v>6.99</v>
      </c>
      <c r="AK61" s="314">
        <v>4</v>
      </c>
      <c r="AL61" s="314">
        <v>4.99</v>
      </c>
      <c r="AM61" s="314">
        <v>4</v>
      </c>
      <c r="AN61" s="314">
        <v>4.99</v>
      </c>
      <c r="AO61" s="316">
        <v>3</v>
      </c>
      <c r="AP61" s="316">
        <v>3.99</v>
      </c>
      <c r="AQ61" s="316">
        <v>3</v>
      </c>
      <c r="AR61" s="316">
        <v>3.99</v>
      </c>
      <c r="AS61" s="322"/>
      <c r="AT61" s="322"/>
    </row>
    <row r="62" spans="29:46" ht="15.75" x14ac:dyDescent="0.25">
      <c r="AC62" s="332" t="s">
        <v>298</v>
      </c>
      <c r="AD62" s="1">
        <v>16</v>
      </c>
      <c r="AE62" s="279">
        <v>679</v>
      </c>
      <c r="AF62" s="73"/>
      <c r="AG62" s="322"/>
      <c r="AH62" s="319">
        <v>1.99</v>
      </c>
      <c r="AI62" s="314">
        <v>5</v>
      </c>
      <c r="AJ62" s="315">
        <v>5.99</v>
      </c>
      <c r="AK62" s="316">
        <v>3</v>
      </c>
      <c r="AL62" s="316">
        <v>3.99</v>
      </c>
      <c r="AM62" s="316">
        <v>4</v>
      </c>
      <c r="AN62" s="316">
        <v>4.99</v>
      </c>
      <c r="AO62" s="319">
        <v>3</v>
      </c>
      <c r="AP62" s="319">
        <v>4.99</v>
      </c>
      <c r="AQ62" s="316">
        <v>1</v>
      </c>
      <c r="AR62" s="316">
        <v>1.99</v>
      </c>
      <c r="AS62" s="322"/>
      <c r="AT62" s="319">
        <v>2.99</v>
      </c>
    </row>
    <row r="63" spans="29:46" ht="15.75" x14ac:dyDescent="0.25">
      <c r="AC63" s="332" t="s">
        <v>299</v>
      </c>
      <c r="AD63" s="1">
        <v>16</v>
      </c>
      <c r="AE63" s="279">
        <v>663</v>
      </c>
      <c r="AF63" s="73" t="s">
        <v>146</v>
      </c>
      <c r="AG63" s="322"/>
      <c r="AH63" s="322"/>
      <c r="AI63" s="316">
        <v>4</v>
      </c>
      <c r="AJ63" s="316">
        <v>4.99</v>
      </c>
      <c r="AK63" s="316">
        <v>5</v>
      </c>
      <c r="AL63" s="317">
        <v>5.99</v>
      </c>
      <c r="AM63" s="314">
        <v>4</v>
      </c>
      <c r="AN63" s="314">
        <v>4.99</v>
      </c>
      <c r="AO63" s="322"/>
      <c r="AP63" s="319">
        <v>3.99</v>
      </c>
      <c r="AQ63" s="316">
        <v>3</v>
      </c>
      <c r="AR63" s="316">
        <v>3.99</v>
      </c>
      <c r="AS63" s="322"/>
      <c r="AT63" s="322"/>
    </row>
    <row r="64" spans="29:46" ht="15.75" x14ac:dyDescent="0.25">
      <c r="AC64" s="332" t="s">
        <v>300</v>
      </c>
      <c r="AD64" s="1">
        <v>16</v>
      </c>
      <c r="AE64" s="279">
        <v>644</v>
      </c>
      <c r="AF64" s="73"/>
      <c r="AG64" s="322"/>
      <c r="AH64" s="319">
        <v>1.99</v>
      </c>
      <c r="AI64" s="314">
        <v>3</v>
      </c>
      <c r="AJ64" s="314">
        <v>3.99</v>
      </c>
      <c r="AK64" s="314">
        <v>6</v>
      </c>
      <c r="AL64" s="324">
        <v>6.99</v>
      </c>
      <c r="AM64" s="314">
        <v>5</v>
      </c>
      <c r="AN64" s="315">
        <v>5.99</v>
      </c>
      <c r="AO64" s="322"/>
      <c r="AP64" s="319">
        <v>2.99</v>
      </c>
      <c r="AQ64" s="316">
        <v>3</v>
      </c>
      <c r="AR64" s="316">
        <v>3.99</v>
      </c>
      <c r="AS64" s="322"/>
      <c r="AT64" s="322"/>
    </row>
    <row r="65" spans="29:46" ht="15.75" x14ac:dyDescent="0.25">
      <c r="AC65" s="332" t="s">
        <v>301</v>
      </c>
      <c r="AD65" s="1">
        <v>16</v>
      </c>
      <c r="AE65" s="279">
        <v>607</v>
      </c>
      <c r="AF65" s="73" t="s">
        <v>154</v>
      </c>
      <c r="AG65" s="322"/>
      <c r="AH65" s="322"/>
      <c r="AI65" s="316">
        <v>4</v>
      </c>
      <c r="AJ65" s="316">
        <v>4.99</v>
      </c>
      <c r="AK65" s="314">
        <v>4</v>
      </c>
      <c r="AL65" s="314">
        <v>4.99</v>
      </c>
      <c r="AM65" s="316">
        <v>4</v>
      </c>
      <c r="AN65" s="316">
        <v>4.99</v>
      </c>
      <c r="AO65" s="314">
        <v>4</v>
      </c>
      <c r="AP65" s="314">
        <v>4.99</v>
      </c>
      <c r="AQ65" s="314">
        <v>5</v>
      </c>
      <c r="AR65" s="315">
        <v>5.99</v>
      </c>
      <c r="AS65" s="322"/>
      <c r="AT65" s="319">
        <v>2.99</v>
      </c>
    </row>
    <row r="66" spans="29:46" ht="15.75" x14ac:dyDescent="0.25">
      <c r="AC66" s="332" t="s">
        <v>302</v>
      </c>
      <c r="AD66" s="1">
        <v>17</v>
      </c>
      <c r="AE66" s="279">
        <v>621</v>
      </c>
      <c r="AF66" s="73" t="s">
        <v>154</v>
      </c>
      <c r="AG66" s="86"/>
      <c r="AH66" s="86"/>
      <c r="AI66" s="319">
        <v>3</v>
      </c>
      <c r="AJ66" s="319">
        <v>4.99</v>
      </c>
      <c r="AK66" s="319">
        <v>5</v>
      </c>
      <c r="AL66" s="320">
        <v>6.99</v>
      </c>
      <c r="AM66" s="316">
        <v>5</v>
      </c>
      <c r="AN66" s="317">
        <v>5.99</v>
      </c>
      <c r="AO66" s="86"/>
      <c r="AP66" s="319">
        <v>2.99</v>
      </c>
      <c r="AQ66" s="314">
        <v>5</v>
      </c>
      <c r="AR66" s="315">
        <v>5.99</v>
      </c>
      <c r="AS66" s="86"/>
      <c r="AT66" s="319">
        <v>3.99</v>
      </c>
    </row>
    <row r="67" spans="29:46" ht="15.75" x14ac:dyDescent="0.25">
      <c r="AC67" s="332" t="s">
        <v>303</v>
      </c>
      <c r="AD67" s="1">
        <v>16</v>
      </c>
      <c r="AE67" s="279">
        <v>571</v>
      </c>
      <c r="AF67" s="73"/>
      <c r="AG67" s="322"/>
      <c r="AH67" s="319">
        <v>1.99</v>
      </c>
      <c r="AI67" s="314">
        <v>4</v>
      </c>
      <c r="AJ67" s="314">
        <v>4.99</v>
      </c>
      <c r="AK67" s="316">
        <v>3</v>
      </c>
      <c r="AL67" s="316">
        <v>3.99</v>
      </c>
      <c r="AM67" s="319">
        <v>7</v>
      </c>
      <c r="AN67" s="320">
        <v>7</v>
      </c>
      <c r="AO67" s="316">
        <v>2</v>
      </c>
      <c r="AP67" s="316">
        <v>2.99</v>
      </c>
      <c r="AQ67" s="314">
        <v>4</v>
      </c>
      <c r="AR67" s="314">
        <v>4.99</v>
      </c>
      <c r="AS67" s="322"/>
      <c r="AT67" s="322"/>
    </row>
    <row r="68" spans="29:46" ht="15.75" x14ac:dyDescent="0.25">
      <c r="AC68" s="332" t="s">
        <v>304</v>
      </c>
      <c r="AD68" s="1">
        <v>17</v>
      </c>
      <c r="AE68" s="279">
        <v>467</v>
      </c>
      <c r="AF68" s="73"/>
      <c r="AG68" s="86"/>
      <c r="AH68" s="86"/>
      <c r="AI68" s="86"/>
      <c r="AJ68" s="319">
        <v>2.99</v>
      </c>
      <c r="AK68" s="316">
        <v>2</v>
      </c>
      <c r="AL68" s="316">
        <v>2.99</v>
      </c>
      <c r="AM68" s="316">
        <v>5</v>
      </c>
      <c r="AN68" s="317">
        <v>5.99</v>
      </c>
      <c r="AO68" s="86"/>
      <c r="AP68" s="318">
        <v>5.99</v>
      </c>
      <c r="AQ68" s="314">
        <v>3</v>
      </c>
      <c r="AR68" s="314">
        <v>3.99</v>
      </c>
      <c r="AS68" s="86"/>
      <c r="AT68" s="86"/>
    </row>
    <row r="69" spans="29:46" ht="15.75" x14ac:dyDescent="0.25">
      <c r="AC69" s="332" t="s">
        <v>305</v>
      </c>
      <c r="AD69" s="1">
        <v>16</v>
      </c>
      <c r="AE69" s="279">
        <v>475</v>
      </c>
      <c r="AF69" s="73"/>
      <c r="AG69" s="322"/>
      <c r="AH69" s="319">
        <v>1.99</v>
      </c>
      <c r="AI69" s="322"/>
      <c r="AJ69" s="319">
        <v>3.99</v>
      </c>
      <c r="AK69" s="314">
        <v>5</v>
      </c>
      <c r="AL69" s="315">
        <v>5.99</v>
      </c>
      <c r="AM69" s="314">
        <v>6</v>
      </c>
      <c r="AN69" s="324">
        <v>6.99</v>
      </c>
      <c r="AO69" s="322"/>
      <c r="AP69" s="322"/>
      <c r="AQ69" s="316">
        <v>2</v>
      </c>
      <c r="AR69" s="316">
        <v>2.99</v>
      </c>
      <c r="AS69" s="322"/>
      <c r="AT69" s="322"/>
    </row>
    <row r="70" spans="29:46" ht="15.75" x14ac:dyDescent="0.25">
      <c r="AC70" s="332" t="s">
        <v>306</v>
      </c>
      <c r="AD70" s="1">
        <v>16</v>
      </c>
      <c r="AE70" s="279">
        <v>422</v>
      </c>
      <c r="AF70" s="73"/>
      <c r="AG70" s="322"/>
      <c r="AH70" s="322"/>
      <c r="AI70" s="316">
        <v>1</v>
      </c>
      <c r="AJ70" s="316">
        <v>1.99</v>
      </c>
      <c r="AK70" s="314">
        <v>5</v>
      </c>
      <c r="AL70" s="315">
        <v>5.99</v>
      </c>
      <c r="AM70" s="314">
        <v>4</v>
      </c>
      <c r="AN70" s="314">
        <v>4.99</v>
      </c>
      <c r="AO70" s="322"/>
      <c r="AP70" s="319">
        <v>2.99</v>
      </c>
      <c r="AQ70" s="322"/>
      <c r="AR70" s="319">
        <v>2.99</v>
      </c>
      <c r="AS70" s="322"/>
      <c r="AT70" s="322"/>
    </row>
    <row r="71" spans="29:46" ht="15.75" x14ac:dyDescent="0.25">
      <c r="AC71" s="332" t="s">
        <v>307</v>
      </c>
      <c r="AD71" s="1">
        <v>16</v>
      </c>
      <c r="AE71" s="279">
        <v>434</v>
      </c>
      <c r="AF71" s="73"/>
      <c r="AG71" s="322"/>
      <c r="AH71" s="319">
        <v>1.99</v>
      </c>
      <c r="AI71" s="319">
        <v>3</v>
      </c>
      <c r="AJ71" s="319">
        <v>4.99</v>
      </c>
      <c r="AK71" s="314">
        <v>2</v>
      </c>
      <c r="AL71" s="314">
        <v>2.99</v>
      </c>
      <c r="AM71" s="319">
        <v>4</v>
      </c>
      <c r="AN71" s="320">
        <v>6.99</v>
      </c>
      <c r="AO71" s="322"/>
      <c r="AP71" s="319">
        <v>2.99</v>
      </c>
      <c r="AQ71" s="322"/>
      <c r="AR71" s="320">
        <v>6.99</v>
      </c>
      <c r="AS71" s="322"/>
      <c r="AT71" s="322"/>
    </row>
    <row r="72" spans="29:46" ht="15.75" x14ac:dyDescent="0.25">
      <c r="AC72" s="332" t="s">
        <v>308</v>
      </c>
      <c r="AD72" s="1">
        <v>16</v>
      </c>
      <c r="AE72" s="279">
        <v>454</v>
      </c>
      <c r="AF72" s="73"/>
      <c r="AG72" s="322"/>
      <c r="AH72" s="319">
        <v>1.99</v>
      </c>
      <c r="AI72" s="322"/>
      <c r="AJ72" s="318">
        <v>5.99</v>
      </c>
      <c r="AK72" s="314">
        <v>5</v>
      </c>
      <c r="AL72" s="315">
        <v>5.99</v>
      </c>
      <c r="AM72" s="316">
        <v>4</v>
      </c>
      <c r="AN72" s="316">
        <v>4.99</v>
      </c>
      <c r="AO72" s="319">
        <v>3</v>
      </c>
      <c r="AP72" s="318">
        <v>5.99</v>
      </c>
      <c r="AQ72" s="319">
        <v>4</v>
      </c>
      <c r="AR72" s="318">
        <v>5.99</v>
      </c>
      <c r="AS72" s="322"/>
      <c r="AT72" s="322"/>
    </row>
    <row r="73" spans="29:46" ht="15.75" x14ac:dyDescent="0.25">
      <c r="AC73" s="332" t="s">
        <v>309</v>
      </c>
      <c r="AD73" s="1">
        <v>16</v>
      </c>
      <c r="AE73" s="279">
        <v>458</v>
      </c>
      <c r="AF73" s="73"/>
      <c r="AG73" s="322"/>
      <c r="AH73" s="322"/>
      <c r="AI73" s="322"/>
      <c r="AJ73" s="319">
        <v>2.99</v>
      </c>
      <c r="AK73" s="314">
        <v>5</v>
      </c>
      <c r="AL73" s="315">
        <v>5.99</v>
      </c>
      <c r="AM73" s="319">
        <v>4</v>
      </c>
      <c r="AN73" s="318">
        <v>5.99</v>
      </c>
      <c r="AO73" s="322"/>
      <c r="AP73" s="319">
        <v>3.99</v>
      </c>
      <c r="AQ73" s="316">
        <v>2</v>
      </c>
      <c r="AR73" s="316">
        <v>2.99</v>
      </c>
      <c r="AS73" s="322"/>
      <c r="AT73" s="322"/>
    </row>
    <row r="74" spans="29:46" ht="15.75" x14ac:dyDescent="0.25">
      <c r="AC74" s="332" t="s">
        <v>310</v>
      </c>
      <c r="AD74" s="1">
        <v>15</v>
      </c>
      <c r="AE74" s="279">
        <v>517</v>
      </c>
      <c r="AF74" s="73"/>
      <c r="AG74" s="322"/>
      <c r="AH74" s="322"/>
      <c r="AI74" s="322"/>
      <c r="AJ74" s="319">
        <v>4.99</v>
      </c>
      <c r="AK74" s="322"/>
      <c r="AL74" s="322"/>
      <c r="AM74" s="322"/>
      <c r="AN74" s="319">
        <v>4.99</v>
      </c>
      <c r="AO74" s="319">
        <v>3</v>
      </c>
      <c r="AP74" s="322"/>
      <c r="AQ74" s="322"/>
      <c r="AR74" s="318">
        <v>5.99</v>
      </c>
      <c r="AS74" s="322"/>
      <c r="AT74" s="322"/>
    </row>
    <row r="75" spans="29:46" ht="15.75" x14ac:dyDescent="0.25">
      <c r="AC75" s="332" t="s">
        <v>311</v>
      </c>
      <c r="AD75" s="1">
        <v>17</v>
      </c>
      <c r="AE75" s="279">
        <v>499</v>
      </c>
      <c r="AF75" s="73"/>
      <c r="AG75" s="322"/>
      <c r="AH75" s="322"/>
      <c r="AI75" s="319">
        <v>4</v>
      </c>
      <c r="AJ75" s="318">
        <v>5.99</v>
      </c>
      <c r="AK75" s="316">
        <v>4</v>
      </c>
      <c r="AL75" s="316">
        <v>4.99</v>
      </c>
      <c r="AM75" s="316">
        <v>4</v>
      </c>
      <c r="AN75" s="316">
        <v>4.99</v>
      </c>
      <c r="AO75" s="322"/>
      <c r="AP75" s="320">
        <v>6.99</v>
      </c>
      <c r="AQ75" s="316">
        <v>2</v>
      </c>
      <c r="AR75" s="316">
        <v>2.99</v>
      </c>
      <c r="AS75" s="322"/>
      <c r="AT75" s="322"/>
    </row>
    <row r="76" spans="29:46" ht="15.75" x14ac:dyDescent="0.25">
      <c r="AC76" s="332" t="s">
        <v>312</v>
      </c>
      <c r="AD76" s="1">
        <v>16</v>
      </c>
      <c r="AE76" s="279">
        <v>-1491</v>
      </c>
      <c r="AF76" s="73"/>
      <c r="AG76" s="86"/>
      <c r="AH76" s="86"/>
      <c r="AI76" s="328">
        <v>1</v>
      </c>
      <c r="AJ76" s="316">
        <v>1.99</v>
      </c>
      <c r="AK76" s="329">
        <v>5</v>
      </c>
      <c r="AL76" s="315">
        <v>5.99</v>
      </c>
      <c r="AM76" s="86"/>
      <c r="AN76" s="319">
        <v>2.99</v>
      </c>
      <c r="AO76" s="329" t="s">
        <v>313</v>
      </c>
      <c r="AP76" s="315">
        <v>5.99</v>
      </c>
      <c r="AQ76" s="329">
        <v>4</v>
      </c>
      <c r="AR76" s="315">
        <v>4.99</v>
      </c>
      <c r="AS76" s="86"/>
      <c r="AT76" s="86"/>
    </row>
    <row r="77" spans="29:46" ht="15.75" x14ac:dyDescent="0.25">
      <c r="AC77" s="332" t="s">
        <v>314</v>
      </c>
      <c r="AD77" s="1">
        <v>16</v>
      </c>
      <c r="AE77" s="279">
        <v>336</v>
      </c>
      <c r="AF77" s="73" t="s">
        <v>180</v>
      </c>
      <c r="AG77" s="86"/>
      <c r="AH77" s="319">
        <v>1.99</v>
      </c>
      <c r="AI77" s="329">
        <v>6</v>
      </c>
      <c r="AJ77" s="324">
        <v>6.99</v>
      </c>
      <c r="AK77" s="329">
        <v>5</v>
      </c>
      <c r="AL77" s="315">
        <v>5.99</v>
      </c>
      <c r="AM77" s="329">
        <v>3</v>
      </c>
      <c r="AN77" s="314">
        <v>3.99</v>
      </c>
      <c r="AO77" s="328">
        <v>1</v>
      </c>
      <c r="AP77" s="316">
        <v>1.99</v>
      </c>
      <c r="AQ77" s="328">
        <v>2</v>
      </c>
      <c r="AR77" s="316">
        <v>2.99</v>
      </c>
      <c r="AS77" s="86"/>
      <c r="AT77" s="86"/>
    </row>
    <row r="78" spans="29:46" ht="15.75" x14ac:dyDescent="0.25">
      <c r="AC78" s="332" t="s">
        <v>315</v>
      </c>
      <c r="AD78" s="1">
        <v>16</v>
      </c>
      <c r="AE78" s="279">
        <v>305</v>
      </c>
      <c r="AF78" s="73" t="s">
        <v>180</v>
      </c>
      <c r="AG78" s="86"/>
      <c r="AH78" s="319">
        <v>1.99</v>
      </c>
      <c r="AI78" s="86"/>
      <c r="AJ78" s="319">
        <v>3.99</v>
      </c>
      <c r="AK78" s="86"/>
      <c r="AL78" s="319">
        <v>2.99</v>
      </c>
      <c r="AM78" s="86"/>
      <c r="AN78" s="319">
        <v>2.99</v>
      </c>
      <c r="AO78" s="328">
        <v>3</v>
      </c>
      <c r="AP78" s="316">
        <v>3.99</v>
      </c>
      <c r="AQ78" s="329">
        <v>5</v>
      </c>
      <c r="AR78" s="315">
        <v>5.99</v>
      </c>
      <c r="AS78" s="86"/>
      <c r="AT78" s="86"/>
    </row>
    <row r="79" spans="29:46" ht="15.75" x14ac:dyDescent="0.25">
      <c r="AC79" s="332" t="s">
        <v>316</v>
      </c>
      <c r="AD79" s="1">
        <v>16</v>
      </c>
      <c r="AE79" s="279">
        <v>262</v>
      </c>
      <c r="AF79" s="73"/>
      <c r="AG79" s="86"/>
      <c r="AH79" s="319">
        <v>1.99</v>
      </c>
      <c r="AI79" s="328">
        <v>1</v>
      </c>
      <c r="AJ79" s="316">
        <v>1.99</v>
      </c>
      <c r="AK79" s="329">
        <v>4</v>
      </c>
      <c r="AL79" s="314">
        <v>4.99</v>
      </c>
      <c r="AM79" s="328">
        <v>5</v>
      </c>
      <c r="AN79" s="317">
        <v>5.99</v>
      </c>
      <c r="AO79" s="329">
        <v>6</v>
      </c>
      <c r="AP79" s="324">
        <v>6.99</v>
      </c>
      <c r="AQ79" s="329">
        <v>2</v>
      </c>
      <c r="AR79" s="314">
        <v>2.99</v>
      </c>
      <c r="AS79" s="86"/>
      <c r="AT79" s="86"/>
    </row>
    <row r="80" spans="29:46" ht="15.75" x14ac:dyDescent="0.25">
      <c r="AC80" s="332" t="s">
        <v>317</v>
      </c>
      <c r="AD80" s="1">
        <v>17</v>
      </c>
      <c r="AE80" s="279">
        <v>208</v>
      </c>
      <c r="AF80" s="73"/>
      <c r="AG80" s="86"/>
      <c r="AH80" s="319">
        <v>1.99</v>
      </c>
      <c r="AI80" s="328">
        <v>2</v>
      </c>
      <c r="AJ80" s="316">
        <v>2.99</v>
      </c>
      <c r="AK80" s="330">
        <v>5</v>
      </c>
      <c r="AL80" s="320">
        <v>7</v>
      </c>
      <c r="AM80" s="328">
        <v>3</v>
      </c>
      <c r="AN80" s="316">
        <v>3.99</v>
      </c>
      <c r="AO80" s="330">
        <v>4</v>
      </c>
      <c r="AP80" s="320">
        <v>6.99</v>
      </c>
      <c r="AQ80" s="86"/>
      <c r="AR80" s="319">
        <v>2.99</v>
      </c>
      <c r="AS80" s="86"/>
      <c r="AT80" s="86"/>
    </row>
    <row r="81" spans="29:46" x14ac:dyDescent="0.25">
      <c r="AC81" s="332" t="s">
        <v>318</v>
      </c>
      <c r="AD81" s="1"/>
      <c r="AE81" s="279"/>
      <c r="AF81" s="73"/>
      <c r="AG81" s="331"/>
      <c r="AH81" s="331"/>
      <c r="AI81" s="331"/>
      <c r="AJ81" s="331"/>
      <c r="AK81" s="331"/>
      <c r="AL81" s="331"/>
      <c r="AM81" s="331"/>
      <c r="AN81" s="331"/>
      <c r="AO81" s="331"/>
      <c r="AP81" s="331"/>
      <c r="AQ81" s="331"/>
      <c r="AR81" s="331"/>
      <c r="AS81" s="331"/>
      <c r="AT81" s="331"/>
    </row>
    <row r="82" spans="29:46" x14ac:dyDescent="0.25">
      <c r="AC82" s="332" t="s">
        <v>319</v>
      </c>
      <c r="AD82" s="1"/>
      <c r="AE82" s="279"/>
      <c r="AF82" s="73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</row>
    <row r="83" spans="29:46" x14ac:dyDescent="0.25">
      <c r="AC83" s="332" t="s">
        <v>320</v>
      </c>
      <c r="AD83" s="1"/>
      <c r="AE83" s="279"/>
      <c r="AF83" s="73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1"/>
      <c r="AR83" s="331"/>
      <c r="AS83" s="331"/>
      <c r="AT83" s="331"/>
    </row>
    <row r="84" spans="29:46" ht="15.75" x14ac:dyDescent="0.25">
      <c r="AC84" s="332" t="s">
        <v>321</v>
      </c>
      <c r="AD84" s="1">
        <v>16</v>
      </c>
      <c r="AE84" s="279">
        <v>146</v>
      </c>
      <c r="AF84" s="73"/>
      <c r="AG84" s="86"/>
      <c r="AH84" s="86"/>
      <c r="AI84" s="328">
        <v>3</v>
      </c>
      <c r="AJ84" s="316">
        <v>3.99</v>
      </c>
      <c r="AK84" s="328">
        <v>5</v>
      </c>
      <c r="AL84" s="317">
        <v>5.99</v>
      </c>
      <c r="AM84" s="328">
        <v>3</v>
      </c>
      <c r="AN84" s="316">
        <v>3.99</v>
      </c>
      <c r="AO84" s="328">
        <v>1</v>
      </c>
      <c r="AP84" s="316">
        <v>1.99</v>
      </c>
      <c r="AQ84" s="86"/>
      <c r="AR84" s="319">
        <v>1.99</v>
      </c>
      <c r="AS84" s="86"/>
      <c r="AT84" s="86"/>
    </row>
    <row r="85" spans="29:46" ht="15.75" x14ac:dyDescent="0.25">
      <c r="AC85" s="332" t="s">
        <v>322</v>
      </c>
      <c r="AD85" s="1">
        <v>16</v>
      </c>
      <c r="AE85" s="279">
        <v>210</v>
      </c>
      <c r="AF85" s="73"/>
      <c r="AG85" s="329">
        <v>6</v>
      </c>
      <c r="AH85" s="324">
        <v>6.99</v>
      </c>
      <c r="AI85" s="328">
        <v>2.6</v>
      </c>
      <c r="AJ85" s="316">
        <v>2.99</v>
      </c>
      <c r="AK85" s="86"/>
      <c r="AL85" s="319">
        <v>3.99</v>
      </c>
      <c r="AM85" s="86"/>
      <c r="AN85" s="319">
        <v>1.99</v>
      </c>
      <c r="AO85" s="86"/>
      <c r="AP85" s="319">
        <v>0.99</v>
      </c>
      <c r="AQ85" s="86"/>
      <c r="AR85" s="319">
        <v>2.99</v>
      </c>
      <c r="AS85" s="86"/>
      <c r="AT85" s="86"/>
    </row>
    <row r="86" spans="29:46" ht="15.75" x14ac:dyDescent="0.25">
      <c r="AC86" s="332" t="s">
        <v>323</v>
      </c>
      <c r="AD86" s="1">
        <v>17</v>
      </c>
      <c r="AE86" s="279">
        <v>384</v>
      </c>
      <c r="AF86" s="73" t="s">
        <v>161</v>
      </c>
      <c r="AG86" s="86"/>
      <c r="AH86" s="319">
        <v>1.99</v>
      </c>
      <c r="AI86" s="328">
        <v>3</v>
      </c>
      <c r="AJ86" s="316">
        <v>3.99</v>
      </c>
      <c r="AK86" s="328">
        <v>5</v>
      </c>
      <c r="AL86" s="317">
        <v>5.99</v>
      </c>
      <c r="AM86" s="328">
        <v>1</v>
      </c>
      <c r="AN86" s="316">
        <v>1.99</v>
      </c>
      <c r="AO86" s="328">
        <v>4</v>
      </c>
      <c r="AP86" s="316">
        <v>4.99</v>
      </c>
      <c r="AQ86" s="329">
        <v>4</v>
      </c>
      <c r="AR86" s="314">
        <v>4.99</v>
      </c>
      <c r="AS86" s="86"/>
      <c r="AT86" s="86"/>
    </row>
    <row r="87" spans="29:46" ht="15.75" x14ac:dyDescent="0.25">
      <c r="AC87" s="332" t="s">
        <v>324</v>
      </c>
      <c r="AD87" s="1">
        <v>17</v>
      </c>
      <c r="AE87" s="279">
        <v>382</v>
      </c>
      <c r="AF87" s="73"/>
      <c r="AG87" s="322"/>
      <c r="AH87" s="319">
        <v>1.99</v>
      </c>
      <c r="AI87" s="329">
        <v>5</v>
      </c>
      <c r="AJ87" s="315">
        <v>5.99</v>
      </c>
      <c r="AK87" s="328">
        <v>4</v>
      </c>
      <c r="AL87" s="316">
        <v>4.99</v>
      </c>
      <c r="AM87" s="330">
        <v>2</v>
      </c>
      <c r="AN87" s="319">
        <v>3.99</v>
      </c>
      <c r="AO87" s="328">
        <v>4</v>
      </c>
      <c r="AP87" s="316">
        <v>4.99</v>
      </c>
      <c r="AQ87" s="322"/>
      <c r="AR87" s="319">
        <v>4.99</v>
      </c>
      <c r="AS87" s="322"/>
      <c r="AT87" s="322"/>
    </row>
    <row r="88" spans="29:46" ht="15.75" x14ac:dyDescent="0.25">
      <c r="AC88" s="332" t="s">
        <v>325</v>
      </c>
      <c r="AD88" s="1">
        <v>18</v>
      </c>
      <c r="AE88" s="279">
        <v>408</v>
      </c>
      <c r="AF88" s="73"/>
      <c r="AG88" s="86"/>
      <c r="AH88" s="319">
        <v>1.99</v>
      </c>
      <c r="AI88" s="328">
        <v>2</v>
      </c>
      <c r="AJ88" s="316">
        <v>2.99</v>
      </c>
      <c r="AK88" s="86"/>
      <c r="AL88" s="319">
        <v>4.99</v>
      </c>
      <c r="AM88" s="86"/>
      <c r="AN88" s="318">
        <v>5.99</v>
      </c>
      <c r="AO88" s="328">
        <v>4</v>
      </c>
      <c r="AP88" s="316">
        <v>4.99</v>
      </c>
      <c r="AQ88" s="328">
        <v>3</v>
      </c>
      <c r="AR88" s="316">
        <v>3.99</v>
      </c>
      <c r="AS88" s="86"/>
      <c r="AT88" s="86"/>
    </row>
    <row r="89" spans="29:46" ht="15.75" x14ac:dyDescent="0.25">
      <c r="AC89" s="332" t="s">
        <v>326</v>
      </c>
      <c r="AD89" s="1">
        <v>18</v>
      </c>
      <c r="AE89" s="279">
        <v>423</v>
      </c>
      <c r="AF89" s="73" t="s">
        <v>154</v>
      </c>
      <c r="AG89" s="322"/>
      <c r="AH89" s="319">
        <v>1.99</v>
      </c>
      <c r="AI89" s="328">
        <v>2</v>
      </c>
      <c r="AJ89" s="316">
        <v>2.99</v>
      </c>
      <c r="AK89" s="329">
        <v>4</v>
      </c>
      <c r="AL89" s="314">
        <v>4.99</v>
      </c>
      <c r="AM89" s="328">
        <v>5</v>
      </c>
      <c r="AN89" s="317">
        <v>5.99</v>
      </c>
      <c r="AO89" s="328">
        <v>3</v>
      </c>
      <c r="AP89" s="316">
        <v>3.99</v>
      </c>
      <c r="AQ89" s="330">
        <v>3</v>
      </c>
      <c r="AR89" s="320">
        <v>7</v>
      </c>
      <c r="AS89" s="322"/>
      <c r="AT89" s="322"/>
    </row>
    <row r="90" spans="29:46" ht="15.75" x14ac:dyDescent="0.25">
      <c r="AC90" s="332" t="s">
        <v>327</v>
      </c>
      <c r="AD90" s="1">
        <v>17</v>
      </c>
      <c r="AE90" s="279">
        <v>408</v>
      </c>
      <c r="AF90" s="73" t="s">
        <v>161</v>
      </c>
      <c r="AG90" s="86"/>
      <c r="AH90" s="319">
        <v>0.99</v>
      </c>
      <c r="AI90" s="328">
        <v>4</v>
      </c>
      <c r="AJ90" s="316">
        <v>4.99</v>
      </c>
      <c r="AK90" s="328">
        <v>2</v>
      </c>
      <c r="AL90" s="316">
        <v>2.99</v>
      </c>
      <c r="AM90" s="330">
        <v>4</v>
      </c>
      <c r="AN90" s="318">
        <v>5.99</v>
      </c>
      <c r="AO90" s="328">
        <v>2</v>
      </c>
      <c r="AP90" s="316">
        <v>2.99</v>
      </c>
      <c r="AQ90" s="328">
        <v>2</v>
      </c>
      <c r="AR90" s="316">
        <v>2.99</v>
      </c>
      <c r="AS90" s="86"/>
      <c r="AT90" s="86"/>
    </row>
    <row r="91" spans="29:46" ht="15.75" x14ac:dyDescent="0.25">
      <c r="AC91" s="332" t="s">
        <v>328</v>
      </c>
      <c r="AD91" s="1">
        <v>17</v>
      </c>
      <c r="AE91" s="279">
        <v>330</v>
      </c>
      <c r="AF91" s="73"/>
      <c r="AG91" s="322"/>
      <c r="AH91" s="322"/>
      <c r="AI91" s="322"/>
      <c r="AJ91" s="319">
        <v>2.99</v>
      </c>
      <c r="AK91" s="328">
        <v>3</v>
      </c>
      <c r="AL91" s="316">
        <v>3.99</v>
      </c>
      <c r="AM91" s="330">
        <v>5</v>
      </c>
      <c r="AN91" s="320">
        <v>6.99</v>
      </c>
      <c r="AO91" s="329">
        <v>4</v>
      </c>
      <c r="AP91" s="314">
        <v>4.99</v>
      </c>
      <c r="AQ91" s="329">
        <v>4</v>
      </c>
      <c r="AR91" s="314">
        <v>4.99</v>
      </c>
      <c r="AS91" s="322"/>
      <c r="AT91" s="322"/>
    </row>
    <row r="92" spans="29:46" ht="15.75" x14ac:dyDescent="0.25">
      <c r="AC92" s="332" t="s">
        <v>329</v>
      </c>
      <c r="AD92" s="1">
        <v>16</v>
      </c>
      <c r="AE92" s="279">
        <v>329</v>
      </c>
      <c r="AF92" s="73"/>
      <c r="AG92" s="322"/>
      <c r="AH92" s="322"/>
      <c r="AI92" s="329">
        <v>3</v>
      </c>
      <c r="AJ92" s="314">
        <v>3.99</v>
      </c>
      <c r="AK92" s="330">
        <v>4</v>
      </c>
      <c r="AL92" s="320">
        <v>6.99</v>
      </c>
      <c r="AM92" s="322"/>
      <c r="AN92" s="319">
        <v>3.99</v>
      </c>
      <c r="AO92" s="329">
        <v>3</v>
      </c>
      <c r="AP92" s="314">
        <v>3.99</v>
      </c>
      <c r="AQ92" s="322"/>
      <c r="AR92" s="319">
        <v>3.99</v>
      </c>
      <c r="AS92" s="322"/>
      <c r="AT92" s="322"/>
    </row>
    <row r="93" spans="29:46" ht="15.75" x14ac:dyDescent="0.25">
      <c r="AC93" s="332" t="s">
        <v>330</v>
      </c>
      <c r="AD93" s="1">
        <v>16</v>
      </c>
      <c r="AE93" s="279">
        <v>331</v>
      </c>
      <c r="AF93" s="73"/>
      <c r="AG93" s="322"/>
      <c r="AH93" s="322"/>
      <c r="AI93" s="328">
        <v>2</v>
      </c>
      <c r="AJ93" s="316">
        <v>2.99</v>
      </c>
      <c r="AK93" s="329">
        <v>4</v>
      </c>
      <c r="AL93" s="314">
        <v>4.99</v>
      </c>
      <c r="AM93" s="328">
        <v>2</v>
      </c>
      <c r="AN93" s="316">
        <v>2.99</v>
      </c>
      <c r="AO93" s="328">
        <v>3</v>
      </c>
      <c r="AP93" s="316">
        <v>3.99</v>
      </c>
      <c r="AQ93" s="330">
        <v>4</v>
      </c>
      <c r="AR93" s="320">
        <v>6.99</v>
      </c>
      <c r="AS93" s="322"/>
      <c r="AT93" s="322"/>
    </row>
    <row r="94" spans="29:46" ht="15.75" x14ac:dyDescent="0.25">
      <c r="AC94" s="332" t="s">
        <v>331</v>
      </c>
      <c r="AD94" s="1">
        <v>16</v>
      </c>
      <c r="AE94" s="279">
        <v>342</v>
      </c>
      <c r="AF94" s="73"/>
      <c r="AG94" s="322"/>
      <c r="AH94" s="322"/>
      <c r="AI94" s="330">
        <v>4</v>
      </c>
      <c r="AJ94" s="320">
        <v>6.99</v>
      </c>
      <c r="AK94" s="328">
        <v>2</v>
      </c>
      <c r="AL94" s="316">
        <v>2.99</v>
      </c>
      <c r="AM94" s="329">
        <v>2</v>
      </c>
      <c r="AN94" s="314">
        <v>2.99</v>
      </c>
      <c r="AO94" s="329">
        <v>5</v>
      </c>
      <c r="AP94" s="315">
        <v>5.99</v>
      </c>
      <c r="AQ94" s="330">
        <v>1</v>
      </c>
      <c r="AR94" s="319">
        <v>2.99</v>
      </c>
      <c r="AS94" s="322"/>
      <c r="AT94" s="319">
        <v>3.99</v>
      </c>
    </row>
    <row r="95" spans="29:46" ht="15.75" x14ac:dyDescent="0.25">
      <c r="AC95" s="332" t="s">
        <v>332</v>
      </c>
      <c r="AD95" s="1">
        <v>16</v>
      </c>
      <c r="AE95" s="279">
        <v>373</v>
      </c>
      <c r="AF95" s="73"/>
      <c r="AG95" s="86"/>
      <c r="AH95" s="86"/>
      <c r="AI95" s="329">
        <v>5</v>
      </c>
      <c r="AJ95" s="315">
        <v>5.99</v>
      </c>
      <c r="AK95" s="328">
        <v>5</v>
      </c>
      <c r="AL95" s="317">
        <v>5.99</v>
      </c>
      <c r="AM95" s="86"/>
      <c r="AN95" s="319">
        <v>4.99</v>
      </c>
      <c r="AO95" s="86"/>
      <c r="AP95" s="319">
        <v>4.99</v>
      </c>
      <c r="AQ95" s="86"/>
      <c r="AR95" s="319">
        <v>4.99</v>
      </c>
      <c r="AS95" s="86"/>
      <c r="AT95" s="86"/>
    </row>
    <row r="96" spans="29:46" ht="15.75" x14ac:dyDescent="0.25">
      <c r="AC96" s="332" t="s">
        <v>333</v>
      </c>
      <c r="AD96" s="1">
        <v>16</v>
      </c>
      <c r="AE96" s="279">
        <v>390</v>
      </c>
      <c r="AF96" s="73" t="s">
        <v>180</v>
      </c>
      <c r="AG96" s="86"/>
      <c r="AH96" s="86"/>
      <c r="AI96" s="328">
        <v>1</v>
      </c>
      <c r="AJ96" s="316">
        <v>1.99</v>
      </c>
      <c r="AK96" s="328">
        <v>6</v>
      </c>
      <c r="AL96" s="321">
        <v>6.99</v>
      </c>
      <c r="AM96" s="329">
        <v>2</v>
      </c>
      <c r="AN96" s="314">
        <v>2.99</v>
      </c>
      <c r="AO96" s="328">
        <v>5</v>
      </c>
      <c r="AP96" s="317">
        <v>5.99</v>
      </c>
      <c r="AQ96" s="329">
        <v>4</v>
      </c>
      <c r="AR96" s="314">
        <v>4.99</v>
      </c>
      <c r="AS96" s="86"/>
      <c r="AT96" s="319">
        <v>3.99</v>
      </c>
    </row>
    <row r="97" spans="29:46" ht="15.75" x14ac:dyDescent="0.25">
      <c r="AC97" s="332" t="s">
        <v>334</v>
      </c>
      <c r="AD97" s="1">
        <v>16</v>
      </c>
      <c r="AE97" s="279">
        <v>262</v>
      </c>
      <c r="AF97" s="73"/>
      <c r="AG97" s="86"/>
      <c r="AH97" s="86"/>
      <c r="AI97" s="329">
        <v>6</v>
      </c>
      <c r="AJ97" s="324">
        <v>6.99</v>
      </c>
      <c r="AK97" s="329">
        <v>3</v>
      </c>
      <c r="AL97" s="314">
        <v>3.99</v>
      </c>
      <c r="AM97" s="329">
        <v>5</v>
      </c>
      <c r="AN97" s="315">
        <v>5.99</v>
      </c>
      <c r="AO97" s="86"/>
      <c r="AP97" s="319">
        <v>2.99</v>
      </c>
      <c r="AQ97" s="330">
        <v>3</v>
      </c>
      <c r="AR97" s="319">
        <v>4.99</v>
      </c>
      <c r="AS97" s="86"/>
      <c r="AT97" s="86"/>
    </row>
    <row r="98" spans="29:46" ht="15.75" x14ac:dyDescent="0.25">
      <c r="AC98" s="332" t="s">
        <v>335</v>
      </c>
      <c r="AD98" s="1">
        <v>16</v>
      </c>
      <c r="AE98" s="279">
        <v>240</v>
      </c>
      <c r="AF98" s="73" t="s">
        <v>180</v>
      </c>
      <c r="AG98" s="86"/>
      <c r="AH98" s="86"/>
      <c r="AI98" s="86"/>
      <c r="AJ98" s="319">
        <v>2.99</v>
      </c>
      <c r="AK98" s="329">
        <v>5</v>
      </c>
      <c r="AL98" s="315">
        <v>5.99</v>
      </c>
      <c r="AM98" s="328">
        <v>2</v>
      </c>
      <c r="AN98" s="316">
        <v>2.99</v>
      </c>
      <c r="AO98" s="328">
        <v>3</v>
      </c>
      <c r="AP98" s="316">
        <v>3.99</v>
      </c>
      <c r="AQ98" s="330">
        <v>3</v>
      </c>
      <c r="AR98" s="319">
        <v>4.99</v>
      </c>
      <c r="AS98" s="86"/>
      <c r="AT98" s="86"/>
    </row>
    <row r="99" spans="29:46" ht="15.75" x14ac:dyDescent="0.25">
      <c r="AC99" s="332" t="s">
        <v>336</v>
      </c>
      <c r="AD99" s="1">
        <v>16</v>
      </c>
      <c r="AE99" s="279">
        <v>255</v>
      </c>
      <c r="AF99" s="73"/>
      <c r="AG99" s="86"/>
      <c r="AH99" s="319">
        <v>0.99</v>
      </c>
      <c r="AI99" s="328">
        <v>2</v>
      </c>
      <c r="AJ99" s="316">
        <v>2.99</v>
      </c>
      <c r="AK99" s="330">
        <v>5</v>
      </c>
      <c r="AL99" s="320">
        <v>6.99</v>
      </c>
      <c r="AM99" s="329">
        <v>2</v>
      </c>
      <c r="AN99" s="314">
        <v>2.99</v>
      </c>
      <c r="AO99" s="328">
        <v>2</v>
      </c>
      <c r="AP99" s="316">
        <v>2.99</v>
      </c>
      <c r="AQ99" s="328">
        <v>2</v>
      </c>
      <c r="AR99" s="316">
        <v>2.99</v>
      </c>
      <c r="AS99" s="86"/>
      <c r="AT99" s="86"/>
    </row>
    <row r="100" spans="29:46" ht="15.75" x14ac:dyDescent="0.25">
      <c r="AC100" s="332" t="s">
        <v>337</v>
      </c>
      <c r="AD100" s="1">
        <v>18</v>
      </c>
      <c r="AE100" s="279">
        <v>238</v>
      </c>
      <c r="AF100" s="73" t="s">
        <v>154</v>
      </c>
      <c r="AG100" s="322"/>
      <c r="AH100" s="319">
        <v>1.99</v>
      </c>
      <c r="AI100" s="329">
        <v>4</v>
      </c>
      <c r="AJ100" s="314">
        <v>4.99</v>
      </c>
      <c r="AK100" s="328">
        <v>2</v>
      </c>
      <c r="AL100" s="316">
        <v>2.99</v>
      </c>
      <c r="AM100" s="328">
        <v>3</v>
      </c>
      <c r="AN100" s="316">
        <v>3.99</v>
      </c>
      <c r="AO100" s="328">
        <v>1</v>
      </c>
      <c r="AP100" s="316">
        <v>1.99</v>
      </c>
      <c r="AQ100" s="330">
        <v>4</v>
      </c>
      <c r="AR100" s="320">
        <v>6.99</v>
      </c>
      <c r="AS100" s="322"/>
      <c r="AT100" s="322"/>
    </row>
    <row r="101" spans="29:46" ht="15.75" x14ac:dyDescent="0.25">
      <c r="AC101" s="332" t="s">
        <v>338</v>
      </c>
      <c r="AD101" s="1">
        <v>17</v>
      </c>
      <c r="AE101" s="279">
        <v>105</v>
      </c>
      <c r="AF101" s="73" t="s">
        <v>154</v>
      </c>
      <c r="AG101" s="86"/>
      <c r="AH101" s="319">
        <v>1.99</v>
      </c>
      <c r="AI101" s="328">
        <v>3</v>
      </c>
      <c r="AJ101" s="316">
        <v>3.99</v>
      </c>
      <c r="AK101" s="329">
        <v>5</v>
      </c>
      <c r="AL101" s="315">
        <v>5.99</v>
      </c>
      <c r="AM101" s="328">
        <v>4</v>
      </c>
      <c r="AN101" s="316">
        <v>4.99</v>
      </c>
      <c r="AO101" s="328">
        <v>4</v>
      </c>
      <c r="AP101" s="316">
        <v>4.99</v>
      </c>
      <c r="AQ101" s="86"/>
      <c r="AR101" s="319">
        <v>2.99</v>
      </c>
      <c r="AS101" s="86"/>
      <c r="AT101" s="86"/>
    </row>
    <row r="102" spans="29:46" ht="15.75" x14ac:dyDescent="0.25">
      <c r="AC102" s="332" t="s">
        <v>339</v>
      </c>
      <c r="AD102" s="1">
        <v>17</v>
      </c>
      <c r="AE102" s="279">
        <v>181</v>
      </c>
      <c r="AF102" s="73" t="s">
        <v>161</v>
      </c>
      <c r="AG102" s="86"/>
      <c r="AH102" s="86"/>
      <c r="AI102" s="329">
        <v>5</v>
      </c>
      <c r="AJ102" s="315">
        <v>5.99</v>
      </c>
      <c r="AK102" s="329">
        <v>4</v>
      </c>
      <c r="AL102" s="314">
        <v>4.99</v>
      </c>
      <c r="AM102" s="86"/>
      <c r="AN102" s="318">
        <v>5.99</v>
      </c>
      <c r="AO102" s="328">
        <v>3</v>
      </c>
      <c r="AP102" s="316">
        <v>3.99</v>
      </c>
      <c r="AQ102" s="86"/>
      <c r="AR102" s="319">
        <v>2.99</v>
      </c>
      <c r="AS102" s="86"/>
      <c r="AT102" s="86"/>
    </row>
    <row r="103" spans="29:46" ht="15.75" x14ac:dyDescent="0.25">
      <c r="AC103" s="332" t="s">
        <v>340</v>
      </c>
      <c r="AD103" s="1">
        <v>17</v>
      </c>
      <c r="AE103" s="279">
        <v>34</v>
      </c>
      <c r="AF103" s="73" t="s">
        <v>157</v>
      </c>
      <c r="AG103" s="322"/>
      <c r="AH103" s="319">
        <v>0.99</v>
      </c>
      <c r="AI103" s="328">
        <v>5</v>
      </c>
      <c r="AJ103" s="317">
        <v>5.99</v>
      </c>
      <c r="AK103" s="330">
        <v>4</v>
      </c>
      <c r="AL103" s="318">
        <v>5.99</v>
      </c>
      <c r="AM103" s="329">
        <v>6</v>
      </c>
      <c r="AN103" s="324">
        <v>6.99</v>
      </c>
      <c r="AO103" s="322"/>
      <c r="AP103" s="319">
        <v>2.99</v>
      </c>
      <c r="AQ103" s="329">
        <v>5</v>
      </c>
      <c r="AR103" s="315">
        <v>5.99</v>
      </c>
      <c r="AS103" s="322"/>
      <c r="AT103" s="322"/>
    </row>
    <row r="104" spans="29:46" ht="15.75" x14ac:dyDescent="0.25">
      <c r="AC104" s="332" t="s">
        <v>341</v>
      </c>
      <c r="AD104" s="1">
        <v>17</v>
      </c>
      <c r="AE104" s="279">
        <v>51</v>
      </c>
      <c r="AF104" s="73" t="s">
        <v>180</v>
      </c>
      <c r="AG104" s="86"/>
      <c r="AH104" s="86"/>
      <c r="AI104" s="328">
        <v>5</v>
      </c>
      <c r="AJ104" s="317">
        <v>5.99</v>
      </c>
      <c r="AK104" s="329">
        <v>4</v>
      </c>
      <c r="AL104" s="314">
        <v>4.99</v>
      </c>
      <c r="AM104" s="86"/>
      <c r="AN104" s="319">
        <v>2.99</v>
      </c>
      <c r="AO104" s="86"/>
      <c r="AP104" s="319">
        <v>3.99</v>
      </c>
      <c r="AQ104" s="329">
        <v>3</v>
      </c>
      <c r="AR104" s="314">
        <v>3.99</v>
      </c>
      <c r="AS104" s="86"/>
      <c r="AT104" s="86"/>
    </row>
    <row r="105" spans="29:46" ht="15.75" x14ac:dyDescent="0.25">
      <c r="AC105" s="332" t="s">
        <v>342</v>
      </c>
      <c r="AD105" s="1">
        <v>18</v>
      </c>
      <c r="AE105" s="279">
        <v>26</v>
      </c>
      <c r="AF105" s="73"/>
      <c r="AG105" s="86"/>
      <c r="AH105" s="319">
        <v>0.99</v>
      </c>
      <c r="AI105" s="329">
        <v>6</v>
      </c>
      <c r="AJ105" s="324">
        <v>6.99</v>
      </c>
      <c r="AK105" s="329">
        <v>4</v>
      </c>
      <c r="AL105" s="314">
        <v>4.99</v>
      </c>
      <c r="AM105" s="86"/>
      <c r="AN105" s="319">
        <v>3.99</v>
      </c>
      <c r="AO105" s="86"/>
      <c r="AP105" s="319">
        <v>2.99</v>
      </c>
      <c r="AQ105" s="86"/>
      <c r="AR105" s="319">
        <v>2.99</v>
      </c>
      <c r="AS105" s="86"/>
      <c r="AT105" s="86"/>
    </row>
    <row r="106" spans="29:46" x14ac:dyDescent="0.25">
      <c r="AC106" s="332" t="s">
        <v>343</v>
      </c>
      <c r="AD106" s="1">
        <v>17</v>
      </c>
      <c r="AE106" s="279">
        <v>43</v>
      </c>
      <c r="AF106" s="73" t="s">
        <v>154</v>
      </c>
      <c r="AG106" s="5"/>
      <c r="AH106" s="5"/>
      <c r="AI106" s="447">
        <v>6</v>
      </c>
      <c r="AJ106" s="311">
        <v>6.99</v>
      </c>
      <c r="AK106" s="448">
        <v>5</v>
      </c>
      <c r="AL106" s="449">
        <v>5.99</v>
      </c>
      <c r="AM106" s="447">
        <v>6</v>
      </c>
      <c r="AN106" s="311">
        <v>6.99</v>
      </c>
      <c r="AO106" s="448">
        <v>2</v>
      </c>
      <c r="AP106" s="308">
        <v>2.99</v>
      </c>
      <c r="AQ106" s="447">
        <v>3</v>
      </c>
      <c r="AR106" s="310">
        <v>3.99</v>
      </c>
      <c r="AS106" s="86"/>
      <c r="AT106" s="86"/>
    </row>
    <row r="107" spans="29:46" ht="15.75" x14ac:dyDescent="0.25">
      <c r="AC107" s="303" t="s">
        <v>344</v>
      </c>
      <c r="AD107" s="1">
        <v>17</v>
      </c>
      <c r="AE107" s="279">
        <v>58</v>
      </c>
      <c r="AF107" s="73"/>
      <c r="AG107" s="86"/>
      <c r="AH107" s="86"/>
      <c r="AI107" s="329">
        <v>6</v>
      </c>
      <c r="AJ107" s="324">
        <v>6.99</v>
      </c>
      <c r="AK107" s="331"/>
      <c r="AL107" s="319">
        <v>2.99</v>
      </c>
      <c r="AM107" s="86"/>
      <c r="AN107" s="319">
        <v>1.99</v>
      </c>
      <c r="AO107" s="330">
        <v>2</v>
      </c>
      <c r="AP107" s="319">
        <v>2.99</v>
      </c>
      <c r="AQ107" s="86"/>
      <c r="AR107" s="320">
        <v>6.99</v>
      </c>
      <c r="AS107" s="86"/>
      <c r="AT107" s="319">
        <v>2.99</v>
      </c>
    </row>
    <row r="108" spans="29:46" ht="15.75" x14ac:dyDescent="0.25">
      <c r="AC108" s="303" t="s">
        <v>345</v>
      </c>
      <c r="AD108" s="1">
        <v>17</v>
      </c>
      <c r="AE108" s="279">
        <v>68</v>
      </c>
      <c r="AF108" s="73"/>
      <c r="AG108" s="86"/>
      <c r="AH108" s="319">
        <v>1.99</v>
      </c>
      <c r="AI108" s="328">
        <v>1</v>
      </c>
      <c r="AJ108" s="316">
        <v>1.99</v>
      </c>
      <c r="AK108" s="328">
        <v>4</v>
      </c>
      <c r="AL108" s="316">
        <v>4.99</v>
      </c>
      <c r="AM108" s="328">
        <v>5</v>
      </c>
      <c r="AN108" s="317">
        <v>5.99</v>
      </c>
      <c r="AO108" s="328">
        <v>3</v>
      </c>
      <c r="AP108" s="316">
        <v>3.99</v>
      </c>
      <c r="AQ108" s="330">
        <v>3</v>
      </c>
      <c r="AR108" s="320">
        <v>6.99</v>
      </c>
      <c r="AS108" s="86"/>
      <c r="AT108" s="86"/>
    </row>
    <row r="109" spans="29:46" ht="15.75" x14ac:dyDescent="0.25">
      <c r="AC109" s="303" t="s">
        <v>346</v>
      </c>
      <c r="AD109" s="1">
        <v>17</v>
      </c>
      <c r="AE109" s="279">
        <f ca="1">37+$A$33-$A$32</f>
        <v>601</v>
      </c>
      <c r="AF109" s="73"/>
      <c r="AG109" s="322"/>
      <c r="AH109" s="322"/>
      <c r="AI109" s="329">
        <v>6</v>
      </c>
      <c r="AJ109" s="324">
        <v>6.99</v>
      </c>
      <c r="AK109" s="330">
        <v>4</v>
      </c>
      <c r="AL109" s="320">
        <v>6.99</v>
      </c>
      <c r="AM109" s="328">
        <v>4</v>
      </c>
      <c r="AN109" s="316">
        <v>4.99</v>
      </c>
      <c r="AO109" s="328">
        <v>2</v>
      </c>
      <c r="AP109" s="316">
        <v>2.99</v>
      </c>
      <c r="AQ109" s="329">
        <v>4</v>
      </c>
      <c r="AR109" s="314">
        <v>4.99</v>
      </c>
      <c r="AS109" s="322"/>
      <c r="AT109" s="322"/>
    </row>
    <row r="110" spans="29:46" ht="15.75" x14ac:dyDescent="0.25">
      <c r="AC110" s="303" t="s">
        <v>347</v>
      </c>
      <c r="AD110" s="1">
        <v>17</v>
      </c>
      <c r="AE110" s="279">
        <v>1</v>
      </c>
      <c r="AF110" s="73"/>
      <c r="AG110" s="322"/>
      <c r="AH110" s="319">
        <v>1.99</v>
      </c>
      <c r="AI110" s="328">
        <v>2</v>
      </c>
      <c r="AJ110" s="316">
        <v>2.99</v>
      </c>
      <c r="AK110" s="329">
        <v>4</v>
      </c>
      <c r="AL110" s="314">
        <v>4.99</v>
      </c>
      <c r="AM110" s="329">
        <v>4</v>
      </c>
      <c r="AN110" s="314">
        <v>4.99</v>
      </c>
      <c r="AO110" s="329">
        <v>5</v>
      </c>
      <c r="AP110" s="315">
        <v>5.99</v>
      </c>
      <c r="AQ110" s="328">
        <v>2</v>
      </c>
      <c r="AR110" s="316">
        <v>2.99</v>
      </c>
      <c r="AS110" s="322"/>
      <c r="AT110" s="322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71" priority="1" operator="between">
      <formula>1</formula>
      <formula>50</formula>
    </cfRule>
  </conditionalFormatting>
  <conditionalFormatting sqref="E8">
    <cfRule type="cellIs" dxfId="70" priority="2" operator="greaterThan">
      <formula>50</formula>
    </cfRule>
  </conditionalFormatting>
  <conditionalFormatting sqref="E8">
    <cfRule type="cellIs" dxfId="69" priority="3" operator="lessThan">
      <formula>1</formula>
    </cfRule>
  </conditionalFormatting>
  <conditionalFormatting sqref="E20">
    <cfRule type="cellIs" dxfId="68" priority="4" operator="between">
      <formula>1</formula>
      <formula>50</formula>
    </cfRule>
  </conditionalFormatting>
  <conditionalFormatting sqref="E20">
    <cfRule type="cellIs" dxfId="67" priority="5" operator="greaterThan">
      <formula>50</formula>
    </cfRule>
  </conditionalFormatting>
  <conditionalFormatting sqref="E20">
    <cfRule type="cellIs" dxfId="66" priority="6" operator="lessThan">
      <formula>1</formula>
    </cfRule>
  </conditionalFormatting>
  <conditionalFormatting sqref="E20">
    <cfRule type="cellIs" dxfId="65" priority="7" operator="between">
      <formula>1</formula>
      <formula>50</formula>
    </cfRule>
  </conditionalFormatting>
  <conditionalFormatting sqref="E20">
    <cfRule type="cellIs" dxfId="64" priority="8" operator="greaterThan">
      <formula>50</formula>
    </cfRule>
  </conditionalFormatting>
  <conditionalFormatting sqref="E20">
    <cfRule type="cellIs" dxfId="63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2" priority="11" operator="between">
      <formula>1</formula>
      <formula>50</formula>
    </cfRule>
  </conditionalFormatting>
  <conditionalFormatting sqref="E26">
    <cfRule type="cellIs" dxfId="61" priority="12" operator="greaterThan">
      <formula>50</formula>
    </cfRule>
  </conditionalFormatting>
  <conditionalFormatting sqref="E26">
    <cfRule type="cellIs" dxfId="60" priority="13" operator="lessThan">
      <formula>1</formula>
    </cfRule>
  </conditionalFormatting>
  <conditionalFormatting sqref="E25">
    <cfRule type="cellIs" dxfId="59" priority="14" operator="between">
      <formula>1</formula>
      <formula>50</formula>
    </cfRule>
  </conditionalFormatting>
  <conditionalFormatting sqref="E25">
    <cfRule type="cellIs" dxfId="58" priority="15" operator="greaterThan">
      <formula>50</formula>
    </cfRule>
  </conditionalFormatting>
  <conditionalFormatting sqref="E25">
    <cfRule type="cellIs" dxfId="57" priority="16" operator="lessThan">
      <formula>1</formula>
    </cfRule>
  </conditionalFormatting>
  <conditionalFormatting sqref="E24">
    <cfRule type="cellIs" dxfId="56" priority="17" operator="between">
      <formula>1</formula>
      <formula>50</formula>
    </cfRule>
  </conditionalFormatting>
  <conditionalFormatting sqref="E24">
    <cfRule type="cellIs" dxfId="55" priority="18" operator="greaterThan">
      <formula>50</formula>
    </cfRule>
  </conditionalFormatting>
  <conditionalFormatting sqref="E24">
    <cfRule type="cellIs" dxfId="54" priority="19" operator="lessThan">
      <formula>1</formula>
    </cfRule>
  </conditionalFormatting>
  <conditionalFormatting sqref="E23">
    <cfRule type="cellIs" dxfId="53" priority="20" operator="between">
      <formula>1</formula>
      <formula>50</formula>
    </cfRule>
  </conditionalFormatting>
  <conditionalFormatting sqref="E23">
    <cfRule type="cellIs" dxfId="52" priority="21" operator="greaterThan">
      <formula>50</formula>
    </cfRule>
  </conditionalFormatting>
  <conditionalFormatting sqref="E23">
    <cfRule type="cellIs" dxfId="51" priority="22" operator="lessThan">
      <formula>1</formula>
    </cfRule>
  </conditionalFormatting>
  <conditionalFormatting sqref="E22">
    <cfRule type="cellIs" dxfId="50" priority="23" operator="between">
      <formula>1</formula>
      <formula>50</formula>
    </cfRule>
  </conditionalFormatting>
  <conditionalFormatting sqref="E22">
    <cfRule type="cellIs" dxfId="49" priority="24" operator="greaterThan">
      <formula>50</formula>
    </cfRule>
  </conditionalFormatting>
  <conditionalFormatting sqref="E22">
    <cfRule type="cellIs" dxfId="48" priority="25" operator="lessThan">
      <formula>1</formula>
    </cfRule>
  </conditionalFormatting>
  <conditionalFormatting sqref="E18">
    <cfRule type="cellIs" dxfId="47" priority="26" operator="between">
      <formula>1</formula>
      <formula>50</formula>
    </cfRule>
  </conditionalFormatting>
  <conditionalFormatting sqref="E18">
    <cfRule type="cellIs" dxfId="46" priority="27" operator="greaterThan">
      <formula>50</formula>
    </cfRule>
  </conditionalFormatting>
  <conditionalFormatting sqref="E18">
    <cfRule type="cellIs" dxfId="45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4" priority="30" operator="between">
      <formula>1</formula>
      <formula>50</formula>
    </cfRule>
  </conditionalFormatting>
  <conditionalFormatting sqref="E19">
    <cfRule type="cellIs" dxfId="43" priority="31" operator="greaterThan">
      <formula>50</formula>
    </cfRule>
  </conditionalFormatting>
  <conditionalFormatting sqref="E19">
    <cfRule type="cellIs" dxfId="42" priority="32" operator="lessThan">
      <formula>1</formula>
    </cfRule>
  </conditionalFormatting>
  <conditionalFormatting sqref="E6:E9 E13:E14 E18:E21 E27:E29">
    <cfRule type="cellIs" dxfId="41" priority="33" operator="between">
      <formula>1</formula>
      <formula>50</formula>
    </cfRule>
  </conditionalFormatting>
  <conditionalFormatting sqref="E6:E9 E13:E14 E18:E21 E27:E29">
    <cfRule type="cellIs" dxfId="40" priority="34" operator="greaterThan">
      <formula>50</formula>
    </cfRule>
  </conditionalFormatting>
  <conditionalFormatting sqref="E6:E9 E13:E14 E18:E21 E27:E29">
    <cfRule type="cellIs" dxfId="39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T10" sqref="T10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107820</v>
      </c>
      <c r="O2" s="50">
        <f>SUM(O4:O17)</f>
        <v>106854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  <c r="AI3" s="4" t="s">
        <v>355</v>
      </c>
    </row>
    <row r="4" spans="1:35" x14ac:dyDescent="0.25">
      <c r="A4" s="246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7"/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7">
        <f t="shared" si="1"/>
        <v>0</v>
      </c>
      <c r="AD4" s="50">
        <f t="shared" ref="AD4:AD10" si="2">AC4*1.2</f>
        <v>0</v>
      </c>
      <c r="AF4" s="58" t="s">
        <v>356</v>
      </c>
      <c r="AG4">
        <v>32</v>
      </c>
      <c r="AI4" t="s">
        <v>357</v>
      </c>
    </row>
    <row r="5" spans="1:35" x14ac:dyDescent="0.25">
      <c r="A5" s="246" t="s">
        <v>155</v>
      </c>
      <c r="B5" s="70" t="s">
        <v>37</v>
      </c>
      <c r="C5" s="71"/>
      <c r="D5" s="71" t="s">
        <v>358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  <c r="AI5" t="s">
        <v>359</v>
      </c>
    </row>
    <row r="6" spans="1:35" x14ac:dyDescent="0.25">
      <c r="A6" s="246" t="s">
        <v>164</v>
      </c>
      <c r="B6" s="70" t="s">
        <v>37</v>
      </c>
      <c r="C6" s="71"/>
      <c r="D6" s="71" t="s">
        <v>358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17</v>
      </c>
      <c r="AI6" t="s">
        <v>360</v>
      </c>
    </row>
    <row r="7" spans="1:35" x14ac:dyDescent="0.25">
      <c r="A7" s="246" t="s">
        <v>166</v>
      </c>
      <c r="B7" s="70" t="s">
        <v>37</v>
      </c>
      <c r="C7" s="71"/>
      <c r="D7" s="71" t="s">
        <v>358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49</v>
      </c>
      <c r="AI7" t="s">
        <v>362</v>
      </c>
    </row>
    <row r="8" spans="1:35" x14ac:dyDescent="0.25">
      <c r="A8" s="246" t="s">
        <v>363</v>
      </c>
      <c r="B8" s="70" t="s">
        <v>37</v>
      </c>
      <c r="C8" s="71"/>
      <c r="D8" s="71" t="s">
        <v>358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7"/>
      <c r="O8" s="50"/>
      <c r="Q8" s="246" t="s">
        <v>363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7">
        <f t="shared" si="1"/>
        <v>0</v>
      </c>
      <c r="AD8" s="50">
        <f t="shared" si="2"/>
        <v>0</v>
      </c>
      <c r="AF8" s="58" t="s">
        <v>364</v>
      </c>
      <c r="AG8" s="72">
        <f>AG7/16</f>
        <v>3.0625</v>
      </c>
    </row>
    <row r="9" spans="1:35" x14ac:dyDescent="0.25">
      <c r="A9" s="246" t="s">
        <v>365</v>
      </c>
      <c r="B9" s="70" t="s">
        <v>37</v>
      </c>
      <c r="C9" s="71"/>
      <c r="D9" s="71" t="s">
        <v>358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7"/>
      <c r="O9" s="50"/>
      <c r="Q9" s="246" t="s">
        <v>365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7">
        <f t="shared" si="1"/>
        <v>0</v>
      </c>
      <c r="AD9" s="50">
        <f t="shared" si="2"/>
        <v>0</v>
      </c>
    </row>
    <row r="10" spans="1:35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v>18</v>
      </c>
      <c r="F10" s="71">
        <v>64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>
        <v>870</v>
      </c>
      <c r="Q10" s="246" t="s">
        <v>366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17.666666666666668</v>
      </c>
      <c r="AC10" s="97">
        <f>(20000+1500+125+125)*1.02</f>
        <v>22185</v>
      </c>
      <c r="AD10" s="50">
        <f t="shared" si="2"/>
        <v>26622</v>
      </c>
    </row>
    <row r="11" spans="1:35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v>18</v>
      </c>
      <c r="F11" s="71">
        <v>7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O11" s="50">
        <f>N11*1.2</f>
        <v>12804</v>
      </c>
      <c r="Q11" s="246" t="s">
        <v>170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16.5</v>
      </c>
      <c r="AC11" s="97">
        <f>(14490+3125+145)*1.008</f>
        <v>17902.080000000002</v>
      </c>
      <c r="AD11" s="50">
        <f>AC11</f>
        <v>17902.080000000002</v>
      </c>
    </row>
    <row r="12" spans="1:35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v>18</v>
      </c>
      <c r="F12" s="71">
        <v>80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>
        <f>N12*1.2</f>
        <v>28209.599999999999</v>
      </c>
      <c r="Q12" s="246" t="s">
        <v>174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15.666666666666666</v>
      </c>
      <c r="AC12" s="97">
        <f>(23500+2295+125)*1</f>
        <v>25920</v>
      </c>
      <c r="AD12" s="50">
        <f>AC12*1.2</f>
        <v>31104</v>
      </c>
    </row>
    <row r="13" spans="1:35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v>18</v>
      </c>
      <c r="F13" s="71">
        <v>80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>
        <f>N13*1.2</f>
        <v>28900.799999999999</v>
      </c>
      <c r="Q13" s="246" t="s">
        <v>178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18.166666666666668</v>
      </c>
      <c r="AC13" s="97">
        <f>(23500+2295+125+125)*1.02</f>
        <v>26565.9</v>
      </c>
      <c r="AD13" s="50">
        <f>AC13*1.2</f>
        <v>31879.08</v>
      </c>
    </row>
    <row r="14" spans="1:35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PLANTILLA!G13</f>
        <v>IMP</v>
      </c>
      <c r="E14" s="71">
        <v>18</v>
      </c>
      <c r="F14" s="71">
        <v>66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>
        <f>N14*1.2</f>
        <v>15537.599999999999</v>
      </c>
      <c r="Q14" s="246" t="s">
        <v>181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18.399999999999999</v>
      </c>
      <c r="AC14" s="97">
        <f>(20000+165+1020)*1.023</f>
        <v>21672.254999999997</v>
      </c>
      <c r="AD14" s="50">
        <f>AC14*1.2</f>
        <v>26006.705999999995</v>
      </c>
    </row>
    <row r="15" spans="1:35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v>19</v>
      </c>
      <c r="F15" s="71">
        <v>9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>
        <f>N15*1.2</f>
        <v>20532</v>
      </c>
      <c r="Q15" s="246" t="s">
        <v>176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16.25</v>
      </c>
      <c r="AC15" s="97">
        <f>(20000+1020+225+125)*1.008</f>
        <v>21540.959999999999</v>
      </c>
      <c r="AD15" s="50">
        <f>AC15</f>
        <v>21540.959999999999</v>
      </c>
    </row>
    <row r="16" spans="1:35" x14ac:dyDescent="0.25">
      <c r="A16" s="246" t="s">
        <v>368</v>
      </c>
      <c r="B16" s="70" t="s">
        <v>140</v>
      </c>
      <c r="C16" s="71"/>
      <c r="D16" s="71" t="s">
        <v>369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7">
        <f>N16</f>
        <v>0</v>
      </c>
      <c r="AD16" s="50">
        <f>AC16*1.2</f>
        <v>0</v>
      </c>
    </row>
    <row r="17" spans="1:33" x14ac:dyDescent="0.25">
      <c r="A17" s="246" t="s">
        <v>172</v>
      </c>
      <c r="B17" s="70" t="s">
        <v>140</v>
      </c>
      <c r="C17" s="71"/>
      <c r="D17" s="71" t="s">
        <v>369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7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0</v>
      </c>
    </row>
    <row r="21" spans="1:33" x14ac:dyDescent="0.25">
      <c r="A21" s="246" t="str">
        <f t="shared" ref="A21:B34" si="7">A4</f>
        <v>#1</v>
      </c>
      <c r="B21" s="70" t="str">
        <f t="shared" si="7"/>
        <v>POR</v>
      </c>
      <c r="C21" s="71" t="s">
        <v>370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7">
        <f>(24270+125)*1.012</f>
        <v>24687.74</v>
      </c>
      <c r="O21" s="97">
        <f t="shared" ref="O21:O26" si="8">N21*1.2</f>
        <v>29625.288</v>
      </c>
      <c r="Q21" s="246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7">
        <f>(24270+125)*1.047</f>
        <v>25541.564999999999</v>
      </c>
      <c r="AD21" s="50">
        <f t="shared" ref="AD21:AD34" si="16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7"/>
        <v>#2</v>
      </c>
      <c r="B22" s="70" t="str">
        <f t="shared" si="7"/>
        <v>DEF</v>
      </c>
      <c r="C22" s="71" t="s">
        <v>371</v>
      </c>
      <c r="D22" s="71" t="s">
        <v>157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7">
        <f>(18370+135+245)*1.012</f>
        <v>18975</v>
      </c>
      <c r="O22" s="97">
        <f t="shared" si="8"/>
        <v>22770</v>
      </c>
      <c r="Q22" s="246" t="s">
        <v>155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7">
        <f>(18370+135+245)*1.04</f>
        <v>19500</v>
      </c>
      <c r="AD22" s="50">
        <f t="shared" si="16"/>
        <v>23400</v>
      </c>
      <c r="AF22" s="58" t="s">
        <v>198</v>
      </c>
      <c r="AG22">
        <v>16</v>
      </c>
    </row>
    <row r="23" spans="1:33" x14ac:dyDescent="0.25">
      <c r="A23" s="246" t="str">
        <f t="shared" si="7"/>
        <v>#3</v>
      </c>
      <c r="B23" s="70" t="str">
        <f t="shared" si="7"/>
        <v>DEF</v>
      </c>
      <c r="C23" s="71" t="s">
        <v>371</v>
      </c>
      <c r="D23" s="71" t="s">
        <v>157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7">
        <f>(18370+135+245)*1.012</f>
        <v>18975</v>
      </c>
      <c r="O23" s="97">
        <f t="shared" si="8"/>
        <v>22770</v>
      </c>
      <c r="Q23" s="246" t="s">
        <v>164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7">
        <f>(18370+135+245)*1.04</f>
        <v>19500</v>
      </c>
      <c r="AD23" s="50">
        <f t="shared" si="16"/>
        <v>23400</v>
      </c>
      <c r="AF23" s="58" t="s">
        <v>197</v>
      </c>
      <c r="AG23">
        <v>0</v>
      </c>
    </row>
    <row r="24" spans="1:33" x14ac:dyDescent="0.25">
      <c r="A24" s="246" t="str">
        <f t="shared" si="7"/>
        <v>#4</v>
      </c>
      <c r="B24" s="70" t="str">
        <f t="shared" si="7"/>
        <v>DEF</v>
      </c>
      <c r="C24" s="71" t="s">
        <v>371</v>
      </c>
      <c r="D24" s="71" t="s">
        <v>157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7">
        <f>(18370+135+245)*1.012</f>
        <v>18975</v>
      </c>
      <c r="O24" s="97">
        <f t="shared" si="8"/>
        <v>22770</v>
      </c>
      <c r="Q24" s="246" t="s">
        <v>166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7">
        <f>(18370+135+245)*1.04</f>
        <v>19500</v>
      </c>
      <c r="AD24" s="50">
        <f t="shared" si="16"/>
        <v>23400</v>
      </c>
      <c r="AF24" s="58" t="s">
        <v>361</v>
      </c>
      <c r="AG24">
        <f>AG22+AG21+AG20+AG23</f>
        <v>16</v>
      </c>
    </row>
    <row r="25" spans="1:33" x14ac:dyDescent="0.25">
      <c r="A25" s="246" t="str">
        <f t="shared" si="7"/>
        <v>#5</v>
      </c>
      <c r="B25" s="70" t="str">
        <f t="shared" si="7"/>
        <v>DEF</v>
      </c>
      <c r="C25" s="71" t="s">
        <v>371</v>
      </c>
      <c r="D25" s="71" t="s">
        <v>157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7">
        <f>(18370+135+245)*1.012</f>
        <v>18975</v>
      </c>
      <c r="O25" s="97">
        <f t="shared" si="8"/>
        <v>22770</v>
      </c>
      <c r="Q25" s="246" t="s">
        <v>363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7">
        <f>(18370+135+245)*1.04</f>
        <v>19500</v>
      </c>
      <c r="AD25" s="50">
        <f t="shared" si="16"/>
        <v>23400</v>
      </c>
      <c r="AF25" s="58" t="s">
        <v>364</v>
      </c>
      <c r="AG25" s="72">
        <f>AG24/16</f>
        <v>1</v>
      </c>
    </row>
    <row r="26" spans="1:33" x14ac:dyDescent="0.25">
      <c r="A26" s="246" t="str">
        <f t="shared" si="7"/>
        <v>#6</v>
      </c>
      <c r="B26" s="70" t="str">
        <f t="shared" si="7"/>
        <v>DEF</v>
      </c>
      <c r="C26" s="71" t="s">
        <v>371</v>
      </c>
      <c r="D26" s="71" t="s">
        <v>157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7">
        <f>(18370+135+245)*1.012</f>
        <v>18975</v>
      </c>
      <c r="O26" s="97">
        <f t="shared" si="8"/>
        <v>22770</v>
      </c>
      <c r="Q26" s="246" t="s">
        <v>365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7">
        <f>(18370+135+245)*1.04</f>
        <v>19500</v>
      </c>
      <c r="AD26" s="50">
        <f t="shared" si="16"/>
        <v>23400</v>
      </c>
    </row>
    <row r="27" spans="1:33" x14ac:dyDescent="0.25">
      <c r="A27" s="246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17.666666666666668</v>
      </c>
      <c r="N27" s="97">
        <f t="shared" si="24"/>
        <v>22185</v>
      </c>
      <c r="O27" s="97">
        <f t="shared" si="24"/>
        <v>26622</v>
      </c>
      <c r="Q27" s="246" t="s">
        <v>366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7">
        <f>(20000+1500+125+125)*1.043</f>
        <v>22685.25</v>
      </c>
      <c r="AD27" s="50">
        <f t="shared" si="16"/>
        <v>27222.3</v>
      </c>
    </row>
    <row r="28" spans="1:33" x14ac:dyDescent="0.25">
      <c r="A28" s="246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16.5</v>
      </c>
      <c r="N28" s="97">
        <f t="shared" si="24"/>
        <v>17902.080000000002</v>
      </c>
      <c r="O28" s="97">
        <f t="shared" si="24"/>
        <v>17902.080000000002</v>
      </c>
      <c r="Q28" s="246" t="s">
        <v>170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7">
        <f>(14490+3125+145)*1.038</f>
        <v>18434.88</v>
      </c>
      <c r="AD28" s="50">
        <f t="shared" si="16"/>
        <v>22121.856</v>
      </c>
    </row>
    <row r="29" spans="1:33" x14ac:dyDescent="0.25">
      <c r="A29" s="246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15.666666666666666</v>
      </c>
      <c r="N29" s="97">
        <f t="shared" si="24"/>
        <v>25920</v>
      </c>
      <c r="O29" s="97">
        <f t="shared" si="24"/>
        <v>31104</v>
      </c>
      <c r="Q29" s="246" t="s">
        <v>174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7">
        <f>(23500+2295+125)*1.035</f>
        <v>26827.199999999997</v>
      </c>
      <c r="AD29" s="50">
        <f t="shared" si="16"/>
        <v>32192.639999999996</v>
      </c>
    </row>
    <row r="30" spans="1:33" x14ac:dyDescent="0.25">
      <c r="A30" s="246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18.166666666666668</v>
      </c>
      <c r="N30" s="97">
        <f t="shared" si="24"/>
        <v>26565.9</v>
      </c>
      <c r="O30" s="97">
        <f t="shared" si="24"/>
        <v>31879.08</v>
      </c>
      <c r="Q30" s="246" t="s">
        <v>178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7">
        <f>(23500+2295+125+125)*1.043</f>
        <v>27164.934999999998</v>
      </c>
      <c r="AD30" s="50">
        <f t="shared" si="16"/>
        <v>32597.921999999995</v>
      </c>
    </row>
    <row r="31" spans="1:33" x14ac:dyDescent="0.25">
      <c r="A31" s="246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18.399999999999999</v>
      </c>
      <c r="N31" s="97">
        <f t="shared" si="24"/>
        <v>21672.254999999997</v>
      </c>
      <c r="O31" s="97">
        <f t="shared" si="24"/>
        <v>26006.705999999995</v>
      </c>
      <c r="Q31" s="246" t="s">
        <v>181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7">
        <f>(20000+1020+225)*1.047</f>
        <v>22243.514999999999</v>
      </c>
      <c r="AD31" s="50">
        <f t="shared" si="16"/>
        <v>26692.217999999997</v>
      </c>
    </row>
    <row r="32" spans="1:33" x14ac:dyDescent="0.25">
      <c r="A32" s="246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16.25</v>
      </c>
      <c r="N32" s="97">
        <f t="shared" si="24"/>
        <v>21540.959999999999</v>
      </c>
      <c r="O32" s="97">
        <f t="shared" si="24"/>
        <v>21540.959999999999</v>
      </c>
      <c r="Q32" s="246" t="s">
        <v>176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7">
        <f>(20000+1020+225+125)*1.038</f>
        <v>22182.06</v>
      </c>
      <c r="AD32" s="50">
        <f t="shared" si="16"/>
        <v>26618.472000000002</v>
      </c>
    </row>
    <row r="33" spans="1:30" x14ac:dyDescent="0.25">
      <c r="A33" s="246" t="str">
        <f t="shared" si="7"/>
        <v>#13</v>
      </c>
      <c r="B33" s="70" t="str">
        <f t="shared" si="7"/>
        <v>DD</v>
      </c>
      <c r="C33" s="71" t="s">
        <v>372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7">
        <f>(22400+2295)*1.03</f>
        <v>25435.850000000002</v>
      </c>
      <c r="O33" s="97">
        <f>N33*1.2</f>
        <v>30523.02</v>
      </c>
      <c r="Q33" s="246" t="s">
        <v>368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7">
        <f>(22400+2295)*1.048</f>
        <v>25880.36</v>
      </c>
      <c r="AD33" s="50">
        <f t="shared" si="16"/>
        <v>31056.432000000001</v>
      </c>
    </row>
    <row r="34" spans="1:30" x14ac:dyDescent="0.25">
      <c r="A34" s="246" t="str">
        <f t="shared" si="7"/>
        <v>#14</v>
      </c>
      <c r="B34" s="70" t="str">
        <f t="shared" si="7"/>
        <v>DD</v>
      </c>
      <c r="C34" s="71" t="s">
        <v>372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7">
        <f>(22400+2295)*1.03</f>
        <v>25435.850000000002</v>
      </c>
      <c r="O34" s="97">
        <f>N34*1.2</f>
        <v>30523.02</v>
      </c>
      <c r="Q34" s="246" t="s">
        <v>172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7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F3" sqref="AF3:AG8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157662</v>
      </c>
      <c r="O2" s="50">
        <f>SUM(O4:O17)</f>
        <v>0</v>
      </c>
      <c r="R2" s="58"/>
      <c r="AC2" s="50">
        <f>SUM(AC4:AC17)</f>
        <v>124249.23999999999</v>
      </c>
      <c r="AD2" s="50">
        <f>SUM(AD4:AD17)</f>
        <v>149099.08799999999</v>
      </c>
    </row>
    <row r="3" spans="1:33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</row>
    <row r="4" spans="1:33" x14ac:dyDescent="0.25">
      <c r="A4" s="246" t="s">
        <v>145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161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15</v>
      </c>
      <c r="W4" s="87">
        <f t="shared" si="1"/>
        <v>5</v>
      </c>
      <c r="X4" s="87">
        <f t="shared" si="1"/>
        <v>2</v>
      </c>
      <c r="Y4" s="87">
        <f t="shared" si="1"/>
        <v>1</v>
      </c>
      <c r="Z4" s="87">
        <f t="shared" si="1"/>
        <v>5</v>
      </c>
      <c r="AA4" s="87">
        <f t="shared" si="1"/>
        <v>3.1428571428571428</v>
      </c>
      <c r="AB4" s="87">
        <f t="shared" si="1"/>
        <v>20.125</v>
      </c>
      <c r="AC4" s="97">
        <f t="shared" si="1"/>
        <v>30828</v>
      </c>
      <c r="AD4" s="50">
        <f t="shared" ref="AD4:AD17" si="2">AC4*1.2</f>
        <v>36993.599999999999</v>
      </c>
      <c r="AF4" s="58" t="s">
        <v>356</v>
      </c>
      <c r="AG4">
        <v>16</v>
      </c>
    </row>
    <row r="5" spans="1:33" x14ac:dyDescent="0.25">
      <c r="A5" s="246" t="s">
        <v>155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</row>
    <row r="6" spans="1:33" x14ac:dyDescent="0.25">
      <c r="A6" s="246" t="s">
        <v>164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0</v>
      </c>
    </row>
    <row r="7" spans="1:33" x14ac:dyDescent="0.25">
      <c r="A7" s="246" t="s">
        <v>166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16</v>
      </c>
    </row>
    <row r="8" spans="1:33" x14ac:dyDescent="0.25">
      <c r="A8" s="246" t="s">
        <v>363</v>
      </c>
      <c r="B8" s="70" t="s">
        <v>37</v>
      </c>
      <c r="C8" s="228" t="str">
        <f>PLANTILLA!D11</f>
        <v>V. Gardner</v>
      </c>
      <c r="D8" s="71"/>
      <c r="E8" s="71">
        <f>PLANTILLA!E11</f>
        <v>22</v>
      </c>
      <c r="F8" s="140">
        <f ca="1">PLANTILLA!F11</f>
        <v>202</v>
      </c>
      <c r="G8" s="87">
        <f>PLANTILLA!X11</f>
        <v>0</v>
      </c>
      <c r="H8" s="87">
        <f>PLANTILLA!Y11</f>
        <v>12</v>
      </c>
      <c r="I8" s="87">
        <f>PLANTILLA!Z11</f>
        <v>6.125</v>
      </c>
      <c r="J8" s="87">
        <f>PLANTILLA!AA11</f>
        <v>3</v>
      </c>
      <c r="K8" s="87">
        <f>PLANTILLA!AB11</f>
        <v>5</v>
      </c>
      <c r="L8" s="87">
        <f>PLANTILLA!AC11</f>
        <v>6.2</v>
      </c>
      <c r="M8" s="87">
        <f>PLANTILLA!AD11</f>
        <v>17.25</v>
      </c>
      <c r="N8" s="97">
        <f>PLANTILLA!V11</f>
        <v>9450</v>
      </c>
      <c r="O8" s="50"/>
      <c r="Q8" s="246" t="s">
        <v>363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202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6.2</v>
      </c>
      <c r="AB8" s="87">
        <f t="shared" si="7"/>
        <v>17.25</v>
      </c>
      <c r="AC8" s="97">
        <f t="shared" si="7"/>
        <v>9450</v>
      </c>
      <c r="AD8" s="50">
        <f t="shared" si="2"/>
        <v>11340</v>
      </c>
      <c r="AF8" s="58" t="s">
        <v>364</v>
      </c>
      <c r="AG8" s="72">
        <f>AG7/16</f>
        <v>1</v>
      </c>
    </row>
    <row r="9" spans="1:33" x14ac:dyDescent="0.25">
      <c r="A9" s="246" t="s">
        <v>365</v>
      </c>
      <c r="B9" s="70" t="s">
        <v>37</v>
      </c>
      <c r="C9" s="228" t="str">
        <f>PLANTILLA!D10</f>
        <v>A. Grimaud</v>
      </c>
      <c r="D9" s="71" t="str">
        <f>PLANTILLA!G10</f>
        <v>RAP</v>
      </c>
      <c r="E9" s="71">
        <f>PLANTILLA!E10</f>
        <v>22</v>
      </c>
      <c r="F9" s="140">
        <f ca="1">PLANTILLA!F10</f>
        <v>213</v>
      </c>
      <c r="G9" s="87">
        <f>PLANTILLA!X10</f>
        <v>0</v>
      </c>
      <c r="H9" s="87">
        <f>PLANTILLA!Y10</f>
        <v>12</v>
      </c>
      <c r="I9" s="87">
        <f>PLANTILLA!Z10</f>
        <v>7.3</v>
      </c>
      <c r="J9" s="87">
        <f>PLANTILLA!AA10</f>
        <v>3</v>
      </c>
      <c r="K9" s="87">
        <f>PLANTILLA!AB10</f>
        <v>3</v>
      </c>
      <c r="L9" s="87">
        <f>PLANTILLA!AC10</f>
        <v>5.25</v>
      </c>
      <c r="M9" s="87">
        <f>PLANTILLA!AD10</f>
        <v>15.666666666666666</v>
      </c>
      <c r="N9" s="97">
        <f>PLANTILLA!V10</f>
        <v>9564</v>
      </c>
      <c r="O9" s="50"/>
      <c r="Q9" s="246" t="s">
        <v>365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213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5.25</v>
      </c>
      <c r="AB9" s="87">
        <f t="shared" si="7"/>
        <v>15.666666666666666</v>
      </c>
      <c r="AC9" s="97">
        <f t="shared" si="7"/>
        <v>9564</v>
      </c>
      <c r="AD9" s="50">
        <f t="shared" si="2"/>
        <v>11476.8</v>
      </c>
    </row>
    <row r="10" spans="1:33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189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/>
      <c r="Q10" s="246" t="s">
        <v>366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189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7.2</v>
      </c>
      <c r="AB10" s="87">
        <f t="shared" si="9"/>
        <v>17.666666666666668</v>
      </c>
      <c r="AC10" s="97">
        <f>(13500+245+125+125)*1.02</f>
        <v>14274.9</v>
      </c>
      <c r="AD10" s="50">
        <f t="shared" si="2"/>
        <v>17129.879999999997</v>
      </c>
    </row>
    <row r="11" spans="1:33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22</v>
      </c>
      <c r="F11" s="140">
        <f ca="1">PLANTILLA!F15</f>
        <v>132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O11" s="50"/>
      <c r="Q11" s="246" t="s">
        <v>170</v>
      </c>
      <c r="R11" s="70" t="str">
        <f t="shared" si="0"/>
        <v>Inners</v>
      </c>
      <c r="S11" s="71" t="str">
        <f t="shared" si="8"/>
        <v>RAP</v>
      </c>
      <c r="T11" s="71">
        <f t="shared" si="3"/>
        <v>23</v>
      </c>
      <c r="U11" s="71">
        <f t="shared" ca="1" si="4"/>
        <v>132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9.1428571428571423</v>
      </c>
      <c r="AB11" s="87">
        <f t="shared" si="9"/>
        <v>16.5</v>
      </c>
      <c r="AC11" s="97">
        <f>(8670+750+145)*1.008</f>
        <v>9641.52</v>
      </c>
      <c r="AD11" s="50">
        <f t="shared" si="2"/>
        <v>11569.824000000001</v>
      </c>
    </row>
    <row r="12" spans="1:33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205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/>
      <c r="Q12" s="246" t="s">
        <v>174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205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8.1666666666666661</v>
      </c>
      <c r="AB12" s="87">
        <f t="shared" si="9"/>
        <v>15.666666666666666</v>
      </c>
      <c r="AC12" s="97">
        <f>(14490+405+125+125)*1</f>
        <v>15145</v>
      </c>
      <c r="AD12" s="50">
        <f t="shared" si="2"/>
        <v>18174</v>
      </c>
    </row>
    <row r="13" spans="1:33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205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/>
      <c r="Q13" s="246" t="s">
        <v>178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205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8.1666666666666661</v>
      </c>
      <c r="AB13" s="87">
        <f t="shared" si="9"/>
        <v>18.166666666666668</v>
      </c>
      <c r="AC13" s="97">
        <f>(14550+405+125+155)*1.02</f>
        <v>15539.7</v>
      </c>
      <c r="AD13" s="50">
        <f t="shared" si="2"/>
        <v>18647.64</v>
      </c>
    </row>
    <row r="14" spans="1:33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191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/>
      <c r="Q14" s="246" t="s">
        <v>181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191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6.2</v>
      </c>
      <c r="AB14" s="87">
        <f t="shared" si="9"/>
        <v>18.399999999999999</v>
      </c>
      <c r="AC14" s="97">
        <f>(8670+165+165)*1.023</f>
        <v>9207</v>
      </c>
      <c r="AD14" s="50">
        <f t="shared" si="2"/>
        <v>11048.4</v>
      </c>
    </row>
    <row r="15" spans="1:33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134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/>
      <c r="Q15" s="246" t="s">
        <v>176</v>
      </c>
      <c r="R15" s="70" t="str">
        <f t="shared" si="0"/>
        <v>Inners</v>
      </c>
      <c r="S15" s="71" t="str">
        <f t="shared" si="8"/>
        <v>POT</v>
      </c>
      <c r="T15" s="71">
        <f t="shared" si="3"/>
        <v>24</v>
      </c>
      <c r="U15" s="71">
        <f t="shared" ca="1" si="4"/>
        <v>134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6.2</v>
      </c>
      <c r="AB15" s="87">
        <f t="shared" si="9"/>
        <v>16.25</v>
      </c>
      <c r="AC15" s="97">
        <f>(10000+225+125+165)*1.008</f>
        <v>10599.12</v>
      </c>
      <c r="AD15" s="50">
        <f t="shared" si="2"/>
        <v>12718.944000000001</v>
      </c>
    </row>
    <row r="16" spans="1:33" x14ac:dyDescent="0.25">
      <c r="A16" s="246" t="s">
        <v>368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7">
        <f>N16</f>
        <v>0</v>
      </c>
      <c r="AD16" s="50">
        <f t="shared" si="2"/>
        <v>0</v>
      </c>
    </row>
    <row r="17" spans="1:33" x14ac:dyDescent="0.25">
      <c r="A17" s="246" t="s">
        <v>172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7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24</v>
      </c>
    </row>
    <row r="21" spans="1:33" x14ac:dyDescent="0.25">
      <c r="A21" s="246" t="str">
        <f t="shared" ref="A21:B32" si="10">A4</f>
        <v>#1</v>
      </c>
      <c r="B21" s="70" t="str">
        <f t="shared" si="10"/>
        <v>POR</v>
      </c>
      <c r="C21" s="71" t="s">
        <v>370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1</v>
      </c>
      <c r="K21" s="87">
        <f>Z4</f>
        <v>5</v>
      </c>
      <c r="L21" s="87">
        <f>AA4</f>
        <v>3.1428571428571428</v>
      </c>
      <c r="M21" s="87">
        <v>4</v>
      </c>
      <c r="N21" s="97">
        <f>(24270+125)*1.012</f>
        <v>24687.74</v>
      </c>
      <c r="O21" s="97">
        <f t="shared" ref="O21:O32" si="11">N21*1.2</f>
        <v>29625.288</v>
      </c>
      <c r="Q21" s="246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1</v>
      </c>
      <c r="Z21" s="87">
        <f t="shared" si="14"/>
        <v>5</v>
      </c>
      <c r="AA21" s="87">
        <f t="shared" si="14"/>
        <v>3.1428571428571428</v>
      </c>
      <c r="AB21" s="87">
        <v>17</v>
      </c>
      <c r="AC21" s="97">
        <f>(24270+125)*1.047</f>
        <v>25541.564999999999</v>
      </c>
      <c r="AD21" s="50">
        <f t="shared" ref="AD21:AD34" si="15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10"/>
        <v>#2</v>
      </c>
      <c r="B22" s="70" t="str">
        <f t="shared" si="10"/>
        <v>DEF</v>
      </c>
      <c r="C22" s="71" t="s">
        <v>371</v>
      </c>
      <c r="D22" s="71" t="s">
        <v>373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7">
        <f>(7010+255+150)*1.012</f>
        <v>7503.9800000000005</v>
      </c>
      <c r="O22" s="97">
        <f t="shared" si="11"/>
        <v>9004.7759999999998</v>
      </c>
      <c r="Q22" s="246" t="s">
        <v>155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7">
        <f>(18370+135+245)*1.04</f>
        <v>19500</v>
      </c>
      <c r="AD22" s="50">
        <f t="shared" si="15"/>
        <v>23400</v>
      </c>
      <c r="AF22" s="58" t="s">
        <v>198</v>
      </c>
      <c r="AG22">
        <v>23</v>
      </c>
    </row>
    <row r="23" spans="1:33" x14ac:dyDescent="0.25">
      <c r="A23" s="246" t="str">
        <f t="shared" si="10"/>
        <v>#3</v>
      </c>
      <c r="B23" s="70" t="str">
        <f t="shared" si="10"/>
        <v>DEF</v>
      </c>
      <c r="C23" s="71" t="s">
        <v>371</v>
      </c>
      <c r="D23" s="71" t="s">
        <v>373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7">
        <f>(7010+255+150)*1.012</f>
        <v>7503.9800000000005</v>
      </c>
      <c r="O23" s="97">
        <f t="shared" si="11"/>
        <v>9004.7759999999998</v>
      </c>
      <c r="Q23" s="246" t="s">
        <v>164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7">
        <f>(18370+135+245)*1.04</f>
        <v>19500</v>
      </c>
      <c r="AD23" s="50">
        <f t="shared" si="15"/>
        <v>23400</v>
      </c>
      <c r="AF23" s="58" t="s">
        <v>197</v>
      </c>
      <c r="AG23">
        <v>9</v>
      </c>
    </row>
    <row r="24" spans="1:33" x14ac:dyDescent="0.25">
      <c r="A24" s="246" t="str">
        <f t="shared" si="10"/>
        <v>#4</v>
      </c>
      <c r="B24" s="70" t="str">
        <f t="shared" si="10"/>
        <v>DEF</v>
      </c>
      <c r="C24" s="71" t="s">
        <v>371</v>
      </c>
      <c r="D24" s="71" t="s">
        <v>373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7">
        <f>(7010+255+150)*1.012</f>
        <v>7503.9800000000005</v>
      </c>
      <c r="O24" s="97">
        <f t="shared" si="11"/>
        <v>9004.7759999999998</v>
      </c>
      <c r="Q24" s="246" t="s">
        <v>166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7">
        <f>(18370+135+245)*1.04</f>
        <v>19500</v>
      </c>
      <c r="AD24" s="50">
        <f t="shared" si="15"/>
        <v>23400</v>
      </c>
      <c r="AF24" s="58" t="s">
        <v>361</v>
      </c>
      <c r="AG24">
        <f>AG22+AG21+AG20+AG23</f>
        <v>56</v>
      </c>
    </row>
    <row r="25" spans="1:33" x14ac:dyDescent="0.25">
      <c r="A25" s="246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202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6.2</v>
      </c>
      <c r="M25" s="87">
        <f t="shared" si="22"/>
        <v>17.25</v>
      </c>
      <c r="N25" s="97">
        <f t="shared" si="22"/>
        <v>9450</v>
      </c>
      <c r="O25" s="97">
        <f t="shared" si="11"/>
        <v>11340</v>
      </c>
      <c r="Q25" s="246" t="s">
        <v>363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146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6.6000000000000005</v>
      </c>
      <c r="AB25" s="87">
        <f>17+1/4</f>
        <v>17.25</v>
      </c>
      <c r="AC25" s="97">
        <f>(18370+135+245)*1.04</f>
        <v>19500</v>
      </c>
      <c r="AD25" s="50">
        <f t="shared" si="15"/>
        <v>23400</v>
      </c>
      <c r="AF25" s="58" t="s">
        <v>364</v>
      </c>
      <c r="AG25" s="72">
        <f>AG24/16</f>
        <v>3.5</v>
      </c>
    </row>
    <row r="26" spans="1:33" x14ac:dyDescent="0.25">
      <c r="A26" s="246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213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5.25</v>
      </c>
      <c r="M26" s="87">
        <f t="shared" si="22"/>
        <v>15.666666666666666</v>
      </c>
      <c r="N26" s="97">
        <f t="shared" si="22"/>
        <v>9564</v>
      </c>
      <c r="O26" s="97">
        <f t="shared" si="11"/>
        <v>11476.8</v>
      </c>
      <c r="Q26" s="246" t="s">
        <v>365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157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5.6785714285714288</v>
      </c>
      <c r="AB26" s="87">
        <v>16</v>
      </c>
      <c r="AC26" s="97">
        <f>(20000+1500+125+125)*1.043</f>
        <v>22685.25</v>
      </c>
      <c r="AD26" s="50">
        <f t="shared" si="15"/>
        <v>27222.3</v>
      </c>
    </row>
    <row r="27" spans="1:33" x14ac:dyDescent="0.25">
      <c r="A27" s="246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189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7.2</v>
      </c>
      <c r="M27" s="87">
        <f t="shared" si="22"/>
        <v>17.666666666666668</v>
      </c>
      <c r="N27" s="97">
        <f t="shared" si="22"/>
        <v>14274.9</v>
      </c>
      <c r="O27" s="97">
        <f t="shared" si="11"/>
        <v>17129.879999999997</v>
      </c>
      <c r="Q27" s="246" t="s">
        <v>366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133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7">
        <f>(20000+1500+125+125)*1.043</f>
        <v>22685.25</v>
      </c>
      <c r="AD27" s="50">
        <f t="shared" si="15"/>
        <v>27222.3</v>
      </c>
    </row>
    <row r="28" spans="1:33" x14ac:dyDescent="0.25">
      <c r="A28" s="246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23</v>
      </c>
      <c r="F28" s="71">
        <f t="shared" ca="1" si="20"/>
        <v>132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9.1428571428571423</v>
      </c>
      <c r="M28" s="87">
        <f t="shared" si="22"/>
        <v>16.5</v>
      </c>
      <c r="N28" s="97">
        <f t="shared" si="22"/>
        <v>9641.52</v>
      </c>
      <c r="O28" s="97">
        <f t="shared" si="11"/>
        <v>11569.824000000001</v>
      </c>
      <c r="Q28" s="246" t="s">
        <v>170</v>
      </c>
      <c r="R28" s="70" t="str">
        <f t="shared" si="12"/>
        <v>Inners</v>
      </c>
      <c r="S28" s="71" t="str">
        <f t="shared" si="27"/>
        <v>RAP</v>
      </c>
      <c r="T28" s="71">
        <f>E28+3</f>
        <v>26</v>
      </c>
      <c r="U28" s="71">
        <f ca="1">F28+$AG$24*7-112-112-112</f>
        <v>188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7">
        <f>(14490+3125+145)*1.038</f>
        <v>18434.88</v>
      </c>
      <c r="AD28" s="50">
        <f t="shared" si="15"/>
        <v>22121.856</v>
      </c>
    </row>
    <row r="29" spans="1:33" x14ac:dyDescent="0.25">
      <c r="A29" s="246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205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8.1666666666666661</v>
      </c>
      <c r="M29" s="87">
        <f t="shared" si="22"/>
        <v>15.666666666666666</v>
      </c>
      <c r="N29" s="97">
        <f t="shared" si="22"/>
        <v>15145</v>
      </c>
      <c r="O29" s="97">
        <f t="shared" si="11"/>
        <v>18174</v>
      </c>
      <c r="Q29" s="246" t="s">
        <v>174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149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7">
        <f>(23500+2295+125)*1.035</f>
        <v>26827.199999999997</v>
      </c>
      <c r="AD29" s="50">
        <f t="shared" si="15"/>
        <v>32192.639999999996</v>
      </c>
    </row>
    <row r="30" spans="1:33" x14ac:dyDescent="0.25">
      <c r="A30" s="246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205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8.1666666666666661</v>
      </c>
      <c r="M30" s="87">
        <f t="shared" si="22"/>
        <v>18.166666666666668</v>
      </c>
      <c r="N30" s="97">
        <f t="shared" si="22"/>
        <v>15539.7</v>
      </c>
      <c r="O30" s="97">
        <f t="shared" si="11"/>
        <v>18647.64</v>
      </c>
      <c r="Q30" s="246" t="s">
        <v>178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149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7">
        <f>(23500+2295+125+125)*1.043</f>
        <v>27164.934999999998</v>
      </c>
      <c r="AD30" s="50">
        <f t="shared" si="15"/>
        <v>32597.921999999995</v>
      </c>
    </row>
    <row r="31" spans="1:33" x14ac:dyDescent="0.25">
      <c r="A31" s="246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191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6.2</v>
      </c>
      <c r="M31" s="87">
        <f t="shared" si="22"/>
        <v>18.399999999999999</v>
      </c>
      <c r="N31" s="97">
        <f t="shared" si="22"/>
        <v>9207</v>
      </c>
      <c r="O31" s="97">
        <f t="shared" si="11"/>
        <v>11048.4</v>
      </c>
      <c r="Q31" s="246" t="s">
        <v>181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135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7">
        <f>(20000+1020+225)*1.047</f>
        <v>22243.514999999999</v>
      </c>
      <c r="AD31" s="50">
        <f t="shared" si="15"/>
        <v>26692.217999999997</v>
      </c>
    </row>
    <row r="32" spans="1:33" x14ac:dyDescent="0.25">
      <c r="A32" s="246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24</v>
      </c>
      <c r="F32" s="71">
        <f t="shared" ca="1" si="20"/>
        <v>134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6.2</v>
      </c>
      <c r="M32" s="87">
        <f t="shared" si="22"/>
        <v>16.25</v>
      </c>
      <c r="N32" s="97">
        <f t="shared" si="22"/>
        <v>10599.12</v>
      </c>
      <c r="O32" s="97">
        <f t="shared" si="11"/>
        <v>12718.944000000001</v>
      </c>
      <c r="Q32" s="246" t="s">
        <v>176</v>
      </c>
      <c r="R32" s="70" t="str">
        <f t="shared" si="12"/>
        <v>Inners</v>
      </c>
      <c r="S32" s="71" t="str">
        <f t="shared" si="27"/>
        <v>POT</v>
      </c>
      <c r="T32" s="71">
        <f>E32+3</f>
        <v>27</v>
      </c>
      <c r="U32" s="71">
        <f ca="1">F32+$AG$24*7-112-112-112</f>
        <v>190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7">
        <f>(20000+1020+225+125)*1.038</f>
        <v>22182.06</v>
      </c>
      <c r="AD32" s="50">
        <f t="shared" si="15"/>
        <v>26618.472000000002</v>
      </c>
    </row>
    <row r="33" spans="1:30" x14ac:dyDescent="0.25">
      <c r="A33" s="246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7"/>
      <c r="O33" s="97"/>
      <c r="Q33" s="246" t="s">
        <v>368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7">
        <f>(22400+2295)*1.048</f>
        <v>25880.36</v>
      </c>
      <c r="AD33" s="50">
        <f t="shared" si="15"/>
        <v>31056.432000000001</v>
      </c>
    </row>
    <row r="34" spans="1:30" x14ac:dyDescent="0.25">
      <c r="A34" s="246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7"/>
      <c r="O34" s="97"/>
      <c r="Q34" s="246" t="s">
        <v>172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7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0:M17 G4:M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09"/>
      <c r="N2" s="50">
        <f>SUM(N4:N14)</f>
        <v>161372</v>
      </c>
      <c r="Y2" s="50">
        <f>SUM(Y4:Y14)</f>
        <v>161372</v>
      </c>
    </row>
    <row r="3" spans="1:28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P3" s="81" t="s">
        <v>351</v>
      </c>
      <c r="Q3" s="81" t="s">
        <v>89</v>
      </c>
      <c r="R3" s="81" t="s">
        <v>107</v>
      </c>
      <c r="S3" s="81" t="s">
        <v>108</v>
      </c>
      <c r="T3" s="81" t="s">
        <v>109</v>
      </c>
      <c r="U3" s="81" t="s">
        <v>110</v>
      </c>
      <c r="V3" s="81" t="s">
        <v>111</v>
      </c>
      <c r="W3" s="81" t="s">
        <v>112</v>
      </c>
      <c r="X3" s="81" t="s">
        <v>90</v>
      </c>
      <c r="Y3" s="81" t="s">
        <v>352</v>
      </c>
      <c r="AA3" s="509" t="s">
        <v>354</v>
      </c>
      <c r="AB3">
        <v>0</v>
      </c>
    </row>
    <row r="4" spans="1:28" x14ac:dyDescent="0.25">
      <c r="A4" s="512" t="str">
        <f>PLANTILLA!A5</f>
        <v>#1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161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P4" s="71">
        <f>E4</f>
        <v>23</v>
      </c>
      <c r="Q4" s="140">
        <f ca="1">F4+$AB$7*7</f>
        <v>210</v>
      </c>
      <c r="R4" s="87">
        <f>G4</f>
        <v>15</v>
      </c>
      <c r="S4" s="87">
        <f t="shared" ref="S4:X4" si="0">H4</f>
        <v>5</v>
      </c>
      <c r="T4" s="87">
        <f t="shared" si="0"/>
        <v>2</v>
      </c>
      <c r="U4" s="87">
        <f t="shared" si="0"/>
        <v>1</v>
      </c>
      <c r="V4" s="87">
        <f t="shared" si="0"/>
        <v>5</v>
      </c>
      <c r="W4" s="87">
        <f t="shared" si="0"/>
        <v>3.1428571428571428</v>
      </c>
      <c r="X4" s="87">
        <f t="shared" si="0"/>
        <v>20.125</v>
      </c>
      <c r="Y4" s="97">
        <f>N4</f>
        <v>30828</v>
      </c>
      <c r="AA4" s="509" t="s">
        <v>356</v>
      </c>
      <c r="AB4">
        <v>7</v>
      </c>
    </row>
    <row r="5" spans="1:28" x14ac:dyDescent="0.25">
      <c r="A5" s="512" t="str">
        <f>PLANTILLA!A6</f>
        <v>#40</v>
      </c>
      <c r="B5" s="70" t="s">
        <v>37</v>
      </c>
      <c r="C5" s="228" t="str">
        <f>PLANTILLA!D9</f>
        <v>S. Swärdborn</v>
      </c>
      <c r="D5" s="71" t="str">
        <f>PLANTILLA!G9</f>
        <v>IMP</v>
      </c>
      <c r="E5" s="71">
        <f>PLANTILLA!E9</f>
        <v>22</v>
      </c>
      <c r="F5" s="140">
        <f ca="1">PLANTILLA!F9</f>
        <v>190</v>
      </c>
      <c r="G5" s="87">
        <f>PLANTILLA!X9</f>
        <v>0</v>
      </c>
      <c r="H5" s="87">
        <f>PLANTILLA!Y9</f>
        <v>12</v>
      </c>
      <c r="I5" s="87">
        <f>PLANTILLA!Z9</f>
        <v>7.2</v>
      </c>
      <c r="J5" s="87">
        <f>PLANTILLA!AA9</f>
        <v>1</v>
      </c>
      <c r="K5" s="87">
        <f>PLANTILLA!AB9</f>
        <v>3</v>
      </c>
      <c r="L5" s="87">
        <f>PLANTILLA!AC9</f>
        <v>6.2</v>
      </c>
      <c r="M5" s="87">
        <f>PLANTILLA!AD9</f>
        <v>16.5</v>
      </c>
      <c r="N5" s="97">
        <f>PLANTILLA!V9</f>
        <v>9276</v>
      </c>
      <c r="P5" s="71">
        <f t="shared" ref="P5:P14" si="1">E5</f>
        <v>22</v>
      </c>
      <c r="Q5" s="140">
        <f t="shared" ref="Q5:Q14" ca="1" si="2">F5+$AB$7*7</f>
        <v>239</v>
      </c>
      <c r="R5" s="87">
        <f t="shared" ref="R5:R15" si="3">G5</f>
        <v>0</v>
      </c>
      <c r="S5" s="87">
        <f t="shared" ref="S5:S15" si="4">H5</f>
        <v>12</v>
      </c>
      <c r="T5" s="87">
        <f t="shared" ref="T5:T9" si="5">I5</f>
        <v>7.2</v>
      </c>
      <c r="U5" s="87">
        <f t="shared" ref="U5:U15" si="6">J5</f>
        <v>1</v>
      </c>
      <c r="V5" s="87">
        <f t="shared" ref="V5:V15" si="7">K5</f>
        <v>3</v>
      </c>
      <c r="W5" s="87">
        <f t="shared" ref="W5:W15" si="8">L5</f>
        <v>6.2</v>
      </c>
      <c r="X5" s="87">
        <f t="shared" ref="X5:X15" si="9">M5</f>
        <v>16.5</v>
      </c>
      <c r="Y5" s="97">
        <f t="shared" ref="Y5:Y15" si="10">N5</f>
        <v>9276</v>
      </c>
      <c r="AA5" s="509" t="s">
        <v>198</v>
      </c>
      <c r="AB5">
        <v>0</v>
      </c>
    </row>
    <row r="6" spans="1:28" x14ac:dyDescent="0.25">
      <c r="A6" s="512" t="str">
        <f>PLANTILLA!A7</f>
        <v>#36</v>
      </c>
      <c r="B6" s="70" t="s">
        <v>37</v>
      </c>
      <c r="C6" s="228" t="str">
        <f>PLANTILLA!D10</f>
        <v>A. Grimaud</v>
      </c>
      <c r="D6" s="71" t="str">
        <f>PLANTILLA!G10</f>
        <v>RAP</v>
      </c>
      <c r="E6" s="71">
        <f>PLANTILLA!E10</f>
        <v>22</v>
      </c>
      <c r="F6" s="140">
        <f ca="1">PLANTILLA!F10</f>
        <v>213</v>
      </c>
      <c r="G6" s="87">
        <f>PLANTILLA!X10</f>
        <v>0</v>
      </c>
      <c r="H6" s="87">
        <f>PLANTILLA!Y10</f>
        <v>12</v>
      </c>
      <c r="I6" s="87">
        <f>PLANTILLA!Z10</f>
        <v>7.3</v>
      </c>
      <c r="J6" s="87">
        <f>PLANTILLA!AA10</f>
        <v>3</v>
      </c>
      <c r="K6" s="87">
        <f>PLANTILLA!AB10</f>
        <v>3</v>
      </c>
      <c r="L6" s="87">
        <f>PLANTILLA!AC10</f>
        <v>5.25</v>
      </c>
      <c r="M6" s="87">
        <f>PLANTILLA!AD10</f>
        <v>15.666666666666666</v>
      </c>
      <c r="N6" s="97">
        <f>PLANTILLA!V10</f>
        <v>9564</v>
      </c>
      <c r="P6" s="71">
        <v>23</v>
      </c>
      <c r="Q6" s="140">
        <f ca="1">F6+$AB$7*7-112</f>
        <v>150</v>
      </c>
      <c r="R6" s="87">
        <f t="shared" si="3"/>
        <v>0</v>
      </c>
      <c r="S6" s="87">
        <f t="shared" si="4"/>
        <v>12</v>
      </c>
      <c r="T6" s="87">
        <f t="shared" si="5"/>
        <v>7.3</v>
      </c>
      <c r="U6" s="87">
        <f t="shared" si="6"/>
        <v>3</v>
      </c>
      <c r="V6" s="87">
        <f t="shared" si="7"/>
        <v>3</v>
      </c>
      <c r="W6" s="87">
        <f t="shared" si="8"/>
        <v>5.25</v>
      </c>
      <c r="X6" s="87">
        <f t="shared" si="9"/>
        <v>15.666666666666666</v>
      </c>
      <c r="Y6" s="97">
        <f t="shared" si="10"/>
        <v>9564</v>
      </c>
      <c r="AA6" s="509" t="s">
        <v>197</v>
      </c>
      <c r="AB6">
        <v>0</v>
      </c>
    </row>
    <row r="7" spans="1:28" x14ac:dyDescent="0.25">
      <c r="A7" s="512" t="str">
        <f>PLANTILLA!A8</f>
        <v>#2</v>
      </c>
      <c r="B7" s="70" t="s">
        <v>37</v>
      </c>
      <c r="C7" s="228" t="str">
        <f>PLANTILLA!D11</f>
        <v>V. Gardner</v>
      </c>
      <c r="D7" s="71">
        <f>PLANTILLA!G11</f>
        <v>0</v>
      </c>
      <c r="E7" s="71">
        <f>PLANTILLA!E11</f>
        <v>22</v>
      </c>
      <c r="F7" s="140">
        <f ca="1">PLANTILLA!F11</f>
        <v>202</v>
      </c>
      <c r="G7" s="87">
        <f>PLANTILLA!X11</f>
        <v>0</v>
      </c>
      <c r="H7" s="87">
        <f>PLANTILLA!Y11</f>
        <v>12</v>
      </c>
      <c r="I7" s="87">
        <f>PLANTILLA!Z11</f>
        <v>6.125</v>
      </c>
      <c r="J7" s="87">
        <f>PLANTILLA!AA11</f>
        <v>3</v>
      </c>
      <c r="K7" s="87">
        <f>PLANTILLA!AB11</f>
        <v>5</v>
      </c>
      <c r="L7" s="87">
        <f>PLANTILLA!AC11</f>
        <v>6.2</v>
      </c>
      <c r="M7" s="87">
        <f>PLANTILLA!AD11</f>
        <v>17.25</v>
      </c>
      <c r="N7" s="97">
        <f>PLANTILLA!V11</f>
        <v>9450</v>
      </c>
      <c r="P7" s="71">
        <v>23</v>
      </c>
      <c r="Q7" s="140">
        <f ca="1">F7+$AB$7*7-112</f>
        <v>139</v>
      </c>
      <c r="R7" s="87">
        <f t="shared" si="3"/>
        <v>0</v>
      </c>
      <c r="S7" s="87">
        <f t="shared" si="4"/>
        <v>12</v>
      </c>
      <c r="T7" s="87">
        <f t="shared" si="5"/>
        <v>6.125</v>
      </c>
      <c r="U7" s="87">
        <f t="shared" si="6"/>
        <v>3</v>
      </c>
      <c r="V7" s="87">
        <f t="shared" si="7"/>
        <v>5</v>
      </c>
      <c r="W7" s="87">
        <f t="shared" si="8"/>
        <v>6.2</v>
      </c>
      <c r="X7" s="87">
        <f t="shared" si="9"/>
        <v>17.25</v>
      </c>
      <c r="Y7" s="97">
        <f t="shared" si="10"/>
        <v>9450</v>
      </c>
      <c r="AA7" s="509" t="s">
        <v>361</v>
      </c>
      <c r="AB7">
        <f>AB5+AB4+AB3+AB6</f>
        <v>7</v>
      </c>
    </row>
    <row r="8" spans="1:28" x14ac:dyDescent="0.25">
      <c r="A8" s="512" t="str">
        <f>PLANTILLA!A9</f>
        <v>#2</v>
      </c>
      <c r="B8" s="70" t="s">
        <v>37</v>
      </c>
      <c r="C8" s="228" t="str">
        <f>PLANTILLA!D12</f>
        <v>S. Embe</v>
      </c>
      <c r="D8" s="71">
        <f>PLANTILLA!G12</f>
        <v>0</v>
      </c>
      <c r="E8" s="71">
        <f>PLANTILLA!E12</f>
        <v>23</v>
      </c>
      <c r="F8" s="140">
        <f ca="1">PLANTILLA!F12</f>
        <v>146</v>
      </c>
      <c r="G8" s="87">
        <f>PLANTILLA!X12</f>
        <v>0</v>
      </c>
      <c r="H8" s="87">
        <f>PLANTILLA!Y12</f>
        <v>11</v>
      </c>
      <c r="I8" s="87">
        <f>PLANTILLA!Z12</f>
        <v>5.083333333333333</v>
      </c>
      <c r="J8" s="87">
        <f>PLANTILLA!AA12</f>
        <v>1</v>
      </c>
      <c r="K8" s="87">
        <f>PLANTILLA!AB12</f>
        <v>5</v>
      </c>
      <c r="L8" s="87">
        <f>PLANTILLA!AC12</f>
        <v>6.2</v>
      </c>
      <c r="M8" s="87">
        <f>PLANTILLA!AD12</f>
        <v>18.2</v>
      </c>
      <c r="N8" s="97">
        <f>PLANTILLA!V12</f>
        <v>5796</v>
      </c>
      <c r="P8" s="71">
        <f t="shared" si="1"/>
        <v>23</v>
      </c>
      <c r="Q8" s="140">
        <f t="shared" ca="1" si="2"/>
        <v>195</v>
      </c>
      <c r="R8" s="87">
        <f t="shared" si="3"/>
        <v>0</v>
      </c>
      <c r="S8" s="87">
        <f t="shared" si="4"/>
        <v>11</v>
      </c>
      <c r="T8" s="87">
        <f t="shared" si="5"/>
        <v>5.083333333333333</v>
      </c>
      <c r="U8" s="87">
        <f t="shared" si="6"/>
        <v>1</v>
      </c>
      <c r="V8" s="87">
        <f t="shared" si="7"/>
        <v>5</v>
      </c>
      <c r="W8" s="87">
        <f t="shared" si="8"/>
        <v>6.2</v>
      </c>
      <c r="X8" s="87">
        <f t="shared" si="9"/>
        <v>18.2</v>
      </c>
      <c r="Y8" s="97">
        <f t="shared" si="10"/>
        <v>5796</v>
      </c>
      <c r="AA8" s="509" t="s">
        <v>364</v>
      </c>
      <c r="AB8" s="72">
        <f>AB7/16</f>
        <v>0.4375</v>
      </c>
    </row>
    <row r="9" spans="1:28" x14ac:dyDescent="0.25">
      <c r="A9" s="512" t="str">
        <f>PLANTILLA!A10</f>
        <v>#19</v>
      </c>
      <c r="B9" s="70" t="s">
        <v>37</v>
      </c>
      <c r="C9" s="228" t="str">
        <f>PLANTILLA!D13</f>
        <v>E. Deus</v>
      </c>
      <c r="D9" s="71" t="str">
        <f>PLANTILLA!G13</f>
        <v>IMP</v>
      </c>
      <c r="E9" s="71">
        <f>PLANTILLA!E13</f>
        <v>22</v>
      </c>
      <c r="F9" s="140">
        <f ca="1">PLANTILLA!F13</f>
        <v>129</v>
      </c>
      <c r="G9" s="87">
        <f>PLANTILLA!X13</f>
        <v>0</v>
      </c>
      <c r="H9" s="87">
        <f>PLANTILLA!Y13</f>
        <v>11</v>
      </c>
      <c r="I9" s="87">
        <f>PLANTILLA!Z13</f>
        <v>7.2333333333333325</v>
      </c>
      <c r="J9" s="87">
        <f>PLANTILLA!AA13</f>
        <v>1</v>
      </c>
      <c r="K9" s="87">
        <f>PLANTILLA!AB13</f>
        <v>6</v>
      </c>
      <c r="L9" s="87">
        <f>PLANTILLA!AC13</f>
        <v>5.25</v>
      </c>
      <c r="M9" s="87">
        <f>PLANTILLA!AD13</f>
        <v>16.75</v>
      </c>
      <c r="N9" s="97">
        <f>PLANTILLA!V13</f>
        <v>5748</v>
      </c>
      <c r="P9" s="71">
        <v>22</v>
      </c>
      <c r="Q9" s="140">
        <f ca="1">F9+$AB$7*7-112</f>
        <v>66</v>
      </c>
      <c r="R9" s="87">
        <f t="shared" si="3"/>
        <v>0</v>
      </c>
      <c r="S9" s="87">
        <f t="shared" si="4"/>
        <v>11</v>
      </c>
      <c r="T9" s="87">
        <f t="shared" si="5"/>
        <v>7.2333333333333325</v>
      </c>
      <c r="U9" s="87">
        <f t="shared" si="6"/>
        <v>1</v>
      </c>
      <c r="V9" s="87">
        <f t="shared" si="7"/>
        <v>6</v>
      </c>
      <c r="W9" s="87">
        <f t="shared" si="8"/>
        <v>5.25</v>
      </c>
      <c r="X9" s="87">
        <f t="shared" si="9"/>
        <v>16.75</v>
      </c>
      <c r="Y9" s="97">
        <f t="shared" si="10"/>
        <v>5748</v>
      </c>
    </row>
    <row r="10" spans="1:28" x14ac:dyDescent="0.25">
      <c r="A10" s="512" t="str">
        <f>PLANTILLA!A11</f>
        <v>#22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189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P10" s="71">
        <f t="shared" si="1"/>
        <v>22</v>
      </c>
      <c r="Q10" s="140">
        <f t="shared" ca="1" si="2"/>
        <v>238</v>
      </c>
      <c r="R10" s="87">
        <f t="shared" si="3"/>
        <v>0</v>
      </c>
      <c r="S10" s="87">
        <f t="shared" si="4"/>
        <v>4</v>
      </c>
      <c r="T10" s="87">
        <f>I10+$AB$4/9</f>
        <v>14</v>
      </c>
      <c r="U10" s="87">
        <f t="shared" si="6"/>
        <v>3</v>
      </c>
      <c r="V10" s="87">
        <f t="shared" si="7"/>
        <v>4</v>
      </c>
      <c r="W10" s="87">
        <f t="shared" si="8"/>
        <v>7.2</v>
      </c>
      <c r="X10" s="87">
        <f t="shared" si="9"/>
        <v>17.666666666666668</v>
      </c>
      <c r="Y10" s="97">
        <f t="shared" si="10"/>
        <v>19500</v>
      </c>
    </row>
    <row r="11" spans="1:28" x14ac:dyDescent="0.25">
      <c r="A11" s="512" t="str">
        <f>PLANTILLA!A12</f>
        <v>#3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22</v>
      </c>
      <c r="F11" s="140">
        <f ca="1">PLANTILLA!F15</f>
        <v>132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P11" s="71">
        <v>22</v>
      </c>
      <c r="Q11" s="140">
        <f ca="1">F11+$AB$7*7-112</f>
        <v>69</v>
      </c>
      <c r="R11" s="87">
        <f t="shared" si="3"/>
        <v>0</v>
      </c>
      <c r="S11" s="87">
        <f t="shared" si="4"/>
        <v>3</v>
      </c>
      <c r="T11" s="87">
        <f>I11+$AB$4/9</f>
        <v>13</v>
      </c>
      <c r="U11" s="87">
        <f t="shared" si="6"/>
        <v>2</v>
      </c>
      <c r="V11" s="87">
        <f t="shared" si="7"/>
        <v>6</v>
      </c>
      <c r="W11" s="87">
        <f t="shared" si="8"/>
        <v>9.1428571428571423</v>
      </c>
      <c r="X11" s="87">
        <f t="shared" si="9"/>
        <v>16.5</v>
      </c>
      <c r="Y11" s="97">
        <f t="shared" si="10"/>
        <v>10670</v>
      </c>
    </row>
    <row r="12" spans="1:28" x14ac:dyDescent="0.25">
      <c r="A12" s="512" t="str">
        <f>PLANTILLA!A13</f>
        <v>#4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205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P12" s="71">
        <v>23</v>
      </c>
      <c r="Q12" s="140">
        <f t="shared" ref="Q12:Q13" ca="1" si="11">F12+$AB$7*7-112</f>
        <v>142</v>
      </c>
      <c r="R12" s="87">
        <f t="shared" si="3"/>
        <v>0</v>
      </c>
      <c r="S12" s="87">
        <f t="shared" si="4"/>
        <v>4</v>
      </c>
      <c r="T12" s="87">
        <f>14+2/12</f>
        <v>14.166666666666666</v>
      </c>
      <c r="U12" s="87">
        <f t="shared" si="6"/>
        <v>3</v>
      </c>
      <c r="V12" s="87">
        <f t="shared" si="7"/>
        <v>2</v>
      </c>
      <c r="W12" s="87">
        <f t="shared" si="8"/>
        <v>8.1666666666666661</v>
      </c>
      <c r="X12" s="87">
        <f t="shared" si="9"/>
        <v>15.666666666666666</v>
      </c>
      <c r="Y12" s="97">
        <f t="shared" si="10"/>
        <v>23508</v>
      </c>
    </row>
    <row r="13" spans="1:28" x14ac:dyDescent="0.25">
      <c r="A13" s="512" t="str">
        <f>PLANTILLA!A14</f>
        <v>#16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205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P13" s="71">
        <v>23</v>
      </c>
      <c r="Q13" s="140">
        <f t="shared" ca="1" si="11"/>
        <v>142</v>
      </c>
      <c r="R13" s="87">
        <f t="shared" si="3"/>
        <v>0</v>
      </c>
      <c r="S13" s="87">
        <f t="shared" si="4"/>
        <v>2</v>
      </c>
      <c r="T13" s="87">
        <f>14+2/12</f>
        <v>14.166666666666666</v>
      </c>
      <c r="U13" s="87">
        <f t="shared" si="6"/>
        <v>5</v>
      </c>
      <c r="V13" s="87">
        <f t="shared" si="7"/>
        <v>4</v>
      </c>
      <c r="W13" s="87">
        <f t="shared" si="8"/>
        <v>8.1666666666666661</v>
      </c>
      <c r="X13" s="87">
        <f t="shared" si="9"/>
        <v>18.166666666666668</v>
      </c>
      <c r="Y13" s="97">
        <f t="shared" si="10"/>
        <v>24084</v>
      </c>
    </row>
    <row r="14" spans="1:28" x14ac:dyDescent="0.25">
      <c r="A14" s="512" t="str">
        <f>PLANTILLA!A15</f>
        <v>#8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191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P14" s="71">
        <f t="shared" si="1"/>
        <v>22</v>
      </c>
      <c r="Q14" s="140">
        <f t="shared" ca="1" si="2"/>
        <v>240</v>
      </c>
      <c r="R14" s="87">
        <f t="shared" si="3"/>
        <v>0</v>
      </c>
      <c r="S14" s="87">
        <f t="shared" si="4"/>
        <v>6</v>
      </c>
      <c r="T14" s="87">
        <v>13</v>
      </c>
      <c r="U14" s="87">
        <f t="shared" si="6"/>
        <v>2</v>
      </c>
      <c r="V14" s="87">
        <f t="shared" si="7"/>
        <v>3</v>
      </c>
      <c r="W14" s="87">
        <f t="shared" si="8"/>
        <v>6.2</v>
      </c>
      <c r="X14" s="87">
        <f t="shared" si="9"/>
        <v>18.399999999999999</v>
      </c>
      <c r="Y14" s="97">
        <f t="shared" si="10"/>
        <v>12948</v>
      </c>
    </row>
    <row r="15" spans="1:28" x14ac:dyDescent="0.25">
      <c r="A15" s="512" t="str">
        <f>PLANTILLA!A16</f>
        <v>#14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134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P15" s="71">
        <v>23</v>
      </c>
      <c r="Q15" s="140">
        <f ca="1">F15+$AB$7*7-112</f>
        <v>71</v>
      </c>
      <c r="R15" s="87">
        <f t="shared" si="3"/>
        <v>0</v>
      </c>
      <c r="S15" s="87">
        <f t="shared" si="4"/>
        <v>7</v>
      </c>
      <c r="T15" s="87">
        <f>13+7/9</f>
        <v>13.777777777777779</v>
      </c>
      <c r="U15" s="87">
        <f t="shared" si="6"/>
        <v>3</v>
      </c>
      <c r="V15" s="87">
        <f t="shared" si="7"/>
        <v>4</v>
      </c>
      <c r="W15" s="87">
        <f t="shared" si="8"/>
        <v>6.2</v>
      </c>
      <c r="X15" s="87">
        <f t="shared" si="9"/>
        <v>16.25</v>
      </c>
      <c r="Y15" s="97">
        <f t="shared" si="10"/>
        <v>17110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35"/>
      <c r="B1" s="335"/>
      <c r="C1" s="335"/>
      <c r="D1" s="558" t="s">
        <v>374</v>
      </c>
      <c r="E1" s="559"/>
      <c r="F1" s="559"/>
      <c r="G1" s="559"/>
      <c r="H1" s="559"/>
      <c r="I1" s="560"/>
      <c r="K1" s="335"/>
      <c r="L1" s="335"/>
      <c r="M1" s="335"/>
      <c r="N1" s="336">
        <v>43637</v>
      </c>
      <c r="O1" s="336">
        <f t="shared" ref="O1:AD1" si="0">N1+7</f>
        <v>43644</v>
      </c>
      <c r="P1" s="336">
        <f t="shared" si="0"/>
        <v>43651</v>
      </c>
      <c r="Q1" s="336">
        <f t="shared" si="0"/>
        <v>43658</v>
      </c>
      <c r="R1" s="336">
        <f t="shared" si="0"/>
        <v>43665</v>
      </c>
      <c r="S1" s="336">
        <f t="shared" si="0"/>
        <v>43672</v>
      </c>
      <c r="T1" s="336">
        <f t="shared" si="0"/>
        <v>43679</v>
      </c>
      <c r="U1" s="336">
        <f t="shared" si="0"/>
        <v>43686</v>
      </c>
      <c r="V1" s="336">
        <f t="shared" si="0"/>
        <v>43693</v>
      </c>
      <c r="W1" s="336">
        <f t="shared" si="0"/>
        <v>43700</v>
      </c>
      <c r="X1" s="336">
        <f t="shared" si="0"/>
        <v>43707</v>
      </c>
      <c r="Y1" s="336">
        <f t="shared" si="0"/>
        <v>43714</v>
      </c>
      <c r="Z1" s="336">
        <f t="shared" si="0"/>
        <v>43721</v>
      </c>
      <c r="AA1" s="336">
        <f t="shared" si="0"/>
        <v>43728</v>
      </c>
      <c r="AB1" s="336">
        <f t="shared" si="0"/>
        <v>43735</v>
      </c>
      <c r="AC1" s="336">
        <f t="shared" si="0"/>
        <v>43742</v>
      </c>
      <c r="AD1" s="399">
        <f t="shared" si="0"/>
        <v>43749</v>
      </c>
    </row>
    <row r="2" spans="1:33" x14ac:dyDescent="0.25">
      <c r="A2" s="3"/>
      <c r="B2" s="3"/>
      <c r="C2" s="3"/>
      <c r="D2" s="561" t="s">
        <v>375</v>
      </c>
      <c r="E2" s="562"/>
      <c r="F2" s="563"/>
      <c r="G2" s="563"/>
      <c r="H2" s="563"/>
      <c r="I2" s="564"/>
      <c r="K2" s="3"/>
      <c r="L2" s="3"/>
      <c r="M2" s="3" t="s">
        <v>376</v>
      </c>
      <c r="N2" s="337" t="s">
        <v>377</v>
      </c>
      <c r="O2" s="337" t="s">
        <v>378</v>
      </c>
      <c r="P2" s="337" t="s">
        <v>379</v>
      </c>
      <c r="Q2" s="337" t="s">
        <v>380</v>
      </c>
      <c r="R2" s="337" t="s">
        <v>381</v>
      </c>
      <c r="S2" s="337" t="s">
        <v>382</v>
      </c>
      <c r="T2" s="337" t="s">
        <v>383</v>
      </c>
      <c r="U2" s="337" t="s">
        <v>384</v>
      </c>
      <c r="V2" s="337" t="s">
        <v>385</v>
      </c>
      <c r="W2" s="337" t="s">
        <v>386</v>
      </c>
      <c r="X2" s="337" t="s">
        <v>387</v>
      </c>
      <c r="Y2" s="337" t="s">
        <v>388</v>
      </c>
      <c r="Z2" s="337" t="s">
        <v>389</v>
      </c>
      <c r="AA2" s="337" t="s">
        <v>390</v>
      </c>
      <c r="AB2" s="337" t="s">
        <v>391</v>
      </c>
      <c r="AC2" s="337" t="s">
        <v>392</v>
      </c>
      <c r="AD2" s="415" t="s">
        <v>377</v>
      </c>
    </row>
    <row r="3" spans="1:33" ht="18.75" x14ac:dyDescent="0.3">
      <c r="A3" s="4"/>
      <c r="B3" s="4"/>
      <c r="C3" s="4"/>
      <c r="D3" s="565" t="s">
        <v>393</v>
      </c>
      <c r="E3" s="566"/>
      <c r="F3" s="436"/>
      <c r="G3" s="567" t="s">
        <v>394</v>
      </c>
      <c r="H3" s="568"/>
      <c r="I3" s="340"/>
      <c r="K3" s="4"/>
      <c r="L3" s="338"/>
      <c r="M3" s="338" t="s">
        <v>395</v>
      </c>
      <c r="N3" s="339">
        <f>3345+6</f>
        <v>3351</v>
      </c>
      <c r="O3" s="339">
        <v>3345</v>
      </c>
      <c r="P3" s="339">
        <f>O3+O11</f>
        <v>3345</v>
      </c>
      <c r="Q3" s="339">
        <f>P3+P11</f>
        <v>3435</v>
      </c>
      <c r="R3" s="339">
        <f>Q3+Q11-2</f>
        <v>3433</v>
      </c>
      <c r="S3" s="339">
        <f>R3+R11</f>
        <v>3433</v>
      </c>
      <c r="T3" s="339">
        <f>U3+10+11</f>
        <v>3288</v>
      </c>
      <c r="U3" s="339">
        <f>V3+11+11</f>
        <v>3267</v>
      </c>
      <c r="V3" s="339">
        <f>W3+13</f>
        <v>3245</v>
      </c>
      <c r="W3" s="339">
        <f>X3+10+10</f>
        <v>3232</v>
      </c>
      <c r="X3" s="339">
        <f>Y3+16</f>
        <v>3212</v>
      </c>
      <c r="Y3" s="339">
        <f>3196</f>
        <v>3196</v>
      </c>
      <c r="Z3" s="339">
        <f>Y3+Y11</f>
        <v>3196</v>
      </c>
      <c r="AA3" s="339">
        <f>Z3+Z11</f>
        <v>3196</v>
      </c>
      <c r="AB3" s="339">
        <f>AA3+AA11</f>
        <v>3196</v>
      </c>
      <c r="AC3" s="339">
        <f>AB3+AB11</f>
        <v>3196</v>
      </c>
      <c r="AD3" s="400">
        <f>AC3+AC11</f>
        <v>3196</v>
      </c>
    </row>
    <row r="4" spans="1:33" ht="18.75" x14ac:dyDescent="0.3">
      <c r="A4" s="4"/>
      <c r="B4" s="4"/>
      <c r="C4" s="4"/>
      <c r="D4" s="348"/>
      <c r="E4" s="358"/>
      <c r="F4" s="386"/>
      <c r="G4" s="344"/>
      <c r="H4" s="386"/>
      <c r="I4" s="345"/>
      <c r="K4" s="416" t="s">
        <v>396</v>
      </c>
      <c r="L4" s="416"/>
      <c r="M4" s="417">
        <f>10164100+500000</f>
        <v>10664100</v>
      </c>
      <c r="N4" s="418">
        <f>M4</f>
        <v>10664100</v>
      </c>
      <c r="O4" s="418">
        <f t="shared" ref="O4:AD4" si="1">N4-N13+N23</f>
        <v>10164100</v>
      </c>
      <c r="P4" s="418">
        <f t="shared" si="1"/>
        <v>9664100</v>
      </c>
      <c r="Q4" s="418">
        <f t="shared" si="1"/>
        <v>9164100</v>
      </c>
      <c r="R4" s="418">
        <f t="shared" si="1"/>
        <v>8664100</v>
      </c>
      <c r="S4" s="418">
        <f t="shared" si="1"/>
        <v>8164100</v>
      </c>
      <c r="T4" s="418">
        <f t="shared" si="1"/>
        <v>7664100</v>
      </c>
      <c r="U4" s="418">
        <f t="shared" si="1"/>
        <v>7164100</v>
      </c>
      <c r="V4" s="418">
        <f t="shared" si="1"/>
        <v>6664100</v>
      </c>
      <c r="W4" s="418">
        <f t="shared" si="1"/>
        <v>6164100</v>
      </c>
      <c r="X4" s="418">
        <f t="shared" si="1"/>
        <v>5664100</v>
      </c>
      <c r="Y4" s="418">
        <f t="shared" si="1"/>
        <v>5164100</v>
      </c>
      <c r="Z4" s="418">
        <f t="shared" si="1"/>
        <v>4664100</v>
      </c>
      <c r="AA4" s="418">
        <f t="shared" si="1"/>
        <v>4164100</v>
      </c>
      <c r="AB4" s="418">
        <f t="shared" si="1"/>
        <v>3664100</v>
      </c>
      <c r="AC4" s="418">
        <f t="shared" si="1"/>
        <v>4177693</v>
      </c>
      <c r="AD4" s="418">
        <f t="shared" si="1"/>
        <v>3677693</v>
      </c>
    </row>
    <row r="5" spans="1:33" ht="18.75" x14ac:dyDescent="0.3">
      <c r="A5" s="75"/>
      <c r="B5" s="75"/>
      <c r="C5" s="75"/>
      <c r="D5" s="348" t="s">
        <v>397</v>
      </c>
      <c r="E5" s="349">
        <f>SUM(E6:E8)</f>
        <v>8627340</v>
      </c>
      <c r="F5" s="419">
        <f>E5/E35</f>
        <v>9.1679633380931824E-2</v>
      </c>
      <c r="G5" s="348" t="s">
        <v>398</v>
      </c>
      <c r="H5" s="392">
        <f>H6+H7</f>
        <v>63454367</v>
      </c>
      <c r="I5" s="350">
        <f>H5/$H$35</f>
        <v>0.67430669279048916</v>
      </c>
      <c r="K5" s="341" t="s">
        <v>399</v>
      </c>
      <c r="L5" s="341"/>
      <c r="M5" s="342">
        <f>16859431-5919847+1711665-500000</f>
        <v>12151249</v>
      </c>
      <c r="N5" s="343">
        <f>M5</f>
        <v>12151249</v>
      </c>
      <c r="O5" s="343">
        <f t="shared" ref="O5:AD5" si="2">N26</f>
        <v>16853431</v>
      </c>
      <c r="P5" s="343">
        <f t="shared" si="2"/>
        <v>11755916</v>
      </c>
      <c r="Q5" s="343">
        <f t="shared" si="2"/>
        <v>12415332</v>
      </c>
      <c r="R5" s="343">
        <f t="shared" si="2"/>
        <v>13710711</v>
      </c>
      <c r="S5" s="343">
        <f t="shared" si="2"/>
        <v>14306291</v>
      </c>
      <c r="T5" s="343">
        <f t="shared" si="2"/>
        <v>16625519</v>
      </c>
      <c r="U5" s="343">
        <f t="shared" si="2"/>
        <v>17494225</v>
      </c>
      <c r="V5" s="343">
        <f t="shared" si="2"/>
        <v>18095097</v>
      </c>
      <c r="W5" s="343">
        <f t="shared" si="2"/>
        <v>19111395</v>
      </c>
      <c r="X5" s="343">
        <f t="shared" si="2"/>
        <v>19795165</v>
      </c>
      <c r="Y5" s="343">
        <f t="shared" si="2"/>
        <v>22086424</v>
      </c>
      <c r="Z5" s="343">
        <f t="shared" si="2"/>
        <v>19890687</v>
      </c>
      <c r="AA5" s="343">
        <f t="shared" si="2"/>
        <v>24708589</v>
      </c>
      <c r="AB5" s="343">
        <f t="shared" si="2"/>
        <v>25679641</v>
      </c>
      <c r="AC5" s="343">
        <f t="shared" si="2"/>
        <v>21403306</v>
      </c>
      <c r="AD5" s="343">
        <f t="shared" si="2"/>
        <v>20568388</v>
      </c>
    </row>
    <row r="6" spans="1:33" x14ac:dyDescent="0.25">
      <c r="A6" s="346" t="str">
        <f t="shared" ref="A6:A13" si="3">L6</f>
        <v>Taquillas</v>
      </c>
      <c r="B6" s="347">
        <f t="shared" ref="B6:B13" si="4">M6/$M$14</f>
        <v>0.11339620267026504</v>
      </c>
      <c r="D6" s="351" t="s">
        <v>400</v>
      </c>
      <c r="E6" s="352">
        <v>4158040</v>
      </c>
      <c r="F6" s="45">
        <f>E6/E35</f>
        <v>4.4185992760601735E-2</v>
      </c>
      <c r="G6" s="353" t="s">
        <v>401</v>
      </c>
      <c r="H6" s="425">
        <v>300000</v>
      </c>
      <c r="I6" s="354">
        <f>H6/$H$35</f>
        <v>3.1879918971872614E-3</v>
      </c>
      <c r="K6" s="396" t="s">
        <v>402</v>
      </c>
      <c r="L6" s="396" t="s">
        <v>402</v>
      </c>
      <c r="M6" s="413">
        <f t="shared" ref="M6:M25" si="5">SUM(N6:AD6)</f>
        <v>3664610</v>
      </c>
      <c r="N6" s="450">
        <v>27384</v>
      </c>
      <c r="O6" s="450">
        <f>2819+34650</f>
        <v>37469</v>
      </c>
      <c r="P6" s="450">
        <v>34650</v>
      </c>
      <c r="Q6" s="450">
        <f>734316+34267</f>
        <v>768583</v>
      </c>
      <c r="R6" s="450">
        <f>60291</f>
        <v>60291</v>
      </c>
      <c r="S6" s="450">
        <v>664612</v>
      </c>
      <c r="T6" s="450">
        <f>38789+287090</f>
        <v>325879</v>
      </c>
      <c r="U6" s="450">
        <v>57945</v>
      </c>
      <c r="V6" s="450">
        <f>72861+289034</f>
        <v>361895</v>
      </c>
      <c r="W6" s="450">
        <v>99719</v>
      </c>
      <c r="X6" s="450">
        <v>430656</v>
      </c>
      <c r="Y6" s="450">
        <v>8684</v>
      </c>
      <c r="Z6" s="450">
        <v>9434</v>
      </c>
      <c r="AA6" s="450">
        <v>360602</v>
      </c>
      <c r="AB6" s="450">
        <v>23483</v>
      </c>
      <c r="AC6" s="450">
        <v>369426</v>
      </c>
      <c r="AD6" s="397">
        <v>23898</v>
      </c>
    </row>
    <row r="7" spans="1:33" x14ac:dyDescent="0.25">
      <c r="A7" s="346" t="str">
        <f t="shared" si="3"/>
        <v>Patrocinadores</v>
      </c>
      <c r="B7" s="347">
        <f t="shared" si="4"/>
        <v>0.13302585922082114</v>
      </c>
      <c r="D7" s="351" t="s">
        <v>403</v>
      </c>
      <c r="E7" s="352">
        <f>1916000+300+2553000</f>
        <v>4469300</v>
      </c>
      <c r="F7" s="45">
        <f>E7/E35</f>
        <v>4.749364062033009E-2</v>
      </c>
      <c r="G7" s="353" t="s">
        <v>404</v>
      </c>
      <c r="H7" s="425">
        <f>63609618-455251</f>
        <v>63154367</v>
      </c>
      <c r="I7" s="354">
        <f>H7/$H$35</f>
        <v>0.67111870089330194</v>
      </c>
      <c r="K7" s="396" t="s">
        <v>405</v>
      </c>
      <c r="L7" s="396" t="s">
        <v>405</v>
      </c>
      <c r="M7" s="413">
        <f t="shared" si="5"/>
        <v>4298979</v>
      </c>
      <c r="N7" s="451">
        <v>270844</v>
      </c>
      <c r="O7" s="451">
        <v>187040</v>
      </c>
      <c r="P7" s="451">
        <v>224225</v>
      </c>
      <c r="Q7" s="451">
        <v>246055</v>
      </c>
      <c r="R7" s="451">
        <v>257710</v>
      </c>
      <c r="S7" s="451">
        <v>263630</v>
      </c>
      <c r="T7" s="451">
        <f>S7-1000</f>
        <v>262630</v>
      </c>
      <c r="U7" s="451">
        <f>T7-1000</f>
        <v>261630</v>
      </c>
      <c r="V7" s="451">
        <f>U7-1000</f>
        <v>260630</v>
      </c>
      <c r="W7" s="451">
        <f>V7-1000</f>
        <v>259630</v>
      </c>
      <c r="X7" s="451">
        <v>261780</v>
      </c>
      <c r="Y7" s="451">
        <v>260670</v>
      </c>
      <c r="Z7" s="451">
        <v>257000</v>
      </c>
      <c r="AA7" s="451">
        <v>257000</v>
      </c>
      <c r="AB7" s="451">
        <v>257155</v>
      </c>
      <c r="AC7" s="451">
        <v>256230</v>
      </c>
      <c r="AD7" s="398">
        <v>255120</v>
      </c>
    </row>
    <row r="8" spans="1:33" x14ac:dyDescent="0.25">
      <c r="A8" s="346" t="str">
        <f t="shared" si="3"/>
        <v>Ventas</v>
      </c>
      <c r="B8" s="347">
        <f t="shared" si="4"/>
        <v>0.39328079049246945</v>
      </c>
      <c r="D8" s="355" t="s">
        <v>406</v>
      </c>
      <c r="E8" s="356">
        <v>0</v>
      </c>
      <c r="F8" s="45">
        <f>E8/E35</f>
        <v>0</v>
      </c>
      <c r="G8" s="359"/>
      <c r="H8" s="334"/>
      <c r="I8" s="350"/>
      <c r="K8" s="396" t="s">
        <v>407</v>
      </c>
      <c r="L8" s="396" t="s">
        <v>408</v>
      </c>
      <c r="M8" s="413">
        <f t="shared" si="5"/>
        <v>12709603</v>
      </c>
      <c r="N8" s="450">
        <f>959086+1751596+1184557</f>
        <v>3895239</v>
      </c>
      <c r="O8" s="450">
        <v>0</v>
      </c>
      <c r="P8" s="450">
        <v>0</v>
      </c>
      <c r="Q8" s="450">
        <v>0</v>
      </c>
      <c r="R8" s="450">
        <v>0</v>
      </c>
      <c r="S8" s="450">
        <v>0</v>
      </c>
      <c r="T8" s="450">
        <v>0</v>
      </c>
      <c r="U8" s="450">
        <v>0</v>
      </c>
      <c r="V8" s="450">
        <v>0</v>
      </c>
      <c r="W8" s="450">
        <v>0</v>
      </c>
      <c r="X8" s="450">
        <v>1192436</v>
      </c>
      <c r="Y8" s="450">
        <v>0</v>
      </c>
      <c r="Z8" s="450">
        <f>3201800+1057885</f>
        <v>4259685</v>
      </c>
      <c r="AA8" s="450">
        <v>0</v>
      </c>
      <c r="AB8" s="450">
        <v>0</v>
      </c>
      <c r="AC8" s="450">
        <v>3362243</v>
      </c>
      <c r="AD8" s="397">
        <v>0</v>
      </c>
      <c r="AF8" s="334"/>
      <c r="AG8" s="334"/>
    </row>
    <row r="9" spans="1:33" x14ac:dyDescent="0.25">
      <c r="A9" s="346" t="str">
        <f t="shared" si="3"/>
        <v>VentasCantera</v>
      </c>
      <c r="B9" s="347">
        <f t="shared" si="4"/>
        <v>4.9915141835995429E-2</v>
      </c>
      <c r="D9" s="357"/>
      <c r="E9" s="358"/>
      <c r="F9" s="419"/>
      <c r="G9" s="359"/>
      <c r="H9" s="334"/>
      <c r="I9" s="350"/>
      <c r="K9" s="396"/>
      <c r="L9" s="396" t="s">
        <v>409</v>
      </c>
      <c r="M9" s="413">
        <f t="shared" si="5"/>
        <v>1613101</v>
      </c>
      <c r="N9" s="450">
        <f>515850</f>
        <v>515850</v>
      </c>
      <c r="O9" s="450">
        <v>0</v>
      </c>
      <c r="P9" s="450">
        <v>0</v>
      </c>
      <c r="Q9" s="450">
        <v>0</v>
      </c>
      <c r="R9" s="450">
        <v>950</v>
      </c>
      <c r="S9" s="450">
        <v>970900</v>
      </c>
      <c r="T9" s="450">
        <v>0</v>
      </c>
      <c r="U9" s="450">
        <v>0</v>
      </c>
      <c r="V9" s="450">
        <f>950+13300+52250</f>
        <v>66500</v>
      </c>
      <c r="W9" s="450">
        <v>36100</v>
      </c>
      <c r="X9" s="450">
        <v>950</v>
      </c>
      <c r="Y9" s="450">
        <v>0</v>
      </c>
      <c r="Z9" s="450">
        <v>0</v>
      </c>
      <c r="AA9" s="450">
        <v>0</v>
      </c>
      <c r="AB9" s="450">
        <v>0</v>
      </c>
      <c r="AC9" s="450">
        <v>0</v>
      </c>
      <c r="AD9" s="397">
        <v>21851</v>
      </c>
    </row>
    <row r="10" spans="1:33" x14ac:dyDescent="0.25">
      <c r="A10" s="346" t="str">
        <f t="shared" si="3"/>
        <v>Comisiones</v>
      </c>
      <c r="B10" s="347">
        <f t="shared" si="4"/>
        <v>1.921207275445358E-2</v>
      </c>
      <c r="D10" s="348" t="s">
        <v>410</v>
      </c>
      <c r="E10" s="349">
        <f>E11+E12+E13</f>
        <v>3177693</v>
      </c>
      <c r="F10" s="419">
        <f>E10/E35</f>
        <v>3.3768198452495603E-2</v>
      </c>
      <c r="G10" s="348" t="s">
        <v>411</v>
      </c>
      <c r="H10" s="392">
        <f>SUM(H11:H16)</f>
        <v>8084727</v>
      </c>
      <c r="I10" s="350">
        <f t="shared" ref="I10:I16" si="6">H10/$H$35</f>
        <v>8.5913480556570249E-2</v>
      </c>
      <c r="K10" s="396" t="s">
        <v>412</v>
      </c>
      <c r="L10" s="396" t="s">
        <v>412</v>
      </c>
      <c r="M10" s="413">
        <f t="shared" si="5"/>
        <v>620874</v>
      </c>
      <c r="N10" s="451">
        <v>60000</v>
      </c>
      <c r="O10" s="451">
        <f>15320+1915</f>
        <v>17235</v>
      </c>
      <c r="P10" s="451">
        <v>120000</v>
      </c>
      <c r="Q10" s="451">
        <v>0</v>
      </c>
      <c r="R10" s="451">
        <v>0</v>
      </c>
      <c r="S10" s="451">
        <v>3889</v>
      </c>
      <c r="T10" s="451">
        <v>0</v>
      </c>
      <c r="U10" s="451">
        <v>100</v>
      </c>
      <c r="V10" s="451">
        <f>20400+3250+26000</f>
        <v>49650</v>
      </c>
      <c r="W10" s="451">
        <v>0</v>
      </c>
      <c r="X10" s="451">
        <v>93040</v>
      </c>
      <c r="Y10" s="451">
        <v>0</v>
      </c>
      <c r="Z10" s="451">
        <v>0</v>
      </c>
      <c r="AA10" s="451">
        <v>59960</v>
      </c>
      <c r="AB10" s="451">
        <v>70000</v>
      </c>
      <c r="AC10" s="451">
        <v>0</v>
      </c>
      <c r="AD10" s="398">
        <v>147000</v>
      </c>
    </row>
    <row r="11" spans="1:33" x14ac:dyDescent="0.25">
      <c r="A11" s="346" t="str">
        <f t="shared" si="3"/>
        <v>Nuevos Socios</v>
      </c>
      <c r="B11" s="347">
        <f t="shared" si="4"/>
        <v>6.0247176807083436E-3</v>
      </c>
      <c r="D11" s="360" t="s">
        <v>413</v>
      </c>
      <c r="E11" s="361">
        <f>N4</f>
        <v>10664100</v>
      </c>
      <c r="F11" s="45">
        <f>E11/E35</f>
        <v>0.11332354796931558</v>
      </c>
      <c r="G11" s="379" t="s">
        <v>414</v>
      </c>
      <c r="H11" s="435">
        <v>0</v>
      </c>
      <c r="I11" s="354">
        <f t="shared" si="6"/>
        <v>0</v>
      </c>
      <c r="K11" s="569" t="s">
        <v>415</v>
      </c>
      <c r="L11" s="396" t="s">
        <v>416</v>
      </c>
      <c r="M11" s="413">
        <f t="shared" si="5"/>
        <v>194700</v>
      </c>
      <c r="N11" s="451">
        <v>100530</v>
      </c>
      <c r="O11" s="451">
        <v>0</v>
      </c>
      <c r="P11" s="451">
        <f>30+60</f>
        <v>90</v>
      </c>
      <c r="Q11" s="451">
        <v>0</v>
      </c>
      <c r="R11" s="451">
        <f t="shared" ref="R11:AC11" si="7">Q11</f>
        <v>0</v>
      </c>
      <c r="S11" s="451">
        <f t="shared" si="7"/>
        <v>0</v>
      </c>
      <c r="T11" s="451">
        <f t="shared" si="7"/>
        <v>0</v>
      </c>
      <c r="U11" s="451">
        <f t="shared" si="7"/>
        <v>0</v>
      </c>
      <c r="V11" s="451">
        <f t="shared" si="7"/>
        <v>0</v>
      </c>
      <c r="W11" s="451">
        <f t="shared" si="7"/>
        <v>0</v>
      </c>
      <c r="X11" s="451">
        <f t="shared" si="7"/>
        <v>0</v>
      </c>
      <c r="Y11" s="451">
        <f t="shared" si="7"/>
        <v>0</v>
      </c>
      <c r="Z11" s="451">
        <f t="shared" si="7"/>
        <v>0</v>
      </c>
      <c r="AA11" s="451">
        <f t="shared" si="7"/>
        <v>0</v>
      </c>
      <c r="AB11" s="451">
        <f t="shared" si="7"/>
        <v>0</v>
      </c>
      <c r="AC11" s="451">
        <f t="shared" si="7"/>
        <v>0</v>
      </c>
      <c r="AD11" s="398">
        <v>94080</v>
      </c>
    </row>
    <row r="12" spans="1:33" x14ac:dyDescent="0.25">
      <c r="A12" s="346" t="str">
        <f t="shared" si="3"/>
        <v>Premios</v>
      </c>
      <c r="B12" s="347">
        <f t="shared" si="4"/>
        <v>3.7596466266361775E-2</v>
      </c>
      <c r="D12" s="360" t="str">
        <f>L13</f>
        <v>Ing Reservas</v>
      </c>
      <c r="E12" s="361">
        <f>M13*-1</f>
        <v>-8000000</v>
      </c>
      <c r="F12" s="45">
        <f>E12/E35</f>
        <v>-8.501311725832697E-2</v>
      </c>
      <c r="G12" s="379" t="s">
        <v>417</v>
      </c>
      <c r="H12" s="435">
        <v>0</v>
      </c>
      <c r="I12" s="354">
        <f t="shared" si="6"/>
        <v>0</v>
      </c>
      <c r="K12" s="570"/>
      <c r="L12" s="396" t="s">
        <v>418</v>
      </c>
      <c r="M12" s="413">
        <f t="shared" si="5"/>
        <v>1215000</v>
      </c>
      <c r="N12" s="451">
        <v>1050000</v>
      </c>
      <c r="O12" s="451">
        <v>0</v>
      </c>
      <c r="P12" s="451">
        <v>0</v>
      </c>
      <c r="Q12" s="451">
        <v>0</v>
      </c>
      <c r="R12" s="451">
        <v>0</v>
      </c>
      <c r="S12" s="451">
        <v>140000</v>
      </c>
      <c r="T12" s="451">
        <v>0</v>
      </c>
      <c r="U12" s="451">
        <v>0</v>
      </c>
      <c r="V12" s="451">
        <v>0</v>
      </c>
      <c r="W12" s="451">
        <v>0</v>
      </c>
      <c r="X12" s="451">
        <v>25000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398">
        <v>0</v>
      </c>
    </row>
    <row r="13" spans="1:33" s="412" customFormat="1" ht="18.75" x14ac:dyDescent="0.3">
      <c r="A13" s="346" t="str">
        <f t="shared" si="3"/>
        <v>Ing Reservas</v>
      </c>
      <c r="B13" s="347">
        <f t="shared" si="4"/>
        <v>0.24754874907892527</v>
      </c>
      <c r="C13" s="410"/>
      <c r="D13" s="360" t="str">
        <f>L23</f>
        <v>Pago Reservas</v>
      </c>
      <c r="E13" s="361">
        <f>M23</f>
        <v>513593</v>
      </c>
      <c r="F13" s="45">
        <f>E13/E35</f>
        <v>5.45776774150699E-3</v>
      </c>
      <c r="G13" s="379" t="s">
        <v>419</v>
      </c>
      <c r="H13" s="435">
        <f>515850+950+970900+950+36100+950+13300+52250+21851</f>
        <v>1613101</v>
      </c>
      <c r="I13" s="354">
        <f t="shared" si="6"/>
        <v>1.7141843057815562E-2</v>
      </c>
      <c r="K13" s="571"/>
      <c r="L13" s="396" t="s">
        <v>420</v>
      </c>
      <c r="M13" s="413">
        <f t="shared" si="5"/>
        <v>8000000</v>
      </c>
      <c r="N13" s="451">
        <v>500000</v>
      </c>
      <c r="O13" s="451">
        <f t="shared" ref="O13:AA13" si="8">N13</f>
        <v>500000</v>
      </c>
      <c r="P13" s="451">
        <f t="shared" si="8"/>
        <v>500000</v>
      </c>
      <c r="Q13" s="451">
        <f t="shared" si="8"/>
        <v>500000</v>
      </c>
      <c r="R13" s="451">
        <f t="shared" si="8"/>
        <v>500000</v>
      </c>
      <c r="S13" s="451">
        <f t="shared" si="8"/>
        <v>500000</v>
      </c>
      <c r="T13" s="451">
        <f t="shared" si="8"/>
        <v>500000</v>
      </c>
      <c r="U13" s="451">
        <f t="shared" si="8"/>
        <v>500000</v>
      </c>
      <c r="V13" s="451">
        <f t="shared" si="8"/>
        <v>500000</v>
      </c>
      <c r="W13" s="451">
        <f t="shared" si="8"/>
        <v>500000</v>
      </c>
      <c r="X13" s="451">
        <f t="shared" si="8"/>
        <v>500000</v>
      </c>
      <c r="Y13" s="451">
        <f t="shared" si="8"/>
        <v>500000</v>
      </c>
      <c r="Z13" s="451">
        <f t="shared" si="8"/>
        <v>500000</v>
      </c>
      <c r="AA13" s="451">
        <f t="shared" si="8"/>
        <v>500000</v>
      </c>
      <c r="AB13" s="451">
        <v>0</v>
      </c>
      <c r="AC13" s="451">
        <v>500000</v>
      </c>
      <c r="AD13" s="398">
        <f>AC13</f>
        <v>500000</v>
      </c>
    </row>
    <row r="14" spans="1:33" ht="18.75" x14ac:dyDescent="0.3">
      <c r="A14" s="410"/>
      <c r="B14" s="411">
        <f>SUM(B6:B13)</f>
        <v>1</v>
      </c>
      <c r="D14" s="357"/>
      <c r="E14" s="420"/>
      <c r="G14" s="379" t="s">
        <v>421</v>
      </c>
      <c r="H14" s="435">
        <f>959086-941000-910+1751596-1140-1841100+1184557-1900-1169788+451488+3362243-2752436</f>
        <v>1000696</v>
      </c>
      <c r="I14" s="354">
        <f t="shared" si="6"/>
        <v>1.0634035798492345E-2</v>
      </c>
      <c r="K14" s="407" t="s">
        <v>422</v>
      </c>
      <c r="L14" s="408"/>
      <c r="M14" s="414">
        <f t="shared" si="5"/>
        <v>32316867</v>
      </c>
      <c r="N14" s="409">
        <f t="shared" ref="N14:AD14" si="9">SUM(N6:N13)</f>
        <v>6419847</v>
      </c>
      <c r="O14" s="409">
        <f t="shared" si="9"/>
        <v>741744</v>
      </c>
      <c r="P14" s="409">
        <f t="shared" si="9"/>
        <v>878965</v>
      </c>
      <c r="Q14" s="409">
        <f t="shared" si="9"/>
        <v>1514638</v>
      </c>
      <c r="R14" s="409">
        <f t="shared" si="9"/>
        <v>818951</v>
      </c>
      <c r="S14" s="409">
        <f t="shared" si="9"/>
        <v>2543031</v>
      </c>
      <c r="T14" s="409">
        <f t="shared" si="9"/>
        <v>1088509</v>
      </c>
      <c r="U14" s="409">
        <f t="shared" si="9"/>
        <v>819675</v>
      </c>
      <c r="V14" s="409">
        <f t="shared" si="9"/>
        <v>1238675</v>
      </c>
      <c r="W14" s="409">
        <f t="shared" si="9"/>
        <v>895449</v>
      </c>
      <c r="X14" s="409">
        <f t="shared" si="9"/>
        <v>2503862</v>
      </c>
      <c r="Y14" s="409">
        <f t="shared" si="9"/>
        <v>769354</v>
      </c>
      <c r="Z14" s="409">
        <f t="shared" si="9"/>
        <v>5026119</v>
      </c>
      <c r="AA14" s="409">
        <f t="shared" si="9"/>
        <v>1177562</v>
      </c>
      <c r="AB14" s="409">
        <f t="shared" si="9"/>
        <v>350638</v>
      </c>
      <c r="AC14" s="409">
        <f t="shared" si="9"/>
        <v>4487899</v>
      </c>
      <c r="AD14" s="409">
        <f t="shared" si="9"/>
        <v>1041949</v>
      </c>
    </row>
    <row r="15" spans="1:33" ht="18.75" x14ac:dyDescent="0.3">
      <c r="A15" s="552">
        <f>M14</f>
        <v>32316867</v>
      </c>
      <c r="B15" s="552"/>
      <c r="D15" s="348" t="s">
        <v>423</v>
      </c>
      <c r="E15" s="349">
        <f>SUM(E16:E19)</f>
        <v>38343569</v>
      </c>
      <c r="F15" s="419">
        <f>E15/E35</f>
        <v>0.40746329093746886</v>
      </c>
      <c r="G15" s="379" t="s">
        <v>424</v>
      </c>
      <c r="H15" s="435">
        <f>-832071</f>
        <v>-832071</v>
      </c>
      <c r="I15" s="354">
        <f t="shared" si="6"/>
        <v>-8.8421186862816716E-3</v>
      </c>
      <c r="K15" s="403" t="s">
        <v>425</v>
      </c>
      <c r="L15" s="404" t="str">
        <f>K15</f>
        <v>Sueldos</v>
      </c>
      <c r="M15" s="362">
        <f t="shared" si="5"/>
        <v>1317753</v>
      </c>
      <c r="N15" s="452">
        <v>82664</v>
      </c>
      <c r="O15" s="452">
        <v>79866</v>
      </c>
      <c r="P15" s="452">
        <v>85172</v>
      </c>
      <c r="Q15" s="452">
        <v>84882</v>
      </c>
      <c r="R15" s="452">
        <v>85994</v>
      </c>
      <c r="S15" s="452">
        <v>86426</v>
      </c>
      <c r="T15" s="452">
        <f>S15-1000</f>
        <v>85426</v>
      </c>
      <c r="U15" s="452">
        <f>T15-1000</f>
        <v>84426</v>
      </c>
      <c r="V15" s="452">
        <v>82000</v>
      </c>
      <c r="W15" s="452">
        <v>73302</v>
      </c>
      <c r="X15" s="452">
        <v>71226</v>
      </c>
      <c r="Y15" s="452">
        <v>70278</v>
      </c>
      <c r="Z15" s="452">
        <f>66000+1840</f>
        <v>67840</v>
      </c>
      <c r="AA15" s="452">
        <f>64518+615</f>
        <v>65133</v>
      </c>
      <c r="AB15" s="452">
        <v>64238</v>
      </c>
      <c r="AC15" s="452">
        <v>74412</v>
      </c>
      <c r="AD15" s="401">
        <v>74468</v>
      </c>
    </row>
    <row r="16" spans="1:33" x14ac:dyDescent="0.25">
      <c r="D16" s="360" t="s">
        <v>426</v>
      </c>
      <c r="E16" s="361">
        <v>0</v>
      </c>
      <c r="F16" s="45">
        <f>E16/E35</f>
        <v>0</v>
      </c>
      <c r="G16" s="430" t="s">
        <v>427</v>
      </c>
      <c r="H16" s="426">
        <f>E29-H26</f>
        <v>6303001</v>
      </c>
      <c r="I16" s="354">
        <f t="shared" si="6"/>
        <v>6.6979720386544012E-2</v>
      </c>
      <c r="K16" s="403" t="s">
        <v>428</v>
      </c>
      <c r="L16" s="404" t="str">
        <f>K16</f>
        <v xml:space="preserve">Mantenimiento </v>
      </c>
      <c r="M16" s="362">
        <f t="shared" si="5"/>
        <v>834649</v>
      </c>
      <c r="N16" s="452">
        <v>49097</v>
      </c>
      <c r="O16" s="452">
        <f t="shared" ref="O16:AD16" si="10">N16</f>
        <v>49097</v>
      </c>
      <c r="P16" s="452">
        <f t="shared" si="10"/>
        <v>49097</v>
      </c>
      <c r="Q16" s="452">
        <f t="shared" si="10"/>
        <v>49097</v>
      </c>
      <c r="R16" s="452">
        <f t="shared" si="10"/>
        <v>49097</v>
      </c>
      <c r="S16" s="452">
        <f t="shared" si="10"/>
        <v>49097</v>
      </c>
      <c r="T16" s="452">
        <f t="shared" si="10"/>
        <v>49097</v>
      </c>
      <c r="U16" s="452">
        <f t="shared" si="10"/>
        <v>49097</v>
      </c>
      <c r="V16" s="452">
        <f t="shared" si="10"/>
        <v>49097</v>
      </c>
      <c r="W16" s="452">
        <f t="shared" si="10"/>
        <v>49097</v>
      </c>
      <c r="X16" s="452">
        <f t="shared" si="10"/>
        <v>49097</v>
      </c>
      <c r="Y16" s="452">
        <f t="shared" si="10"/>
        <v>49097</v>
      </c>
      <c r="Z16" s="452">
        <f t="shared" si="10"/>
        <v>49097</v>
      </c>
      <c r="AA16" s="452">
        <f t="shared" si="10"/>
        <v>49097</v>
      </c>
      <c r="AB16" s="452">
        <f t="shared" si="10"/>
        <v>49097</v>
      </c>
      <c r="AC16" s="452">
        <f t="shared" si="10"/>
        <v>49097</v>
      </c>
      <c r="AD16" s="401">
        <f t="shared" si="10"/>
        <v>49097</v>
      </c>
    </row>
    <row r="17" spans="1:30" ht="15.75" customHeight="1" x14ac:dyDescent="0.25">
      <c r="D17" s="360" t="s">
        <v>423</v>
      </c>
      <c r="E17" s="361">
        <f>11662680+35000</f>
        <v>11697680</v>
      </c>
      <c r="F17" s="45">
        <f>E17/E35</f>
        <v>0.12430703018629828</v>
      </c>
      <c r="G17" s="357"/>
      <c r="H17" s="334"/>
      <c r="I17" s="365"/>
      <c r="K17" s="403" t="s">
        <v>429</v>
      </c>
      <c r="L17" s="404" t="s">
        <v>400</v>
      </c>
      <c r="M17" s="362">
        <f t="shared" si="5"/>
        <v>0</v>
      </c>
      <c r="N17" s="452">
        <v>0</v>
      </c>
      <c r="O17" s="452">
        <v>0</v>
      </c>
      <c r="P17" s="452">
        <v>0</v>
      </c>
      <c r="Q17" s="452">
        <v>0</v>
      </c>
      <c r="R17" s="452">
        <v>0</v>
      </c>
      <c r="S17" s="452">
        <v>0</v>
      </c>
      <c r="T17" s="452">
        <v>0</v>
      </c>
      <c r="U17" s="452">
        <v>0</v>
      </c>
      <c r="V17" s="452">
        <v>0</v>
      </c>
      <c r="W17" s="452">
        <v>0</v>
      </c>
      <c r="X17" s="452">
        <v>0</v>
      </c>
      <c r="Y17" s="452">
        <v>0</v>
      </c>
      <c r="Z17" s="452">
        <v>0</v>
      </c>
      <c r="AA17" s="452">
        <v>0</v>
      </c>
      <c r="AB17" s="452">
        <v>0</v>
      </c>
      <c r="AC17" s="452">
        <v>0</v>
      </c>
      <c r="AD17" s="401">
        <v>0</v>
      </c>
    </row>
    <row r="18" spans="1:30" x14ac:dyDescent="0.25">
      <c r="D18" s="360" t="s">
        <v>430</v>
      </c>
      <c r="E18" s="361">
        <f>3852540+924+1308000+870+4689000+1490+1887000+1044+2327000+684+2040000+5268+1859461+3036+5093880+8148</f>
        <v>23078345</v>
      </c>
      <c r="F18" s="45">
        <f>E18/E35</f>
        <v>0.24524525620164048</v>
      </c>
      <c r="G18" s="348" t="s">
        <v>431</v>
      </c>
      <c r="H18" s="427">
        <f>H19</f>
        <v>18872869</v>
      </c>
      <c r="I18" s="350">
        <f>H18/$H$35</f>
        <v>0.20055517816225552</v>
      </c>
      <c r="K18" s="403" t="s">
        <v>432</v>
      </c>
      <c r="L18" s="404" t="str">
        <f>K18</f>
        <v>Empleados</v>
      </c>
      <c r="M18" s="362">
        <f t="shared" si="5"/>
        <v>1109760</v>
      </c>
      <c r="N18" s="452">
        <v>65280</v>
      </c>
      <c r="O18" s="452">
        <f t="shared" ref="O18:AD18" si="11">N18</f>
        <v>65280</v>
      </c>
      <c r="P18" s="452">
        <f t="shared" si="11"/>
        <v>65280</v>
      </c>
      <c r="Q18" s="452">
        <f t="shared" si="11"/>
        <v>65280</v>
      </c>
      <c r="R18" s="452">
        <f t="shared" si="11"/>
        <v>65280</v>
      </c>
      <c r="S18" s="452">
        <f t="shared" si="11"/>
        <v>65280</v>
      </c>
      <c r="T18" s="452">
        <f t="shared" si="11"/>
        <v>65280</v>
      </c>
      <c r="U18" s="452">
        <f t="shared" si="11"/>
        <v>65280</v>
      </c>
      <c r="V18" s="452">
        <f t="shared" si="11"/>
        <v>65280</v>
      </c>
      <c r="W18" s="452">
        <f t="shared" si="11"/>
        <v>65280</v>
      </c>
      <c r="X18" s="452">
        <f t="shared" si="11"/>
        <v>65280</v>
      </c>
      <c r="Y18" s="452">
        <f t="shared" si="11"/>
        <v>65280</v>
      </c>
      <c r="Z18" s="452">
        <f t="shared" si="11"/>
        <v>65280</v>
      </c>
      <c r="AA18" s="452">
        <f t="shared" si="11"/>
        <v>65280</v>
      </c>
      <c r="AB18" s="452">
        <f t="shared" si="11"/>
        <v>65280</v>
      </c>
      <c r="AC18" s="452">
        <f t="shared" si="11"/>
        <v>65280</v>
      </c>
      <c r="AD18" s="401">
        <f t="shared" si="11"/>
        <v>65280</v>
      </c>
    </row>
    <row r="19" spans="1:30" x14ac:dyDescent="0.25">
      <c r="D19" s="360" t="s">
        <v>433</v>
      </c>
      <c r="E19" s="361">
        <f>1548000+660+2017000+1884</f>
        <v>3567544</v>
      </c>
      <c r="F19" s="45">
        <f>E19/E35</f>
        <v>3.79110045495301E-2</v>
      </c>
      <c r="G19" s="366" t="s">
        <v>434</v>
      </c>
      <c r="H19" s="428">
        <f>M20</f>
        <v>18872869</v>
      </c>
      <c r="I19" s="354">
        <f>H19/$H$35</f>
        <v>0.20055517816225552</v>
      </c>
      <c r="K19" s="403" t="s">
        <v>435</v>
      </c>
      <c r="L19" s="404" t="str">
        <f>K19</f>
        <v>Juveniles</v>
      </c>
      <c r="M19" s="362">
        <f t="shared" si="5"/>
        <v>340000</v>
      </c>
      <c r="N19" s="452">
        <v>20000</v>
      </c>
      <c r="O19" s="452">
        <f t="shared" ref="O19:AD19" si="12">N19</f>
        <v>20000</v>
      </c>
      <c r="P19" s="452">
        <f t="shared" si="12"/>
        <v>20000</v>
      </c>
      <c r="Q19" s="452">
        <f t="shared" si="12"/>
        <v>20000</v>
      </c>
      <c r="R19" s="452">
        <f t="shared" si="12"/>
        <v>20000</v>
      </c>
      <c r="S19" s="452">
        <f t="shared" si="12"/>
        <v>20000</v>
      </c>
      <c r="T19" s="452">
        <f t="shared" si="12"/>
        <v>20000</v>
      </c>
      <c r="U19" s="452">
        <f t="shared" si="12"/>
        <v>20000</v>
      </c>
      <c r="V19" s="452">
        <f t="shared" si="12"/>
        <v>20000</v>
      </c>
      <c r="W19" s="452">
        <f t="shared" si="12"/>
        <v>20000</v>
      </c>
      <c r="X19" s="452">
        <f t="shared" si="12"/>
        <v>20000</v>
      </c>
      <c r="Y19" s="452">
        <f t="shared" si="12"/>
        <v>20000</v>
      </c>
      <c r="Z19" s="452">
        <f t="shared" si="12"/>
        <v>20000</v>
      </c>
      <c r="AA19" s="452">
        <f t="shared" si="12"/>
        <v>20000</v>
      </c>
      <c r="AB19" s="452">
        <f t="shared" si="12"/>
        <v>20000</v>
      </c>
      <c r="AC19" s="452">
        <f t="shared" si="12"/>
        <v>20000</v>
      </c>
      <c r="AD19" s="401">
        <f t="shared" si="12"/>
        <v>20000</v>
      </c>
    </row>
    <row r="20" spans="1:30" x14ac:dyDescent="0.25">
      <c r="D20" s="357"/>
      <c r="E20" s="420"/>
      <c r="G20" s="359"/>
      <c r="H20" s="334"/>
      <c r="I20" s="354"/>
      <c r="K20" s="403" t="s">
        <v>436</v>
      </c>
      <c r="L20" s="404" t="s">
        <v>434</v>
      </c>
      <c r="M20" s="362">
        <f t="shared" si="5"/>
        <v>18872869</v>
      </c>
      <c r="N20" s="452">
        <f>1486140+2484</f>
        <v>1488624</v>
      </c>
      <c r="O20" s="452">
        <f>3600000+3132+2017000+1884</f>
        <v>5622016</v>
      </c>
      <c r="P20" s="452">
        <v>0</v>
      </c>
      <c r="Q20" s="452">
        <f t="shared" ref="Q20:X21" si="13">P20</f>
        <v>0</v>
      </c>
      <c r="R20" s="452">
        <f t="shared" si="13"/>
        <v>0</v>
      </c>
      <c r="S20" s="452">
        <f t="shared" si="13"/>
        <v>0</v>
      </c>
      <c r="T20" s="452">
        <f t="shared" si="13"/>
        <v>0</v>
      </c>
      <c r="U20" s="452">
        <f t="shared" si="13"/>
        <v>0</v>
      </c>
      <c r="V20" s="452">
        <f t="shared" si="13"/>
        <v>0</v>
      </c>
      <c r="W20" s="452">
        <f t="shared" si="13"/>
        <v>0</v>
      </c>
      <c r="X20" s="452">
        <f t="shared" si="13"/>
        <v>0</v>
      </c>
      <c r="Y20" s="452">
        <f>2750000+2436</f>
        <v>2752436</v>
      </c>
      <c r="Z20" s="452">
        <v>0</v>
      </c>
      <c r="AA20" s="452">
        <f>Z20</f>
        <v>0</v>
      </c>
      <c r="AB20" s="452">
        <v>3907765</v>
      </c>
      <c r="AC20" s="452">
        <v>5102028</v>
      </c>
      <c r="AD20" s="401">
        <v>0</v>
      </c>
    </row>
    <row r="21" spans="1:30" x14ac:dyDescent="0.25">
      <c r="D21" s="348" t="s">
        <v>408</v>
      </c>
      <c r="E21" s="364">
        <f>E22</f>
        <v>14322704</v>
      </c>
      <c r="F21" s="419">
        <f>E21/E35</f>
        <v>0.15220221432603859</v>
      </c>
      <c r="G21" s="359"/>
      <c r="H21" s="334"/>
      <c r="I21" s="354"/>
      <c r="K21" s="553" t="s">
        <v>415</v>
      </c>
      <c r="L21" s="404" t="s">
        <v>403</v>
      </c>
      <c r="M21" s="362">
        <f t="shared" si="5"/>
        <v>0</v>
      </c>
      <c r="N21" s="452">
        <v>0</v>
      </c>
      <c r="O21" s="452">
        <f>N21</f>
        <v>0</v>
      </c>
      <c r="P21" s="452">
        <f>O21</f>
        <v>0</v>
      </c>
      <c r="Q21" s="452">
        <f t="shared" si="13"/>
        <v>0</v>
      </c>
      <c r="R21" s="452">
        <f t="shared" si="13"/>
        <v>0</v>
      </c>
      <c r="S21" s="452">
        <f t="shared" si="13"/>
        <v>0</v>
      </c>
      <c r="T21" s="452">
        <f t="shared" si="13"/>
        <v>0</v>
      </c>
      <c r="U21" s="452">
        <f t="shared" si="13"/>
        <v>0</v>
      </c>
      <c r="V21" s="452">
        <f t="shared" si="13"/>
        <v>0</v>
      </c>
      <c r="W21" s="452">
        <f t="shared" si="13"/>
        <v>0</v>
      </c>
      <c r="X21" s="452">
        <f t="shared" si="13"/>
        <v>0</v>
      </c>
      <c r="Y21" s="452">
        <f>X21</f>
        <v>0</v>
      </c>
      <c r="Z21" s="452">
        <f>Y21</f>
        <v>0</v>
      </c>
      <c r="AA21" s="452">
        <f>Z21</f>
        <v>0</v>
      </c>
      <c r="AB21" s="452">
        <f>AA21</f>
        <v>0</v>
      </c>
      <c r="AC21" s="452">
        <f>AB21</f>
        <v>0</v>
      </c>
      <c r="AD21" s="401">
        <f>AC21</f>
        <v>0</v>
      </c>
    </row>
    <row r="22" spans="1:30" x14ac:dyDescent="0.25">
      <c r="D22" s="360" t="s">
        <v>408</v>
      </c>
      <c r="E22" s="361">
        <f>M8+M9</f>
        <v>14322704</v>
      </c>
      <c r="F22" s="45">
        <f>E22/E35</f>
        <v>0.15220221432603859</v>
      </c>
      <c r="G22" s="348" t="s">
        <v>437</v>
      </c>
      <c r="H22" s="392">
        <f>SUM(H23:H24)</f>
        <v>0</v>
      </c>
      <c r="I22" s="350">
        <f>H22/$H$35</f>
        <v>0</v>
      </c>
      <c r="K22" s="554"/>
      <c r="L22" s="404" t="s">
        <v>438</v>
      </c>
      <c r="M22" s="362">
        <f t="shared" si="5"/>
        <v>89000</v>
      </c>
      <c r="N22" s="452">
        <v>12000</v>
      </c>
      <c r="O22" s="452">
        <v>3000</v>
      </c>
      <c r="P22" s="452">
        <v>0</v>
      </c>
      <c r="Q22" s="452">
        <v>0</v>
      </c>
      <c r="R22" s="452">
        <v>3000</v>
      </c>
      <c r="S22" s="452">
        <f>R22</f>
        <v>3000</v>
      </c>
      <c r="T22" s="452">
        <v>0</v>
      </c>
      <c r="U22" s="452">
        <v>0</v>
      </c>
      <c r="V22" s="452">
        <v>6000</v>
      </c>
      <c r="W22" s="452">
        <v>4000</v>
      </c>
      <c r="X22" s="452">
        <v>7000</v>
      </c>
      <c r="Y22" s="452">
        <v>8000</v>
      </c>
      <c r="Z22" s="452">
        <v>6000</v>
      </c>
      <c r="AA22" s="452">
        <v>7000</v>
      </c>
      <c r="AB22" s="452">
        <v>7000</v>
      </c>
      <c r="AC22" s="452">
        <v>12000</v>
      </c>
      <c r="AD22" s="401">
        <v>11000</v>
      </c>
    </row>
    <row r="23" spans="1:30" ht="18.75" x14ac:dyDescent="0.3">
      <c r="C23" s="368"/>
      <c r="D23" s="357"/>
      <c r="E23" s="420"/>
      <c r="G23" s="366" t="s">
        <v>400</v>
      </c>
      <c r="H23" s="429">
        <f>M17</f>
        <v>0</v>
      </c>
      <c r="I23" s="354">
        <f>H23/$H$35</f>
        <v>0</v>
      </c>
      <c r="K23" s="555"/>
      <c r="L23" s="404" t="s">
        <v>439</v>
      </c>
      <c r="M23" s="362">
        <f t="shared" si="5"/>
        <v>513593</v>
      </c>
      <c r="N23" s="452">
        <v>0</v>
      </c>
      <c r="O23" s="452">
        <f t="shared" ref="O23:R24" si="14">N23</f>
        <v>0</v>
      </c>
      <c r="P23" s="452">
        <f t="shared" si="14"/>
        <v>0</v>
      </c>
      <c r="Q23" s="452">
        <f t="shared" si="14"/>
        <v>0</v>
      </c>
      <c r="R23" s="452">
        <f t="shared" si="14"/>
        <v>0</v>
      </c>
      <c r="S23" s="452">
        <f>R23</f>
        <v>0</v>
      </c>
      <c r="T23" s="452">
        <f t="shared" ref="T23:AA24" si="15">S23</f>
        <v>0</v>
      </c>
      <c r="U23" s="452">
        <f t="shared" si="15"/>
        <v>0</v>
      </c>
      <c r="V23" s="452">
        <f t="shared" si="15"/>
        <v>0</v>
      </c>
      <c r="W23" s="452">
        <f t="shared" si="15"/>
        <v>0</v>
      </c>
      <c r="X23" s="452">
        <f t="shared" si="15"/>
        <v>0</v>
      </c>
      <c r="Y23" s="452">
        <f t="shared" si="15"/>
        <v>0</v>
      </c>
      <c r="Z23" s="452">
        <f t="shared" si="15"/>
        <v>0</v>
      </c>
      <c r="AA23" s="452">
        <f t="shared" si="15"/>
        <v>0</v>
      </c>
      <c r="AB23" s="452">
        <v>513593</v>
      </c>
      <c r="AC23" s="452">
        <v>0</v>
      </c>
      <c r="AD23" s="401">
        <v>0</v>
      </c>
    </row>
    <row r="24" spans="1:30" ht="18.75" x14ac:dyDescent="0.3">
      <c r="A24" s="369" t="str">
        <f t="shared" ref="A24:A31" si="16">L15</f>
        <v>Sueldos</v>
      </c>
      <c r="B24" s="370">
        <f t="shared" ref="B24:B31" si="17">M15/$M$25</f>
        <v>5.7100895655462627E-2</v>
      </c>
      <c r="C24" s="75"/>
      <c r="D24" s="348" t="s">
        <v>440</v>
      </c>
      <c r="E24" s="349">
        <f>E25+E26+E27</f>
        <v>19637656</v>
      </c>
      <c r="F24" s="419">
        <f>E24/E35</f>
        <v>0.20868229402583602</v>
      </c>
      <c r="G24" s="366" t="s">
        <v>403</v>
      </c>
      <c r="H24" s="429">
        <f>M21</f>
        <v>0</v>
      </c>
      <c r="I24" s="354">
        <f>H24/$H$35</f>
        <v>0</v>
      </c>
      <c r="K24" s="403" t="s">
        <v>441</v>
      </c>
      <c r="L24" s="404" t="str">
        <f>K24</f>
        <v>Intereses</v>
      </c>
      <c r="M24" s="362">
        <f t="shared" si="5"/>
        <v>0</v>
      </c>
      <c r="N24" s="452">
        <v>0</v>
      </c>
      <c r="O24" s="452">
        <f t="shared" si="14"/>
        <v>0</v>
      </c>
      <c r="P24" s="452">
        <f t="shared" si="14"/>
        <v>0</v>
      </c>
      <c r="Q24" s="452">
        <f t="shared" si="14"/>
        <v>0</v>
      </c>
      <c r="R24" s="452">
        <f t="shared" si="14"/>
        <v>0</v>
      </c>
      <c r="S24" s="452">
        <f>R24</f>
        <v>0</v>
      </c>
      <c r="T24" s="401">
        <f t="shared" si="15"/>
        <v>0</v>
      </c>
      <c r="U24" s="401">
        <f t="shared" si="15"/>
        <v>0</v>
      </c>
      <c r="V24" s="401">
        <f t="shared" si="15"/>
        <v>0</v>
      </c>
      <c r="W24" s="401">
        <f t="shared" si="15"/>
        <v>0</v>
      </c>
      <c r="X24" s="452">
        <f t="shared" si="15"/>
        <v>0</v>
      </c>
      <c r="Y24" s="452">
        <f t="shared" si="15"/>
        <v>0</v>
      </c>
      <c r="Z24" s="452">
        <f t="shared" si="15"/>
        <v>0</v>
      </c>
      <c r="AA24" s="452">
        <f t="shared" si="15"/>
        <v>0</v>
      </c>
      <c r="AB24" s="452">
        <f>AA24</f>
        <v>0</v>
      </c>
      <c r="AC24" s="452">
        <f>AB24</f>
        <v>0</v>
      </c>
      <c r="AD24" s="401">
        <f>AC24</f>
        <v>0</v>
      </c>
    </row>
    <row r="25" spans="1:30" ht="18.75" x14ac:dyDescent="0.3">
      <c r="A25" s="369" t="str">
        <f t="shared" si="16"/>
        <v xml:space="preserve">Mantenimiento </v>
      </c>
      <c r="B25" s="370">
        <f t="shared" si="17"/>
        <v>3.616702482023279E-2</v>
      </c>
      <c r="C25" s="335"/>
      <c r="D25" s="379" t="s">
        <v>442</v>
      </c>
      <c r="E25" s="380">
        <f>N5</f>
        <v>12151249</v>
      </c>
      <c r="F25" s="45">
        <f>E25/E35</f>
        <v>0.12912694450901605</v>
      </c>
      <c r="G25" s="359"/>
      <c r="H25" s="334"/>
      <c r="I25" s="354"/>
      <c r="K25" s="405" t="s">
        <v>443</v>
      </c>
      <c r="L25" s="406"/>
      <c r="M25" s="367">
        <f t="shared" si="5"/>
        <v>23077624</v>
      </c>
      <c r="N25" s="402">
        <f t="shared" ref="N25:AD25" si="18">SUM(N15:N24)</f>
        <v>1717665</v>
      </c>
      <c r="O25" s="402">
        <f t="shared" si="18"/>
        <v>5839259</v>
      </c>
      <c r="P25" s="402">
        <f t="shared" si="18"/>
        <v>219549</v>
      </c>
      <c r="Q25" s="402">
        <f t="shared" si="18"/>
        <v>219259</v>
      </c>
      <c r="R25" s="402">
        <f t="shared" si="18"/>
        <v>223371</v>
      </c>
      <c r="S25" s="402">
        <f t="shared" si="18"/>
        <v>223803</v>
      </c>
      <c r="T25" s="402">
        <f t="shared" si="18"/>
        <v>219803</v>
      </c>
      <c r="U25" s="402">
        <f t="shared" si="18"/>
        <v>218803</v>
      </c>
      <c r="V25" s="402">
        <f t="shared" si="18"/>
        <v>222377</v>
      </c>
      <c r="W25" s="402">
        <f t="shared" si="18"/>
        <v>211679</v>
      </c>
      <c r="X25" s="402">
        <f t="shared" si="18"/>
        <v>212603</v>
      </c>
      <c r="Y25" s="402">
        <f t="shared" si="18"/>
        <v>2965091</v>
      </c>
      <c r="Z25" s="402">
        <f t="shared" si="18"/>
        <v>208217</v>
      </c>
      <c r="AA25" s="402">
        <f t="shared" si="18"/>
        <v>206510</v>
      </c>
      <c r="AB25" s="402">
        <f t="shared" si="18"/>
        <v>4626973</v>
      </c>
      <c r="AC25" s="402">
        <f t="shared" si="18"/>
        <v>5322817</v>
      </c>
      <c r="AD25" s="402">
        <f t="shared" si="18"/>
        <v>219845</v>
      </c>
    </row>
    <row r="26" spans="1:30" ht="18.75" x14ac:dyDescent="0.3">
      <c r="A26" s="369" t="str">
        <f t="shared" si="16"/>
        <v>Estadio</v>
      </c>
      <c r="B26" s="370">
        <f t="shared" si="17"/>
        <v>0</v>
      </c>
      <c r="C26" s="4"/>
      <c r="D26" s="379" t="str">
        <f>D12</f>
        <v>Ing Reservas</v>
      </c>
      <c r="E26" s="380">
        <f>M13</f>
        <v>8000000</v>
      </c>
      <c r="F26" s="45">
        <f>E26/E35</f>
        <v>8.501311725832697E-2</v>
      </c>
      <c r="G26" s="348" t="s">
        <v>444</v>
      </c>
      <c r="H26" s="392">
        <f>SUM(H27:H32)</f>
        <v>3691162</v>
      </c>
      <c r="I26" s="350">
        <f t="shared" ref="I26:I32" si="19">H26/$H$35</f>
        <v>3.9224648490685084E-2</v>
      </c>
      <c r="K26" s="371" t="s">
        <v>445</v>
      </c>
      <c r="L26" s="371"/>
      <c r="M26" s="343">
        <f t="shared" ref="M26:AD26" si="20">M5+M14-M25</f>
        <v>21390492</v>
      </c>
      <c r="N26" s="343">
        <f t="shared" si="20"/>
        <v>16853431</v>
      </c>
      <c r="O26" s="343">
        <f t="shared" si="20"/>
        <v>11755916</v>
      </c>
      <c r="P26" s="343">
        <f t="shared" si="20"/>
        <v>12415332</v>
      </c>
      <c r="Q26" s="343">
        <f t="shared" si="20"/>
        <v>13710711</v>
      </c>
      <c r="R26" s="343">
        <f t="shared" si="20"/>
        <v>14306291</v>
      </c>
      <c r="S26" s="343">
        <f t="shared" si="20"/>
        <v>16625519</v>
      </c>
      <c r="T26" s="343">
        <f t="shared" si="20"/>
        <v>17494225</v>
      </c>
      <c r="U26" s="343">
        <f t="shared" si="20"/>
        <v>18095097</v>
      </c>
      <c r="V26" s="343">
        <f t="shared" si="20"/>
        <v>19111395</v>
      </c>
      <c r="W26" s="343">
        <f t="shared" si="20"/>
        <v>19795165</v>
      </c>
      <c r="X26" s="343">
        <f t="shared" si="20"/>
        <v>22086424</v>
      </c>
      <c r="Y26" s="343">
        <f t="shared" si="20"/>
        <v>19890687</v>
      </c>
      <c r="Z26" s="343">
        <f t="shared" si="20"/>
        <v>24708589</v>
      </c>
      <c r="AA26" s="343">
        <f t="shared" si="20"/>
        <v>25679641</v>
      </c>
      <c r="AB26" s="343">
        <f t="shared" si="20"/>
        <v>21403306</v>
      </c>
      <c r="AC26" s="343">
        <f t="shared" si="20"/>
        <v>20568388</v>
      </c>
      <c r="AD26" s="343">
        <f t="shared" si="20"/>
        <v>21390492</v>
      </c>
    </row>
    <row r="27" spans="1:30" x14ac:dyDescent="0.25">
      <c r="A27" s="369" t="str">
        <f t="shared" si="16"/>
        <v>Empleados</v>
      </c>
      <c r="B27" s="370">
        <f t="shared" si="17"/>
        <v>4.8088139402912539E-2</v>
      </c>
      <c r="C27" s="3"/>
      <c r="D27" s="379" t="str">
        <f>D13</f>
        <v>Pago Reservas</v>
      </c>
      <c r="E27" s="380">
        <f>M23*-1</f>
        <v>-513593</v>
      </c>
      <c r="F27" s="45">
        <f>E27/E35</f>
        <v>-5.45776774150699E-3</v>
      </c>
      <c r="G27" s="366" t="s">
        <v>446</v>
      </c>
      <c r="H27" s="429">
        <f>M15</f>
        <v>1317753</v>
      </c>
      <c r="I27" s="354">
        <f t="shared" si="19"/>
        <v>1.4003286288314017E-2</v>
      </c>
      <c r="K27" s="372"/>
      <c r="L27" s="372"/>
      <c r="M27" s="372"/>
      <c r="N27" s="373">
        <f>N1+7</f>
        <v>43644</v>
      </c>
      <c r="O27" s="373">
        <f t="shared" ref="O27:AD27" si="21">N27+7</f>
        <v>43651</v>
      </c>
      <c r="P27" s="373">
        <f t="shared" si="21"/>
        <v>43658</v>
      </c>
      <c r="Q27" s="373">
        <f t="shared" si="21"/>
        <v>43665</v>
      </c>
      <c r="R27" s="373">
        <f t="shared" si="21"/>
        <v>43672</v>
      </c>
      <c r="S27" s="373">
        <f t="shared" si="21"/>
        <v>43679</v>
      </c>
      <c r="T27" s="373">
        <f t="shared" si="21"/>
        <v>43686</v>
      </c>
      <c r="U27" s="373">
        <f t="shared" si="21"/>
        <v>43693</v>
      </c>
      <c r="V27" s="373">
        <f t="shared" si="21"/>
        <v>43700</v>
      </c>
      <c r="W27" s="373">
        <f t="shared" si="21"/>
        <v>43707</v>
      </c>
      <c r="X27" s="373">
        <f t="shared" si="21"/>
        <v>43714</v>
      </c>
      <c r="Y27" s="373">
        <f t="shared" si="21"/>
        <v>43721</v>
      </c>
      <c r="Z27" s="373">
        <f t="shared" si="21"/>
        <v>43728</v>
      </c>
      <c r="AA27" s="373">
        <f t="shared" si="21"/>
        <v>43735</v>
      </c>
      <c r="AB27" s="373">
        <f t="shared" si="21"/>
        <v>43742</v>
      </c>
      <c r="AC27" s="373">
        <f t="shared" si="21"/>
        <v>43749</v>
      </c>
      <c r="AD27" s="373">
        <f t="shared" si="21"/>
        <v>43756</v>
      </c>
    </row>
    <row r="28" spans="1:30" x14ac:dyDescent="0.25">
      <c r="A28" s="369" t="str">
        <f t="shared" si="16"/>
        <v>Juveniles</v>
      </c>
      <c r="B28" s="370">
        <f t="shared" si="17"/>
        <v>1.4732885846480557E-2</v>
      </c>
      <c r="C28" s="4"/>
      <c r="D28" s="359"/>
      <c r="E28" s="363"/>
      <c r="F28" s="45"/>
      <c r="G28" s="366" t="s">
        <v>428</v>
      </c>
      <c r="H28" s="429">
        <f>M16</f>
        <v>834649</v>
      </c>
      <c r="I28" s="354">
        <f t="shared" si="19"/>
        <v>8.8695141633181682E-3</v>
      </c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</row>
    <row r="29" spans="1:30" x14ac:dyDescent="0.25">
      <c r="A29" s="369" t="str">
        <f t="shared" si="16"/>
        <v>Compra</v>
      </c>
      <c r="B29" s="370">
        <f t="shared" si="17"/>
        <v>0.81779948403700486</v>
      </c>
      <c r="D29" s="348" t="s">
        <v>447</v>
      </c>
      <c r="E29" s="349">
        <f>SUM(E30:E34)</f>
        <v>9994163</v>
      </c>
      <c r="F29" s="419">
        <f>E29/E35</f>
        <v>0.1062043688772291</v>
      </c>
      <c r="G29" s="366" t="s">
        <v>432</v>
      </c>
      <c r="H29" s="429">
        <f>M18</f>
        <v>1109760</v>
      </c>
      <c r="I29" s="354">
        <f t="shared" si="19"/>
        <v>1.1793019626075117E-2</v>
      </c>
      <c r="K29" s="375"/>
      <c r="L29" s="375"/>
      <c r="M29" s="376" t="s">
        <v>423</v>
      </c>
      <c r="N29" s="377"/>
      <c r="O29" s="377">
        <v>22</v>
      </c>
      <c r="P29" s="377">
        <v>25</v>
      </c>
      <c r="Q29" s="377">
        <v>24</v>
      </c>
      <c r="R29" s="377">
        <v>25</v>
      </c>
      <c r="S29" s="377">
        <v>24</v>
      </c>
      <c r="T29" s="377"/>
      <c r="U29" s="377"/>
      <c r="V29" s="377"/>
      <c r="W29" s="377"/>
      <c r="X29" s="377"/>
      <c r="Y29" s="377">
        <v>22</v>
      </c>
      <c r="Z29" s="377"/>
      <c r="AA29" s="377"/>
      <c r="AB29" s="377"/>
      <c r="AC29" s="377"/>
      <c r="AD29" s="377">
        <v>21</v>
      </c>
    </row>
    <row r="30" spans="1:30" x14ac:dyDescent="0.25">
      <c r="A30" s="369" t="str">
        <f t="shared" si="16"/>
        <v>Entrenador</v>
      </c>
      <c r="B30" s="370">
        <f t="shared" si="17"/>
        <v>0</v>
      </c>
      <c r="D30" s="379" t="s">
        <v>395</v>
      </c>
      <c r="E30" s="380">
        <f>M11</f>
        <v>194700</v>
      </c>
      <c r="F30" s="45">
        <f>E30/E35</f>
        <v>2.0690067412745326E-3</v>
      </c>
      <c r="G30" s="366" t="s">
        <v>435</v>
      </c>
      <c r="H30" s="429">
        <f>M19</f>
        <v>340000</v>
      </c>
      <c r="I30" s="354">
        <f t="shared" si="19"/>
        <v>3.6130574834788961E-3</v>
      </c>
      <c r="K30" s="4"/>
      <c r="L30" s="556" t="s">
        <v>448</v>
      </c>
      <c r="M30" s="378" t="s">
        <v>103</v>
      </c>
      <c r="N30" s="377"/>
      <c r="O30" s="377">
        <v>345970</v>
      </c>
      <c r="P30" s="377">
        <v>414040</v>
      </c>
      <c r="Q30" s="377">
        <v>409350</v>
      </c>
      <c r="R30" s="377">
        <v>405290</v>
      </c>
      <c r="S30" s="377">
        <v>401840</v>
      </c>
      <c r="T30" s="377"/>
      <c r="U30" s="377"/>
      <c r="V30" s="377"/>
      <c r="W30" s="377"/>
      <c r="X30" s="377"/>
      <c r="Y30" s="377">
        <v>384850</v>
      </c>
      <c r="Z30" s="377"/>
      <c r="AA30" s="377"/>
      <c r="AB30" s="377"/>
      <c r="AC30" s="377"/>
      <c r="AD30" s="377">
        <v>430160</v>
      </c>
    </row>
    <row r="31" spans="1:30" x14ac:dyDescent="0.25">
      <c r="A31" s="369" t="str">
        <f t="shared" si="16"/>
        <v>Viajes+Venta</v>
      </c>
      <c r="B31" s="370">
        <f t="shared" si="17"/>
        <v>3.8565495304022633E-3</v>
      </c>
      <c r="D31" s="379" t="s">
        <v>418</v>
      </c>
      <c r="E31" s="380">
        <f>M12</f>
        <v>1215000</v>
      </c>
      <c r="F31" s="45">
        <f>E31/E35</f>
        <v>1.2911367183608408E-2</v>
      </c>
      <c r="G31" s="366" t="s">
        <v>438</v>
      </c>
      <c r="H31" s="429">
        <f>M22</f>
        <v>89000</v>
      </c>
      <c r="I31" s="354">
        <f t="shared" si="19"/>
        <v>9.4577092949888755E-4</v>
      </c>
      <c r="K31" s="4"/>
      <c r="L31" s="556"/>
      <c r="M31" s="378" t="s">
        <v>352</v>
      </c>
      <c r="N31" s="377"/>
      <c r="O31" s="377">
        <v>79566</v>
      </c>
      <c r="P31" s="377">
        <v>84872</v>
      </c>
      <c r="Q31" s="377">
        <v>85038</v>
      </c>
      <c r="R31" s="377">
        <v>86476</v>
      </c>
      <c r="S31" s="377">
        <v>86476</v>
      </c>
      <c r="T31" s="377"/>
      <c r="U31" s="377"/>
      <c r="V31" s="377"/>
      <c r="W31" s="377"/>
      <c r="X31" s="377"/>
      <c r="Y31" s="377">
        <v>70794</v>
      </c>
      <c r="Z31" s="377"/>
      <c r="AA31" s="377"/>
      <c r="AB31" s="377"/>
      <c r="AC31" s="377"/>
      <c r="AD31" s="377">
        <v>73878</v>
      </c>
    </row>
    <row r="32" spans="1:30" x14ac:dyDescent="0.25">
      <c r="A32" s="369" t="str">
        <f>L24</f>
        <v>Intereses</v>
      </c>
      <c r="B32" s="370">
        <f>M24/$M$25</f>
        <v>0</v>
      </c>
      <c r="D32" s="379" t="s">
        <v>402</v>
      </c>
      <c r="E32" s="380">
        <f>M6</f>
        <v>3664610</v>
      </c>
      <c r="F32" s="45">
        <f>E32/E35</f>
        <v>3.8942489954504701E-2</v>
      </c>
      <c r="G32" s="366" t="s">
        <v>441</v>
      </c>
      <c r="H32" s="429">
        <f>M24</f>
        <v>0</v>
      </c>
      <c r="I32" s="354">
        <f t="shared" si="19"/>
        <v>0</v>
      </c>
      <c r="K32" s="4"/>
      <c r="L32" s="556"/>
      <c r="M32" s="378" t="s">
        <v>449</v>
      </c>
      <c r="N32" s="377"/>
      <c r="O32" s="377">
        <v>280250</v>
      </c>
      <c r="P32" s="377">
        <v>325260</v>
      </c>
      <c r="Q32" s="377">
        <v>321450</v>
      </c>
      <c r="R32" s="377">
        <v>315120</v>
      </c>
      <c r="S32" s="377">
        <v>307290</v>
      </c>
      <c r="T32" s="377"/>
      <c r="U32" s="377"/>
      <c r="V32" s="377"/>
      <c r="W32" s="377"/>
      <c r="X32" s="377"/>
      <c r="Y32" s="377">
        <v>304820</v>
      </c>
      <c r="Z32" s="377"/>
      <c r="AA32" s="377"/>
      <c r="AB32" s="377"/>
      <c r="AC32" s="377"/>
      <c r="AD32" s="377">
        <v>348580</v>
      </c>
    </row>
    <row r="33" spans="1:30" ht="18.75" x14ac:dyDescent="0.3">
      <c r="A33" s="4"/>
      <c r="B33" s="382">
        <f>SUM(B24:B32)</f>
        <v>0.9777449792924956</v>
      </c>
      <c r="D33" s="379" t="s">
        <v>405</v>
      </c>
      <c r="E33" s="380">
        <f>M7</f>
        <v>4298979</v>
      </c>
      <c r="F33" s="45">
        <f>E33/E35</f>
        <v>4.5683700727260648E-2</v>
      </c>
      <c r="G33" s="359"/>
      <c r="H33" s="334"/>
      <c r="I33" s="354"/>
      <c r="K33" s="4"/>
      <c r="L33" s="556"/>
      <c r="M33" s="378" t="s">
        <v>450</v>
      </c>
      <c r="N33" s="377"/>
      <c r="O33" s="377">
        <v>65410</v>
      </c>
      <c r="P33" s="377">
        <v>60046</v>
      </c>
      <c r="Q33" s="377">
        <v>58040</v>
      </c>
      <c r="R33" s="377">
        <v>59634</v>
      </c>
      <c r="S33" s="377">
        <v>58794</v>
      </c>
      <c r="T33" s="377"/>
      <c r="U33" s="377"/>
      <c r="V33" s="377"/>
      <c r="W33" s="377"/>
      <c r="X33" s="377"/>
      <c r="Y33" s="377">
        <v>52440</v>
      </c>
      <c r="Z33" s="377"/>
      <c r="AA33" s="377"/>
      <c r="AB33" s="377"/>
      <c r="AC33" s="377"/>
      <c r="AD33" s="377">
        <v>50018</v>
      </c>
    </row>
    <row r="34" spans="1:30" ht="18.75" x14ac:dyDescent="0.3">
      <c r="A34" s="3"/>
      <c r="B34" s="384"/>
      <c r="D34" s="421" t="s">
        <v>412</v>
      </c>
      <c r="E34" s="422">
        <f>M10</f>
        <v>620874</v>
      </c>
      <c r="F34" s="45">
        <f>E34/E35</f>
        <v>6.5978042705808126E-3</v>
      </c>
      <c r="G34" s="433"/>
      <c r="H34" s="434"/>
      <c r="I34" s="432"/>
      <c r="K34" s="4"/>
      <c r="L34" s="556"/>
      <c r="M34" s="378" t="s">
        <v>451</v>
      </c>
      <c r="N34" s="381"/>
      <c r="O34" s="381" t="s">
        <v>452</v>
      </c>
      <c r="P34" s="381" t="s">
        <v>453</v>
      </c>
      <c r="Q34" s="381" t="s">
        <v>454</v>
      </c>
      <c r="R34" s="381" t="s">
        <v>455</v>
      </c>
      <c r="S34" s="381" t="s">
        <v>456</v>
      </c>
      <c r="T34" s="381"/>
      <c r="U34" s="381"/>
      <c r="V34" s="381"/>
      <c r="W34" s="381"/>
      <c r="X34" s="381"/>
      <c r="Y34" s="381" t="s">
        <v>457</v>
      </c>
      <c r="Z34" s="381"/>
      <c r="AA34" s="381"/>
      <c r="AB34" s="381"/>
      <c r="AC34" s="381"/>
      <c r="AD34" s="381" t="s">
        <v>458</v>
      </c>
    </row>
    <row r="35" spans="1:30" ht="18.75" x14ac:dyDescent="0.3">
      <c r="A35" s="557">
        <f>M25</f>
        <v>23077624</v>
      </c>
      <c r="B35" s="557"/>
      <c r="D35" s="423" t="s">
        <v>459</v>
      </c>
      <c r="E35" s="424">
        <f>E29+E21+E15+E5+E10+E24</f>
        <v>94103125</v>
      </c>
      <c r="F35" s="385">
        <f>F29+F21+F15+F5+F10+F24</f>
        <v>0.99999999999999989</v>
      </c>
      <c r="G35" s="423" t="s">
        <v>459</v>
      </c>
      <c r="H35" s="424">
        <f>H26+H18+H10+H5+H22</f>
        <v>94103125</v>
      </c>
      <c r="I35" s="431">
        <f>H35/$H$35</f>
        <v>1</v>
      </c>
      <c r="K35" s="4"/>
      <c r="L35" s="556"/>
      <c r="M35" s="378" t="s">
        <v>460</v>
      </c>
      <c r="N35" s="383"/>
      <c r="O35" s="383">
        <v>5.5</v>
      </c>
      <c r="P35" s="383">
        <v>5.75</v>
      </c>
      <c r="Q35" s="383">
        <v>5.5</v>
      </c>
      <c r="R35" s="383">
        <v>5.5</v>
      </c>
      <c r="S35" s="383">
        <v>5.25</v>
      </c>
      <c r="T35" s="383"/>
      <c r="U35" s="383"/>
      <c r="V35" s="383"/>
      <c r="W35" s="383"/>
      <c r="X35" s="383"/>
      <c r="Y35" s="383">
        <v>5</v>
      </c>
      <c r="Z35" s="383"/>
      <c r="AA35" s="383"/>
      <c r="AB35" s="383"/>
      <c r="AC35" s="383"/>
      <c r="AD35" s="383">
        <v>5.5</v>
      </c>
    </row>
    <row r="36" spans="1:30" x14ac:dyDescent="0.25">
      <c r="E36" s="334"/>
      <c r="F36" s="386"/>
      <c r="G36" s="387"/>
      <c r="H36" s="388">
        <f>E35-H35</f>
        <v>0</v>
      </c>
      <c r="I36" s="334"/>
      <c r="K36" s="4"/>
      <c r="L36" s="556"/>
      <c r="M36" s="378" t="s">
        <v>461</v>
      </c>
      <c r="N36" s="383"/>
      <c r="O36" s="383">
        <v>5.5</v>
      </c>
      <c r="P36" s="383">
        <v>6</v>
      </c>
      <c r="Q36" s="383">
        <v>6.25</v>
      </c>
      <c r="R36" s="383">
        <v>6</v>
      </c>
      <c r="S36" s="383">
        <v>5.75</v>
      </c>
      <c r="T36" s="383"/>
      <c r="U36" s="383"/>
      <c r="V36" s="383"/>
      <c r="W36" s="383"/>
      <c r="X36" s="383"/>
      <c r="Y36" s="383">
        <v>5.5</v>
      </c>
      <c r="Z36" s="383"/>
      <c r="AA36" s="383"/>
      <c r="AB36" s="383"/>
      <c r="AC36" s="383"/>
      <c r="AD36" s="383">
        <v>6</v>
      </c>
    </row>
    <row r="37" spans="1:30" x14ac:dyDescent="0.25">
      <c r="E37" s="334"/>
      <c r="F37" s="334"/>
      <c r="H37" s="334"/>
      <c r="I37" s="334"/>
      <c r="K37" s="4"/>
      <c r="L37" s="556"/>
      <c r="M37" s="378" t="s">
        <v>462</v>
      </c>
      <c r="N37" s="383"/>
      <c r="O37" s="383">
        <v>11.75</v>
      </c>
      <c r="P37" s="383">
        <v>10.75</v>
      </c>
      <c r="Q37" s="383">
        <v>9.5</v>
      </c>
      <c r="R37" s="383">
        <v>9.75</v>
      </c>
      <c r="S37" s="383">
        <v>9.25</v>
      </c>
      <c r="T37" s="383"/>
      <c r="U37" s="383"/>
      <c r="V37" s="383"/>
      <c r="W37" s="383"/>
      <c r="X37" s="383"/>
      <c r="Y37" s="383">
        <v>8.25</v>
      </c>
      <c r="Z37" s="383"/>
      <c r="AA37" s="383"/>
      <c r="AB37" s="383"/>
      <c r="AC37" s="383"/>
      <c r="AD37" s="383">
        <v>5.25</v>
      </c>
    </row>
    <row r="38" spans="1:30" ht="15.75" x14ac:dyDescent="0.25">
      <c r="D38" s="390"/>
      <c r="E38" s="391"/>
      <c r="F38" s="334"/>
      <c r="G38" s="4"/>
      <c r="H38" s="392"/>
      <c r="I38" s="392"/>
      <c r="K38" s="4"/>
      <c r="L38" s="4"/>
      <c r="M38" s="338" t="s">
        <v>463</v>
      </c>
      <c r="N38" s="389"/>
      <c r="O38" s="389">
        <f t="shared" ref="O38:AD38" si="22">O30/O31</f>
        <v>4.3482140612824569</v>
      </c>
      <c r="P38" s="389">
        <f t="shared" si="22"/>
        <v>4.8784051277217459</v>
      </c>
      <c r="Q38" s="389">
        <f t="shared" si="22"/>
        <v>4.8137303323220211</v>
      </c>
      <c r="R38" s="389">
        <f t="shared" si="22"/>
        <v>4.6867338914843426</v>
      </c>
      <c r="S38" s="389">
        <f t="shared" si="22"/>
        <v>4.6468384291595353</v>
      </c>
      <c r="T38" s="389" t="e">
        <f t="shared" si="22"/>
        <v>#DIV/0!</v>
      </c>
      <c r="U38" s="389" t="e">
        <f t="shared" si="22"/>
        <v>#DIV/0!</v>
      </c>
      <c r="V38" s="389" t="e">
        <f t="shared" si="22"/>
        <v>#DIV/0!</v>
      </c>
      <c r="W38" s="389" t="e">
        <f t="shared" si="22"/>
        <v>#DIV/0!</v>
      </c>
      <c r="X38" s="389" t="e">
        <f t="shared" si="22"/>
        <v>#DIV/0!</v>
      </c>
      <c r="Y38" s="389">
        <f t="shared" si="22"/>
        <v>5.4361951577817331</v>
      </c>
      <c r="Z38" s="389" t="e">
        <f t="shared" si="22"/>
        <v>#DIV/0!</v>
      </c>
      <c r="AA38" s="389" t="e">
        <f t="shared" si="22"/>
        <v>#DIV/0!</v>
      </c>
      <c r="AB38" s="389" t="e">
        <f t="shared" si="22"/>
        <v>#DIV/0!</v>
      </c>
      <c r="AC38" s="389" t="e">
        <f t="shared" si="22"/>
        <v>#DIV/0!</v>
      </c>
      <c r="AD38" s="389">
        <f t="shared" si="22"/>
        <v>5.8225723490078236</v>
      </c>
    </row>
    <row r="39" spans="1:30" x14ac:dyDescent="0.25">
      <c r="E39" s="392"/>
      <c r="F39" s="334"/>
      <c r="H39" s="334"/>
      <c r="I39" s="334"/>
      <c r="K39" s="4"/>
      <c r="L39" s="4"/>
      <c r="M39" s="4"/>
      <c r="N39" s="58"/>
      <c r="O39" s="333"/>
      <c r="P39" s="550"/>
      <c r="Q39" s="550"/>
      <c r="R39" s="550"/>
      <c r="S39" s="550"/>
    </row>
    <row r="40" spans="1:30" x14ac:dyDescent="0.25">
      <c r="E40" s="334"/>
      <c r="F40" s="334"/>
      <c r="H40" s="334"/>
      <c r="I40" s="334"/>
      <c r="K40" s="4"/>
      <c r="L40" s="4"/>
      <c r="M40" s="4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AB40" s="394"/>
    </row>
    <row r="41" spans="1:30" x14ac:dyDescent="0.25">
      <c r="K41" s="4"/>
      <c r="L41" s="4"/>
      <c r="M41" s="4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454"/>
      <c r="Z41" s="333"/>
      <c r="AA41" s="333"/>
      <c r="AB41" s="454"/>
      <c r="AC41" s="454"/>
      <c r="AD41" s="333"/>
    </row>
    <row r="42" spans="1:30" x14ac:dyDescent="0.25">
      <c r="K42" s="4"/>
      <c r="L42" s="4"/>
      <c r="M42" s="4"/>
      <c r="O42" s="333"/>
      <c r="P42" s="551"/>
      <c r="Q42" s="551"/>
      <c r="R42" s="551"/>
      <c r="S42" s="551"/>
      <c r="V42" s="394"/>
    </row>
    <row r="43" spans="1:30" x14ac:dyDescent="0.25">
      <c r="K43" s="4"/>
      <c r="L43" s="4"/>
      <c r="M43" s="4"/>
      <c r="N43" s="394"/>
      <c r="O43" s="333"/>
      <c r="P43" s="28"/>
      <c r="Q43" s="28"/>
      <c r="R43" s="28"/>
      <c r="S43" s="28"/>
    </row>
    <row r="44" spans="1:30" x14ac:dyDescent="0.25">
      <c r="K44" s="4"/>
      <c r="L44" s="4"/>
      <c r="M44" s="4"/>
      <c r="O44" s="333"/>
      <c r="P44" s="551"/>
      <c r="Q44" s="551"/>
      <c r="R44" s="551"/>
      <c r="S44" s="551"/>
      <c r="Y44" s="394"/>
    </row>
    <row r="45" spans="1:30" x14ac:dyDescent="0.25">
      <c r="K45" s="4"/>
      <c r="L45" s="4"/>
      <c r="M45" s="4"/>
      <c r="O45" s="333"/>
      <c r="P45" s="551"/>
      <c r="Q45" s="551"/>
      <c r="R45" s="551"/>
      <c r="S45" s="395"/>
    </row>
    <row r="46" spans="1:30" x14ac:dyDescent="0.25">
      <c r="K46" s="4"/>
      <c r="L46" s="4"/>
      <c r="M46" s="4"/>
      <c r="O46" s="333"/>
    </row>
    <row r="47" spans="1:30" x14ac:dyDescent="0.25">
      <c r="K47" s="4"/>
      <c r="L47" s="4"/>
      <c r="M47" s="4"/>
      <c r="O47" s="333"/>
    </row>
    <row r="48" spans="1:30" x14ac:dyDescent="0.25">
      <c r="K48" s="4"/>
      <c r="L48" s="4"/>
      <c r="M48" s="4"/>
      <c r="O48" s="333"/>
    </row>
    <row r="49" spans="11:15" x14ac:dyDescent="0.25">
      <c r="K49" s="4"/>
      <c r="L49" s="4"/>
      <c r="M49" s="4"/>
      <c r="O49" s="333"/>
    </row>
    <row r="50" spans="11:15" x14ac:dyDescent="0.25">
      <c r="K50" s="4"/>
      <c r="L50" s="4"/>
      <c r="M50" s="4"/>
      <c r="O50" s="333"/>
    </row>
    <row r="51" spans="11:15" x14ac:dyDescent="0.25">
      <c r="K51" s="4"/>
      <c r="L51" s="4"/>
      <c r="M51" s="4"/>
      <c r="O51" s="333"/>
    </row>
    <row r="52" spans="11:15" x14ac:dyDescent="0.25">
      <c r="K52" s="4"/>
      <c r="L52" s="4"/>
      <c r="M52" s="4"/>
      <c r="O52" s="333"/>
    </row>
    <row r="53" spans="11:15" x14ac:dyDescent="0.25">
      <c r="K53" s="4"/>
      <c r="L53" s="4"/>
      <c r="M53" s="4"/>
      <c r="O53" s="333"/>
    </row>
    <row r="54" spans="11:15" x14ac:dyDescent="0.25">
      <c r="K54" s="4"/>
      <c r="L54" s="4"/>
      <c r="M54" s="4"/>
      <c r="O54" s="333"/>
    </row>
    <row r="55" spans="11:15" x14ac:dyDescent="0.25">
      <c r="K55" s="4"/>
      <c r="L55" s="4"/>
      <c r="M55" s="4"/>
      <c r="O55" s="333"/>
    </row>
    <row r="56" spans="11:15" x14ac:dyDescent="0.25">
      <c r="K56" s="4"/>
      <c r="L56" s="4"/>
      <c r="M56" s="4"/>
      <c r="O56" s="333"/>
    </row>
    <row r="57" spans="11:15" x14ac:dyDescent="0.25">
      <c r="K57" s="4"/>
      <c r="L57" s="4"/>
      <c r="M57" s="4"/>
      <c r="O57" s="333"/>
    </row>
    <row r="58" spans="11:15" x14ac:dyDescent="0.25">
      <c r="K58" s="4"/>
      <c r="L58" s="4"/>
      <c r="M58" s="4"/>
      <c r="O58" s="333"/>
    </row>
    <row r="59" spans="11:15" x14ac:dyDescent="0.25">
      <c r="K59" s="4"/>
      <c r="L59" s="4"/>
      <c r="M59" s="4"/>
      <c r="O59" s="333"/>
    </row>
    <row r="60" spans="11:15" x14ac:dyDescent="0.25">
      <c r="K60" s="4"/>
      <c r="L60" s="4"/>
      <c r="M60" s="4"/>
      <c r="O60" s="333"/>
    </row>
    <row r="61" spans="11:15" x14ac:dyDescent="0.25">
      <c r="K61" s="4"/>
      <c r="L61" s="4"/>
      <c r="M61" s="4"/>
      <c r="O61" s="333"/>
    </row>
    <row r="62" spans="11:15" x14ac:dyDescent="0.25">
      <c r="K62" s="4"/>
      <c r="L62" s="4"/>
      <c r="M62" s="4"/>
      <c r="O62" s="333"/>
    </row>
    <row r="63" spans="11:15" x14ac:dyDescent="0.25">
      <c r="K63" s="4"/>
      <c r="L63" s="4"/>
      <c r="M63" s="4"/>
      <c r="O63" s="333"/>
    </row>
    <row r="64" spans="11:15" x14ac:dyDescent="0.25">
      <c r="K64" s="4"/>
      <c r="L64" s="4"/>
      <c r="M64" s="4"/>
      <c r="O64" s="333"/>
    </row>
    <row r="65" spans="11:15" x14ac:dyDescent="0.25">
      <c r="K65" s="4"/>
      <c r="L65" s="4"/>
      <c r="M65" s="4"/>
      <c r="O65" s="333"/>
    </row>
    <row r="66" spans="11:15" x14ac:dyDescent="0.25">
      <c r="K66" s="4"/>
      <c r="L66" s="4"/>
      <c r="M66" s="4"/>
      <c r="O66" s="333"/>
    </row>
    <row r="67" spans="11:15" x14ac:dyDescent="0.25">
      <c r="K67" s="4"/>
      <c r="L67" s="4"/>
      <c r="M67" s="4"/>
      <c r="O67" s="333"/>
    </row>
    <row r="68" spans="11:15" x14ac:dyDescent="0.25">
      <c r="K68" s="4"/>
      <c r="L68" s="4"/>
      <c r="M68" s="4"/>
      <c r="O68" s="333"/>
    </row>
    <row r="69" spans="11:15" x14ac:dyDescent="0.25">
      <c r="K69" s="4"/>
      <c r="L69" s="4"/>
      <c r="M69" s="4"/>
      <c r="O69" s="333"/>
    </row>
    <row r="70" spans="11:15" x14ac:dyDescent="0.25">
      <c r="K70" s="4"/>
      <c r="L70" s="4"/>
      <c r="M70" s="4"/>
      <c r="O70" s="333"/>
    </row>
    <row r="71" spans="11:15" x14ac:dyDescent="0.25">
      <c r="K71" s="4"/>
      <c r="L71" s="4"/>
      <c r="M71" s="4"/>
      <c r="O71" s="333"/>
    </row>
    <row r="72" spans="11:15" x14ac:dyDescent="0.25">
      <c r="K72" s="4"/>
      <c r="L72" s="4"/>
      <c r="M72" s="4"/>
      <c r="O72" s="333"/>
    </row>
    <row r="73" spans="11:15" x14ac:dyDescent="0.25">
      <c r="K73" s="4"/>
      <c r="L73" s="4"/>
      <c r="M73" s="4"/>
      <c r="O73" s="333"/>
    </row>
    <row r="74" spans="11:15" x14ac:dyDescent="0.25">
      <c r="K74" s="4"/>
      <c r="L74" s="4"/>
      <c r="M74" s="4"/>
      <c r="O74" s="333"/>
    </row>
    <row r="75" spans="11:15" x14ac:dyDescent="0.25">
      <c r="K75" s="4"/>
      <c r="L75" s="4"/>
      <c r="M75" s="4"/>
      <c r="O75" s="333"/>
    </row>
    <row r="76" spans="11:15" x14ac:dyDescent="0.25">
      <c r="K76" s="4"/>
      <c r="L76" s="4"/>
      <c r="M76" s="4"/>
      <c r="O76" s="333"/>
    </row>
    <row r="77" spans="11:15" x14ac:dyDescent="0.25">
      <c r="K77" s="4"/>
      <c r="L77" s="4"/>
      <c r="M77" s="4"/>
      <c r="O77" s="333"/>
    </row>
    <row r="78" spans="11:15" x14ac:dyDescent="0.25">
      <c r="K78" s="4"/>
      <c r="L78" s="4"/>
      <c r="M78" s="4"/>
      <c r="O78" s="333"/>
    </row>
    <row r="79" spans="11:15" x14ac:dyDescent="0.25">
      <c r="K79" s="4"/>
      <c r="L79" s="4"/>
      <c r="M79" s="4"/>
      <c r="O79" s="333"/>
    </row>
    <row r="80" spans="11:15" x14ac:dyDescent="0.25">
      <c r="K80" s="4"/>
      <c r="L80" s="4"/>
      <c r="M80" s="4"/>
      <c r="O80" s="333"/>
    </row>
    <row r="81" spans="11:15" x14ac:dyDescent="0.25">
      <c r="K81" s="4"/>
      <c r="L81" s="4"/>
      <c r="M81" s="4"/>
      <c r="O81" s="333"/>
    </row>
  </sheetData>
  <mergeCells count="14">
    <mergeCell ref="D1:I1"/>
    <mergeCell ref="D2:I2"/>
    <mergeCell ref="D3:E3"/>
    <mergeCell ref="G3:H3"/>
    <mergeCell ref="K11:K13"/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</mergeCells>
  <conditionalFormatting sqref="E39">
    <cfRule type="cellIs" dxfId="38" priority="1" operator="greaterThan">
      <formula>0</formula>
    </cfRule>
  </conditionalFormatting>
  <conditionalFormatting sqref="E39">
    <cfRule type="cellIs" dxfId="37" priority="2" operator="less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H11:H16">
    <cfRule type="cellIs" dxfId="35" priority="4" operator="lessThan">
      <formula>0</formula>
    </cfRule>
  </conditionalFormatting>
  <conditionalFormatting sqref="H11:H16">
    <cfRule type="cellIs" dxfId="34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X3" sqref="X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72" t="s">
        <v>464</v>
      </c>
      <c r="B1" s="572"/>
      <c r="C1" s="572"/>
      <c r="D1" s="572"/>
      <c r="E1" s="572"/>
      <c r="X1" t="s">
        <v>370</v>
      </c>
      <c r="AA1" t="s">
        <v>465</v>
      </c>
      <c r="AE1" t="s">
        <v>466</v>
      </c>
      <c r="AI1" t="s">
        <v>467</v>
      </c>
      <c r="AM1" t="s">
        <v>468</v>
      </c>
      <c r="AQ1" t="s">
        <v>469</v>
      </c>
      <c r="AX1" t="s">
        <v>470</v>
      </c>
      <c r="BE1" t="s">
        <v>471</v>
      </c>
      <c r="BJ1" t="s">
        <v>472</v>
      </c>
      <c r="BO1" t="s">
        <v>473</v>
      </c>
      <c r="BT1" t="s">
        <v>474</v>
      </c>
      <c r="BY1" t="s">
        <v>475</v>
      </c>
      <c r="CD1" t="s">
        <v>140</v>
      </c>
      <c r="CH1" t="s">
        <v>21</v>
      </c>
    </row>
    <row r="2" spans="1:89" x14ac:dyDescent="0.25">
      <c r="A2" s="144" t="s">
        <v>87</v>
      </c>
      <c r="B2" s="144" t="s">
        <v>351</v>
      </c>
      <c r="C2" s="144" t="s">
        <v>89</v>
      </c>
      <c r="D2" s="145" t="s">
        <v>350</v>
      </c>
      <c r="E2" s="144" t="s">
        <v>476</v>
      </c>
      <c r="F2" s="146" t="s">
        <v>477</v>
      </c>
      <c r="G2" s="146" t="s">
        <v>101</v>
      </c>
      <c r="H2" s="146" t="s">
        <v>102</v>
      </c>
      <c r="I2" s="147" t="s">
        <v>99</v>
      </c>
      <c r="J2" s="148" t="s">
        <v>478</v>
      </c>
      <c r="K2" s="148" t="s">
        <v>14</v>
      </c>
      <c r="L2" s="148" t="s">
        <v>37</v>
      </c>
      <c r="M2" s="148" t="s">
        <v>194</v>
      </c>
      <c r="N2" s="148" t="s">
        <v>30</v>
      </c>
      <c r="O2" s="148" t="s">
        <v>196</v>
      </c>
      <c r="P2" s="148" t="s">
        <v>197</v>
      </c>
      <c r="Q2" s="148" t="s">
        <v>198</v>
      </c>
      <c r="R2" s="149" t="s">
        <v>479</v>
      </c>
      <c r="S2" s="149" t="s">
        <v>117</v>
      </c>
      <c r="T2" s="149" t="s">
        <v>480</v>
      </c>
      <c r="U2" s="149" t="s">
        <v>481</v>
      </c>
      <c r="V2" s="149" t="s">
        <v>121</v>
      </c>
      <c r="W2" s="149" t="s">
        <v>122</v>
      </c>
      <c r="X2" s="150" t="s">
        <v>482</v>
      </c>
      <c r="Y2" s="150" t="s">
        <v>483</v>
      </c>
      <c r="Z2" s="150" t="s">
        <v>482</v>
      </c>
      <c r="AA2" s="151" t="s">
        <v>482</v>
      </c>
      <c r="AB2" s="151" t="s">
        <v>483</v>
      </c>
      <c r="AC2" s="151" t="s">
        <v>482</v>
      </c>
      <c r="AD2" s="151" t="s">
        <v>28</v>
      </c>
      <c r="AE2" s="151" t="s">
        <v>482</v>
      </c>
      <c r="AF2" s="151" t="s">
        <v>483</v>
      </c>
      <c r="AG2" s="151" t="s">
        <v>482</v>
      </c>
      <c r="AH2" s="151" t="s">
        <v>28</v>
      </c>
      <c r="AI2" s="150" t="s">
        <v>482</v>
      </c>
      <c r="AJ2" s="150" t="s">
        <v>483</v>
      </c>
      <c r="AK2" s="150" t="s">
        <v>28</v>
      </c>
      <c r="AL2" s="150" t="s">
        <v>484</v>
      </c>
      <c r="AM2" s="150" t="s">
        <v>482</v>
      </c>
      <c r="AN2" s="150" t="s">
        <v>483</v>
      </c>
      <c r="AO2" s="150" t="s">
        <v>28</v>
      </c>
      <c r="AP2" s="150" t="s">
        <v>484</v>
      </c>
      <c r="AQ2" s="150" t="s">
        <v>482</v>
      </c>
      <c r="AR2" s="150" t="s">
        <v>483</v>
      </c>
      <c r="AS2" s="150" t="s">
        <v>482</v>
      </c>
      <c r="AT2" s="150" t="s">
        <v>28</v>
      </c>
      <c r="AU2" s="150" t="s">
        <v>484</v>
      </c>
      <c r="AV2" s="150" t="s">
        <v>485</v>
      </c>
      <c r="AW2" s="150" t="s">
        <v>484</v>
      </c>
      <c r="AX2" s="150" t="s">
        <v>482</v>
      </c>
      <c r="AY2" s="150" t="s">
        <v>483</v>
      </c>
      <c r="AZ2" s="150" t="s">
        <v>482</v>
      </c>
      <c r="BA2" s="150" t="s">
        <v>28</v>
      </c>
      <c r="BB2" s="150" t="s">
        <v>484</v>
      </c>
      <c r="BC2" s="150" t="s">
        <v>485</v>
      </c>
      <c r="BD2" s="150" t="s">
        <v>484</v>
      </c>
      <c r="BE2" s="151" t="s">
        <v>482</v>
      </c>
      <c r="BF2" s="151" t="s">
        <v>483</v>
      </c>
      <c r="BG2" s="151" t="s">
        <v>28</v>
      </c>
      <c r="BH2" s="151" t="s">
        <v>484</v>
      </c>
      <c r="BI2" s="151" t="s">
        <v>485</v>
      </c>
      <c r="BJ2" s="151" t="s">
        <v>482</v>
      </c>
      <c r="BK2" s="151" t="s">
        <v>483</v>
      </c>
      <c r="BL2" s="151" t="s">
        <v>28</v>
      </c>
      <c r="BM2" s="151" t="s">
        <v>484</v>
      </c>
      <c r="BN2" s="151" t="s">
        <v>485</v>
      </c>
      <c r="BO2" s="150" t="s">
        <v>482</v>
      </c>
      <c r="BP2" s="150" t="s">
        <v>483</v>
      </c>
      <c r="BQ2" s="150" t="s">
        <v>28</v>
      </c>
      <c r="BR2" s="150" t="s">
        <v>484</v>
      </c>
      <c r="BS2" s="150" t="s">
        <v>485</v>
      </c>
      <c r="BT2" s="150" t="s">
        <v>482</v>
      </c>
      <c r="BU2" s="150" t="s">
        <v>483</v>
      </c>
      <c r="BV2" s="150" t="s">
        <v>28</v>
      </c>
      <c r="BW2" s="150" t="s">
        <v>484</v>
      </c>
      <c r="BX2" s="150" t="s">
        <v>485</v>
      </c>
      <c r="BY2" s="150" t="s">
        <v>482</v>
      </c>
      <c r="BZ2" s="150" t="s">
        <v>483</v>
      </c>
      <c r="CA2" s="150" t="s">
        <v>28</v>
      </c>
      <c r="CB2" s="150" t="s">
        <v>484</v>
      </c>
      <c r="CC2" s="150" t="s">
        <v>485</v>
      </c>
      <c r="CD2" s="151" t="s">
        <v>28</v>
      </c>
      <c r="CE2" s="151" t="s">
        <v>484</v>
      </c>
      <c r="CF2" s="151" t="s">
        <v>485</v>
      </c>
      <c r="CG2" s="151" t="s">
        <v>484</v>
      </c>
      <c r="CH2" s="150" t="s">
        <v>484</v>
      </c>
      <c r="CI2" s="150" t="s">
        <v>485</v>
      </c>
      <c r="CJ2" s="150" t="s">
        <v>484</v>
      </c>
      <c r="CK2" s="150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7">
        <f ca="1">PLANTILLA!F4</f>
        <v>234</v>
      </c>
      <c r="D3" s="58">
        <f>PLANTILLA!G4</f>
        <v>0</v>
      </c>
      <c r="E3" s="206">
        <f>PLANTILLA!O4</f>
        <v>42468</v>
      </c>
      <c r="F3" s="97">
        <f>PLANTILLA!Q4</f>
        <v>6</v>
      </c>
      <c r="G3" s="117">
        <f t="shared" ref="G3:G23" si="0">(F3/7)^0.5</f>
        <v>0.92582009977255142</v>
      </c>
      <c r="H3" s="117">
        <f t="shared" ref="H3:H23" si="1">IF(F3=7,1,((F3+0.99)/7)^0.5)</f>
        <v>0.99928545900129484</v>
      </c>
      <c r="I3" s="152">
        <f ca="1">PLANTILLA!P4</f>
        <v>1</v>
      </c>
      <c r="J3" s="153">
        <f>PLANTILLA!I4</f>
        <v>25.5</v>
      </c>
      <c r="K3" s="49">
        <f>PLANTILLA!X4</f>
        <v>13.95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3">
        <f t="shared" ref="R3:R23" si="2">((2*(O3+1))+(L3+1))/8</f>
        <v>1.4937499999999999</v>
      </c>
      <c r="S3" s="153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3">
        <f t="shared" ref="V3:V23" ca="1" si="6">IF(TODAY()-E3&gt;335,(Q3+1+(LOG(J3)*4/3))*(F3/7)^0.5,(Q3+((TODAY()-E3)^0.5)/(336^0.5)+(LOG(J3)*4/3))*(F3/7)^0.5)</f>
        <v>19.280561784267807</v>
      </c>
      <c r="W3" s="153">
        <f t="shared" ref="W3:W23" ca="1" si="7">IF(F3=7,V3,IF(TODAY()-E3&gt;335,(Q3+1+(LOG(J3)*4/3))*((F3+0.99)/7)^0.5,(Q3+((TODAY()-E3)^0.5)/(336^0.5)+(LOG(J3)*4/3))*((F3+0.99)/7)^0.5))</f>
        <v>20.810506314486151</v>
      </c>
      <c r="X3" s="72">
        <f t="shared" ref="X3:X23" ca="1" si="8">((K3+I3+(LOG(J3)*4/3))*0.597)+((L3+I3+(LOG(J3)*4/3))*0.276)</f>
        <v>13.308562770025123</v>
      </c>
      <c r="Y3" s="72">
        <f t="shared" ref="Y3:Y23" ca="1" si="9">((K3+I3+(LOG(J3)*4/3))*0.866)+((L3+I3+(LOG(J3)*4/3))*0.425)</f>
        <v>19.596574497253648</v>
      </c>
      <c r="Z3" s="72">
        <f t="shared" ref="Z3:Z23" ca="1" si="10">X3</f>
        <v>13.308562770025123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L. Guangwei</v>
      </c>
      <c r="B4" s="58">
        <f>PLANTILLA!E5</f>
        <v>23</v>
      </c>
      <c r="C4" s="97">
        <f ca="1">PLANTILLA!F5</f>
        <v>161</v>
      </c>
      <c r="D4" s="58" t="str">
        <f>PLANTILLA!G5</f>
        <v>IMP</v>
      </c>
      <c r="E4" s="206">
        <f>PLANTILLA!O5</f>
        <v>43878</v>
      </c>
      <c r="F4" s="97">
        <f>PLANTILLA!Q5</f>
        <v>4</v>
      </c>
      <c r="G4" s="117">
        <f t="shared" si="0"/>
        <v>0.7559289460184544</v>
      </c>
      <c r="H4" s="117">
        <f t="shared" si="1"/>
        <v>0.84430867747355465</v>
      </c>
      <c r="I4" s="152">
        <f ca="1">PLANTILLA!P5</f>
        <v>0.98853439333029636</v>
      </c>
      <c r="J4" s="153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3.1428571428571428</v>
      </c>
      <c r="Q4" s="49">
        <f>PLANTILLA!AD5</f>
        <v>20.125</v>
      </c>
      <c r="R4" s="153">
        <f t="shared" si="2"/>
        <v>2.25</v>
      </c>
      <c r="S4" s="153">
        <f t="shared" ca="1" si="3"/>
        <v>12.47374103708829</v>
      </c>
      <c r="T4" s="49">
        <f t="shared" si="4"/>
        <v>0.76089285714285704</v>
      </c>
      <c r="U4" s="49">
        <f t="shared" si="5"/>
        <v>0.80374999999999996</v>
      </c>
      <c r="V4" s="153">
        <f t="shared" ca="1" si="6"/>
        <v>16.510588260323157</v>
      </c>
      <c r="W4" s="153">
        <f t="shared" ca="1" si="7"/>
        <v>18.440930211506313</v>
      </c>
      <c r="X4" s="72">
        <f t="shared" ca="1" si="8"/>
        <v>11.83128572900107</v>
      </c>
      <c r="Y4" s="72">
        <f t="shared" ca="1" si="9"/>
        <v>17.327720362131021</v>
      </c>
      <c r="Z4" s="72">
        <f t="shared" ca="1" si="10"/>
        <v>11.83128572900107</v>
      </c>
      <c r="AA4" s="72">
        <f t="shared" ca="1" si="11"/>
        <v>3.4644025614714224</v>
      </c>
      <c r="AB4" s="72">
        <f t="shared" ca="1" si="12"/>
        <v>6.7139584524639968</v>
      </c>
      <c r="AC4" s="72">
        <f t="shared" ca="1" si="13"/>
        <v>1.7322012807357112</v>
      </c>
      <c r="AD4" s="72">
        <f t="shared" ca="1" si="14"/>
        <v>0.88392211168643131</v>
      </c>
      <c r="AE4" s="72">
        <f t="shared" ca="1" si="15"/>
        <v>2.5378762950313907</v>
      </c>
      <c r="AF4" s="72">
        <f t="shared" ca="1" si="16"/>
        <v>4.8541919611314697</v>
      </c>
      <c r="AG4" s="72">
        <f t="shared" ca="1" si="17"/>
        <v>1.2689381475156953</v>
      </c>
      <c r="AH4" s="72">
        <f t="shared" ca="1" si="18"/>
        <v>1.4298740041986391</v>
      </c>
      <c r="AI4" s="72">
        <f t="shared" ca="1" si="19"/>
        <v>6.176841776266877</v>
      </c>
      <c r="AJ4" s="72">
        <f t="shared" ca="1" si="20"/>
        <v>2.7795787993200944</v>
      </c>
      <c r="AK4" s="72">
        <f t="shared" ca="1" si="21"/>
        <v>0.62023106156148755</v>
      </c>
      <c r="AL4" s="72">
        <f t="shared" ca="1" si="22"/>
        <v>1.5958075700488303</v>
      </c>
      <c r="AM4" s="72">
        <f t="shared" ca="1" si="23"/>
        <v>5.0623246731578533</v>
      </c>
      <c r="AN4" s="72">
        <f t="shared" ca="1" si="24"/>
        <v>4.7534825843445097</v>
      </c>
      <c r="AO4" s="72">
        <f t="shared" ca="1" si="25"/>
        <v>3.6471060615614879</v>
      </c>
      <c r="AP4" s="72">
        <f t="shared" ca="1" si="26"/>
        <v>1.1416200343096312</v>
      </c>
      <c r="AQ4" s="72">
        <f t="shared" ca="1" si="27"/>
        <v>1.8127687821652791</v>
      </c>
      <c r="AR4" s="72">
        <f t="shared" ca="1" si="28"/>
        <v>3.9880913207636137</v>
      </c>
      <c r="AS4" s="72">
        <f t="shared" ca="1" si="29"/>
        <v>0.90638439108263957</v>
      </c>
      <c r="AT4" s="72">
        <f t="shared" ca="1" si="30"/>
        <v>3.505976779126013</v>
      </c>
      <c r="AU4" s="72">
        <f t="shared" ca="1" si="31"/>
        <v>0.87281459882031964</v>
      </c>
      <c r="AV4" s="72">
        <f t="shared" ca="1" si="32"/>
        <v>1.6459041122862366</v>
      </c>
      <c r="AW4" s="72">
        <f t="shared" ca="1" si="33"/>
        <v>0.43640729941015982</v>
      </c>
      <c r="AX4" s="72">
        <f t="shared" ca="1" si="34"/>
        <v>1.2689381475156953</v>
      </c>
      <c r="AY4" s="72">
        <f t="shared" ca="1" si="35"/>
        <v>2.6855833809855989</v>
      </c>
      <c r="AZ4" s="72">
        <f t="shared" ca="1" si="36"/>
        <v>0.63446907375784767</v>
      </c>
      <c r="BA4" s="72">
        <f t="shared" ca="1" si="37"/>
        <v>3.7139584524639973</v>
      </c>
      <c r="BB4" s="72">
        <f t="shared" ca="1" si="38"/>
        <v>1.6986314884733913</v>
      </c>
      <c r="BC4" s="72">
        <f t="shared" ca="1" si="39"/>
        <v>3.3093911073076621</v>
      </c>
      <c r="BD4" s="72">
        <f t="shared" ca="1" si="40"/>
        <v>0.84931574423669565</v>
      </c>
      <c r="BE4" s="72">
        <f t="shared" ca="1" si="41"/>
        <v>1.9537619096670229</v>
      </c>
      <c r="BF4" s="72">
        <f t="shared" ca="1" si="42"/>
        <v>2.3364575414574706</v>
      </c>
      <c r="BG4" s="72">
        <f t="shared" ca="1" si="43"/>
        <v>3.2719973966207818</v>
      </c>
      <c r="BH4" s="72">
        <f t="shared" ca="1" si="44"/>
        <v>3.6727090642404931</v>
      </c>
      <c r="BI4" s="72">
        <f t="shared" ca="1" si="45"/>
        <v>1.6180639870438231</v>
      </c>
      <c r="BJ4" s="72">
        <f t="shared" ca="1" si="46"/>
        <v>3.2562698494450384</v>
      </c>
      <c r="BK4" s="72">
        <f t="shared" ca="1" si="47"/>
        <v>1.7724850314504952</v>
      </c>
      <c r="BL4" s="72">
        <f t="shared" ca="1" si="48"/>
        <v>1.415018170388783</v>
      </c>
      <c r="BM4" s="72">
        <f t="shared" ca="1" si="49"/>
        <v>3.1759996874535337</v>
      </c>
      <c r="BN4" s="72">
        <f t="shared" ca="1" si="50"/>
        <v>0.34912583952812781</v>
      </c>
      <c r="BO4" s="72">
        <f t="shared" ca="1" si="51"/>
        <v>1.2085125214435193</v>
      </c>
      <c r="BP4" s="72">
        <f t="shared" ca="1" si="52"/>
        <v>0.4565491747675518</v>
      </c>
      <c r="BQ4" s="72">
        <f t="shared" ca="1" si="53"/>
        <v>1.1327573280015191</v>
      </c>
      <c r="BR4" s="72">
        <f t="shared" ca="1" si="54"/>
        <v>4.6341505698686998</v>
      </c>
      <c r="BS4" s="72">
        <f t="shared" ca="1" si="55"/>
        <v>0.90638439108263957</v>
      </c>
      <c r="BT4" s="72">
        <f t="shared" ca="1" si="56"/>
        <v>1.9067642004997749</v>
      </c>
      <c r="BU4" s="72">
        <f t="shared" ca="1" si="57"/>
        <v>1.6382058624012152</v>
      </c>
      <c r="BV4" s="72">
        <f t="shared" ca="1" si="58"/>
        <v>1.6898510958711188</v>
      </c>
      <c r="BW4" s="72">
        <f t="shared" ca="1" si="59"/>
        <v>3.983065965330109</v>
      </c>
      <c r="BX4" s="72">
        <f t="shared" ca="1" si="60"/>
        <v>0.81238897274814359</v>
      </c>
      <c r="BY4" s="72">
        <f t="shared" ca="1" si="61"/>
        <v>1.9067642004997749</v>
      </c>
      <c r="BZ4" s="72">
        <f t="shared" ca="1" si="62"/>
        <v>1.6382058624012152</v>
      </c>
      <c r="CA4" s="72">
        <f t="shared" ca="1" si="63"/>
        <v>2.3435077835047822</v>
      </c>
      <c r="CB4" s="72">
        <f t="shared" ca="1" si="64"/>
        <v>3.2009928149552773</v>
      </c>
      <c r="CC4" s="72">
        <f t="shared" ca="1" si="65"/>
        <v>0.99366585096467153</v>
      </c>
      <c r="CD4" s="72">
        <f t="shared" ca="1" si="66"/>
        <v>1.5078671317003829</v>
      </c>
      <c r="CE4" s="72">
        <f t="shared" ca="1" si="67"/>
        <v>2.6861152108765993</v>
      </c>
      <c r="CF4" s="72">
        <f t="shared" ca="1" si="68"/>
        <v>6.4772029317601749</v>
      </c>
      <c r="CG4" s="72">
        <f t="shared" ca="1" si="69"/>
        <v>2.6861152108765993</v>
      </c>
      <c r="CH4" s="72">
        <f t="shared" ca="1" si="70"/>
        <v>2.8189200307620501</v>
      </c>
      <c r="CI4" s="72">
        <f t="shared" ca="1" si="71"/>
        <v>7.3342662642803553</v>
      </c>
      <c r="CJ4" s="72">
        <f t="shared" ca="1" si="72"/>
        <v>2.8189200307620501</v>
      </c>
      <c r="CK4" s="72">
        <f t="shared" ca="1" si="73"/>
        <v>0.92848961311599931</v>
      </c>
    </row>
    <row r="5" spans="1:89" x14ac:dyDescent="0.25">
      <c r="A5" t="str">
        <f>PLANTILLA!D6</f>
        <v>E. Toney</v>
      </c>
      <c r="B5" s="58">
        <f>PLANTILLA!E6</f>
        <v>40</v>
      </c>
      <c r="C5" s="97">
        <f ca="1">PLANTILLA!F6</f>
        <v>133</v>
      </c>
      <c r="D5" s="58">
        <f>PLANTILLA!G6</f>
        <v>0</v>
      </c>
      <c r="E5" s="206" t="str">
        <f>PLANTILLA!O6</f>
        <v>Cantera</v>
      </c>
      <c r="F5" s="97">
        <f>PLANTILLA!Q6</f>
        <v>3</v>
      </c>
      <c r="G5" s="117">
        <f t="shared" si="0"/>
        <v>0.65465367070797709</v>
      </c>
      <c r="H5" s="117">
        <f t="shared" si="1"/>
        <v>0.75498344352707503</v>
      </c>
      <c r="I5" s="152">
        <f>PLANTILLA!P6</f>
        <v>1.5</v>
      </c>
      <c r="J5" s="153">
        <f>PLANTILLA!I6</f>
        <v>19.100000000000001</v>
      </c>
      <c r="K5" s="49">
        <f>PLANTILLA!X6</f>
        <v>0</v>
      </c>
      <c r="L5" s="49">
        <f>PLANTILLA!Y6</f>
        <v>7.75</v>
      </c>
      <c r="M5" s="49">
        <f>PLANTILLA!Z6</f>
        <v>7.95</v>
      </c>
      <c r="N5" s="49">
        <f>PLANTILLA!AA6</f>
        <v>3.95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3">
        <f t="shared" si="2"/>
        <v>2.3312499999999998</v>
      </c>
      <c r="S5" s="153">
        <f t="shared" si="3"/>
        <v>7.7397783221566367</v>
      </c>
      <c r="T5" s="49">
        <f t="shared" si="4"/>
        <v>0.45</v>
      </c>
      <c r="U5" s="49">
        <f t="shared" si="5"/>
        <v>0.76</v>
      </c>
      <c r="V5" s="153" t="e">
        <f t="shared" ca="1" si="6"/>
        <v>#VALUE!</v>
      </c>
      <c r="W5" s="153" t="e">
        <f t="shared" ca="1" si="7"/>
        <v>#VALUE!</v>
      </c>
      <c r="X5" s="72">
        <f t="shared" si="8"/>
        <v>4.9396228394763551</v>
      </c>
      <c r="Y5" s="72">
        <f t="shared" si="9"/>
        <v>7.4353354361557553</v>
      </c>
      <c r="Z5" s="72">
        <f t="shared" si="10"/>
        <v>4.9396228394763551</v>
      </c>
      <c r="AA5" s="72">
        <f t="shared" si="11"/>
        <v>5.6543509566664367</v>
      </c>
      <c r="AB5" s="72">
        <f t="shared" si="12"/>
        <v>10.958044489663637</v>
      </c>
      <c r="AC5" s="72">
        <f t="shared" si="13"/>
        <v>2.8271754783332184</v>
      </c>
      <c r="AD5" s="72">
        <f t="shared" si="14"/>
        <v>2.6556145885399451</v>
      </c>
      <c r="AE5" s="72">
        <f t="shared" si="15"/>
        <v>4.1421408170928551</v>
      </c>
      <c r="AF5" s="72">
        <f t="shared" si="16"/>
        <v>7.9226661660268096</v>
      </c>
      <c r="AG5" s="72">
        <f t="shared" si="17"/>
        <v>2.0710704085464275</v>
      </c>
      <c r="AH5" s="72">
        <f t="shared" si="18"/>
        <v>4.2958471285205002</v>
      </c>
      <c r="AI5" s="72">
        <f t="shared" si="19"/>
        <v>10.081400930490547</v>
      </c>
      <c r="AJ5" s="72">
        <f t="shared" si="20"/>
        <v>4.5366304187207458</v>
      </c>
      <c r="AK5" s="72">
        <f t="shared" si="21"/>
        <v>1.8633934297738273</v>
      </c>
      <c r="AL5" s="72">
        <f t="shared" si="22"/>
        <v>4.2089301599222182</v>
      </c>
      <c r="AM5" s="72">
        <f t="shared" si="23"/>
        <v>8.2623655452063822</v>
      </c>
      <c r="AN5" s="72">
        <f t="shared" si="24"/>
        <v>7.7582954986818544</v>
      </c>
      <c r="AO5" s="72">
        <f t="shared" si="25"/>
        <v>3.0407434297738272</v>
      </c>
      <c r="AP5" s="72">
        <f t="shared" si="26"/>
        <v>1.5953168130231272</v>
      </c>
      <c r="AQ5" s="72">
        <f t="shared" si="27"/>
        <v>2.9586720122091821</v>
      </c>
      <c r="AR5" s="72">
        <f t="shared" si="28"/>
        <v>6.5090784268602002</v>
      </c>
      <c r="AS5" s="72">
        <f t="shared" si="29"/>
        <v>1.479336006104591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2.0710704085464275</v>
      </c>
      <c r="AY5" s="72">
        <f t="shared" si="35"/>
        <v>4.3832177958654546</v>
      </c>
      <c r="AZ5" s="72">
        <f t="shared" si="36"/>
        <v>1.0355352042732138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3.188790946492118</v>
      </c>
      <c r="BF5" s="72">
        <f t="shared" si="42"/>
        <v>3.8133994824029456</v>
      </c>
      <c r="BG5" s="72">
        <f t="shared" si="43"/>
        <v>9.8302371953936643</v>
      </c>
      <c r="BH5" s="72">
        <f t="shared" si="44"/>
        <v>6.3635015513109732</v>
      </c>
      <c r="BI5" s="72">
        <f t="shared" si="45"/>
        <v>1.7250887220089364</v>
      </c>
      <c r="BJ5" s="72">
        <f t="shared" si="46"/>
        <v>5.3146515774868641</v>
      </c>
      <c r="BK5" s="72">
        <f t="shared" si="47"/>
        <v>2.8929237452712004</v>
      </c>
      <c r="BL5" s="72">
        <f t="shared" si="48"/>
        <v>4.2512149505618453</v>
      </c>
      <c r="BM5" s="72">
        <f t="shared" si="49"/>
        <v>6.2561308839660192</v>
      </c>
      <c r="BN5" s="72">
        <f t="shared" si="50"/>
        <v>0.37221831346250911</v>
      </c>
      <c r="BO5" s="72">
        <f t="shared" si="51"/>
        <v>1.9724480081394546</v>
      </c>
      <c r="BP5" s="72">
        <f t="shared" si="52"/>
        <v>0.7451470252971274</v>
      </c>
      <c r="BQ5" s="72">
        <f t="shared" si="53"/>
        <v>3.4032035693474088</v>
      </c>
      <c r="BR5" s="72">
        <f t="shared" si="54"/>
        <v>9.2052452137074372</v>
      </c>
      <c r="BS5" s="72">
        <f t="shared" si="55"/>
        <v>0.96633600610459103</v>
      </c>
      <c r="BT5" s="72">
        <f t="shared" si="56"/>
        <v>3.1120846350644724</v>
      </c>
      <c r="BU5" s="72">
        <f t="shared" si="57"/>
        <v>2.6737628554779271</v>
      </c>
      <c r="BV5" s="72">
        <f t="shared" si="58"/>
        <v>5.0769102427969548</v>
      </c>
      <c r="BW5" s="72">
        <f t="shared" si="59"/>
        <v>7.93111329454731</v>
      </c>
      <c r="BX5" s="72">
        <f t="shared" si="60"/>
        <v>0.86612338324930005</v>
      </c>
      <c r="BY5" s="72">
        <f t="shared" si="61"/>
        <v>3.1120846350644724</v>
      </c>
      <c r="BZ5" s="72">
        <f t="shared" si="62"/>
        <v>2.6737628554779271</v>
      </c>
      <c r="CA5" s="72">
        <f t="shared" si="63"/>
        <v>7.0407260729777548</v>
      </c>
      <c r="CB5" s="72">
        <f t="shared" si="64"/>
        <v>6.4064498182489551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3.2276911791147551</v>
      </c>
      <c r="CF5" s="72">
        <f t="shared" si="68"/>
        <v>5.7571080953612555</v>
      </c>
      <c r="CG5" s="72">
        <f t="shared" si="69"/>
        <v>3.2276911791147551</v>
      </c>
      <c r="CH5" s="72">
        <f t="shared" si="70"/>
        <v>3.3024617170604458</v>
      </c>
      <c r="CI5" s="72">
        <f t="shared" si="71"/>
        <v>5.8493629063495192</v>
      </c>
      <c r="CJ5" s="72">
        <f t="shared" si="72"/>
        <v>3.3024617170604458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36</v>
      </c>
      <c r="C6" s="97">
        <f ca="1">PLANTILLA!F7</f>
        <v>141</v>
      </c>
      <c r="D6" s="58">
        <f>PLANTILLA!G7</f>
        <v>0</v>
      </c>
      <c r="E6" s="206" t="str">
        <f>PLANTILLA!O7</f>
        <v>Cantera</v>
      </c>
      <c r="F6" s="97">
        <f>PLANTILLA!Q7</f>
        <v>3</v>
      </c>
      <c r="G6" s="117">
        <f t="shared" si="0"/>
        <v>0.65465367070797709</v>
      </c>
      <c r="H6" s="117">
        <f t="shared" si="1"/>
        <v>0.75498344352707503</v>
      </c>
      <c r="I6" s="152">
        <f>PLANTILLA!P7</f>
        <v>1.5</v>
      </c>
      <c r="J6" s="153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3">
        <f t="shared" si="2"/>
        <v>3.4812499999999993</v>
      </c>
      <c r="S6" s="153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3" t="e">
        <f t="shared" ca="1" si="6"/>
        <v>#VALUE!</v>
      </c>
      <c r="W6" s="153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e">
        <f>PLANTILLA!#REF!</f>
        <v>#REF!</v>
      </c>
      <c r="B7" s="58" t="e">
        <f>PLANTILLA!#REF!</f>
        <v>#REF!</v>
      </c>
      <c r="C7" s="97" t="e">
        <f>PLANTILLA!#REF!</f>
        <v>#REF!</v>
      </c>
      <c r="D7" s="58" t="e">
        <f>PLANTILLA!#REF!</f>
        <v>#REF!</v>
      </c>
      <c r="E7" s="206" t="e">
        <f>PLANTILLA!#REF!</f>
        <v>#REF!</v>
      </c>
      <c r="F7" s="97" t="e">
        <f>PLANTILLA!#REF!</f>
        <v>#REF!</v>
      </c>
      <c r="G7" s="117" t="e">
        <f t="shared" si="0"/>
        <v>#REF!</v>
      </c>
      <c r="H7" s="117" t="e">
        <f t="shared" si="1"/>
        <v>#REF!</v>
      </c>
      <c r="I7" s="152" t="e">
        <f>PLANTILLA!#REF!</f>
        <v>#REF!</v>
      </c>
      <c r="J7" s="153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3" t="e">
        <f t="shared" si="2"/>
        <v>#REF!</v>
      </c>
      <c r="S7" s="153" t="e">
        <f t="shared" si="3"/>
        <v>#REF!</v>
      </c>
      <c r="T7" s="49" t="e">
        <f t="shared" si="4"/>
        <v>#REF!</v>
      </c>
      <c r="U7" s="49" t="e">
        <f t="shared" si="5"/>
        <v>#REF!</v>
      </c>
      <c r="V7" s="153" t="e">
        <f t="shared" ca="1" si="6"/>
        <v>#REF!</v>
      </c>
      <c r="W7" s="153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e">
        <f>PLANTILLA!#REF!</f>
        <v>#REF!</v>
      </c>
      <c r="B8" s="58" t="e">
        <f>PLANTILLA!#REF!</f>
        <v>#REF!</v>
      </c>
      <c r="C8" s="97" t="e">
        <f>PLANTILLA!#REF!</f>
        <v>#REF!</v>
      </c>
      <c r="D8" s="58" t="e">
        <f>PLANTILLA!#REF!</f>
        <v>#REF!</v>
      </c>
      <c r="E8" s="206" t="e">
        <f>PLANTILLA!#REF!</f>
        <v>#REF!</v>
      </c>
      <c r="F8" s="97" t="e">
        <f>PLANTILLA!#REF!</f>
        <v>#REF!</v>
      </c>
      <c r="G8" s="117" t="e">
        <f t="shared" si="0"/>
        <v>#REF!</v>
      </c>
      <c r="H8" s="117" t="e">
        <f t="shared" si="1"/>
        <v>#REF!</v>
      </c>
      <c r="I8" s="152" t="e">
        <f>PLANTILLA!#REF!</f>
        <v>#REF!</v>
      </c>
      <c r="J8" s="153" t="e">
        <f>PLANTILLA!#REF!</f>
        <v>#REF!</v>
      </c>
      <c r="K8" s="49" t="e">
        <f>PLANTILLA!#REF!</f>
        <v>#REF!</v>
      </c>
      <c r="L8" s="49" t="e">
        <f>PLANTILLA!#REF!</f>
        <v>#REF!</v>
      </c>
      <c r="M8" s="49" t="e">
        <f>PLANTILLA!#REF!</f>
        <v>#REF!</v>
      </c>
      <c r="N8" s="49" t="e">
        <f>PLANTILLA!#REF!</f>
        <v>#REF!</v>
      </c>
      <c r="O8" s="49" t="e">
        <f>PLANTILLA!#REF!</f>
        <v>#REF!</v>
      </c>
      <c r="P8" s="49" t="e">
        <f>PLANTILLA!#REF!</f>
        <v>#REF!</v>
      </c>
      <c r="Q8" s="49" t="e">
        <f>PLANTILLA!#REF!</f>
        <v>#REF!</v>
      </c>
      <c r="R8" s="153" t="e">
        <f t="shared" si="2"/>
        <v>#REF!</v>
      </c>
      <c r="S8" s="153" t="e">
        <f t="shared" si="3"/>
        <v>#REF!</v>
      </c>
      <c r="T8" s="49" t="e">
        <f t="shared" si="4"/>
        <v>#REF!</v>
      </c>
      <c r="U8" s="49" t="e">
        <f t="shared" si="5"/>
        <v>#REF!</v>
      </c>
      <c r="V8" s="153" t="e">
        <f t="shared" ca="1" si="6"/>
        <v>#REF!</v>
      </c>
      <c r="W8" s="153" t="e">
        <f t="shared" ca="1" si="7"/>
        <v>#REF!</v>
      </c>
      <c r="X8" s="72" t="e">
        <f t="shared" si="8"/>
        <v>#REF!</v>
      </c>
      <c r="Y8" s="72" t="e">
        <f t="shared" si="9"/>
        <v>#REF!</v>
      </c>
      <c r="Z8" s="72" t="e">
        <f t="shared" si="10"/>
        <v>#REF!</v>
      </c>
      <c r="AA8" s="72" t="e">
        <f t="shared" si="11"/>
        <v>#REF!</v>
      </c>
      <c r="AB8" s="72" t="e">
        <f t="shared" si="12"/>
        <v>#REF!</v>
      </c>
      <c r="AC8" s="72" t="e">
        <f t="shared" si="13"/>
        <v>#REF!</v>
      </c>
      <c r="AD8" s="72" t="e">
        <f t="shared" si="14"/>
        <v>#REF!</v>
      </c>
      <c r="AE8" s="72" t="e">
        <f t="shared" si="15"/>
        <v>#REF!</v>
      </c>
      <c r="AF8" s="72" t="e">
        <f t="shared" si="16"/>
        <v>#REF!</v>
      </c>
      <c r="AG8" s="72" t="e">
        <f t="shared" si="17"/>
        <v>#REF!</v>
      </c>
      <c r="AH8" s="72" t="e">
        <f t="shared" si="18"/>
        <v>#REF!</v>
      </c>
      <c r="AI8" s="72" t="e">
        <f t="shared" si="19"/>
        <v>#REF!</v>
      </c>
      <c r="AJ8" s="72" t="e">
        <f t="shared" si="20"/>
        <v>#REF!</v>
      </c>
      <c r="AK8" s="72" t="e">
        <f t="shared" si="21"/>
        <v>#REF!</v>
      </c>
      <c r="AL8" s="72" t="e">
        <f t="shared" si="22"/>
        <v>#REF!</v>
      </c>
      <c r="AM8" s="72" t="e">
        <f t="shared" si="23"/>
        <v>#REF!</v>
      </c>
      <c r="AN8" s="72" t="e">
        <f t="shared" si="24"/>
        <v>#REF!</v>
      </c>
      <c r="AO8" s="72" t="e">
        <f t="shared" si="25"/>
        <v>#REF!</v>
      </c>
      <c r="AP8" s="72" t="e">
        <f t="shared" si="26"/>
        <v>#REF!</v>
      </c>
      <c r="AQ8" s="72" t="e">
        <f t="shared" si="27"/>
        <v>#REF!</v>
      </c>
      <c r="AR8" s="72" t="e">
        <f t="shared" si="28"/>
        <v>#REF!</v>
      </c>
      <c r="AS8" s="72" t="e">
        <f t="shared" si="29"/>
        <v>#REF!</v>
      </c>
      <c r="AT8" s="72" t="e">
        <f t="shared" si="30"/>
        <v>#REF!</v>
      </c>
      <c r="AU8" s="72" t="e">
        <f t="shared" si="31"/>
        <v>#REF!</v>
      </c>
      <c r="AV8" s="72" t="e">
        <f t="shared" si="32"/>
        <v>#REF!</v>
      </c>
      <c r="AW8" s="72" t="e">
        <f t="shared" si="33"/>
        <v>#REF!</v>
      </c>
      <c r="AX8" s="72" t="e">
        <f t="shared" si="34"/>
        <v>#REF!</v>
      </c>
      <c r="AY8" s="72" t="e">
        <f t="shared" si="35"/>
        <v>#REF!</v>
      </c>
      <c r="AZ8" s="72" t="e">
        <f t="shared" si="36"/>
        <v>#REF!</v>
      </c>
      <c r="BA8" s="72" t="e">
        <f t="shared" si="37"/>
        <v>#REF!</v>
      </c>
      <c r="BB8" s="72" t="e">
        <f t="shared" si="38"/>
        <v>#REF!</v>
      </c>
      <c r="BC8" s="72" t="e">
        <f t="shared" si="39"/>
        <v>#REF!</v>
      </c>
      <c r="BD8" s="72" t="e">
        <f t="shared" si="40"/>
        <v>#REF!</v>
      </c>
      <c r="BE8" s="72" t="e">
        <f t="shared" si="41"/>
        <v>#REF!</v>
      </c>
      <c r="BF8" s="72" t="e">
        <f t="shared" si="42"/>
        <v>#REF!</v>
      </c>
      <c r="BG8" s="72" t="e">
        <f t="shared" si="43"/>
        <v>#REF!</v>
      </c>
      <c r="BH8" s="72" t="e">
        <f t="shared" si="44"/>
        <v>#REF!</v>
      </c>
      <c r="BI8" s="72" t="e">
        <f t="shared" si="45"/>
        <v>#REF!</v>
      </c>
      <c r="BJ8" s="72" t="e">
        <f t="shared" si="46"/>
        <v>#REF!</v>
      </c>
      <c r="BK8" s="72" t="e">
        <f t="shared" si="47"/>
        <v>#REF!</v>
      </c>
      <c r="BL8" s="72" t="e">
        <f t="shared" si="48"/>
        <v>#REF!</v>
      </c>
      <c r="BM8" s="72" t="e">
        <f t="shared" si="49"/>
        <v>#REF!</v>
      </c>
      <c r="BN8" s="72" t="e">
        <f t="shared" si="50"/>
        <v>#REF!</v>
      </c>
      <c r="BO8" s="72" t="e">
        <f t="shared" si="51"/>
        <v>#REF!</v>
      </c>
      <c r="BP8" s="72" t="e">
        <f t="shared" si="52"/>
        <v>#REF!</v>
      </c>
      <c r="BQ8" s="72" t="e">
        <f t="shared" si="53"/>
        <v>#REF!</v>
      </c>
      <c r="BR8" s="72" t="e">
        <f t="shared" si="54"/>
        <v>#REF!</v>
      </c>
      <c r="BS8" s="72" t="e">
        <f t="shared" si="55"/>
        <v>#REF!</v>
      </c>
      <c r="BT8" s="72" t="e">
        <f t="shared" si="56"/>
        <v>#REF!</v>
      </c>
      <c r="BU8" s="72" t="e">
        <f t="shared" si="57"/>
        <v>#REF!</v>
      </c>
      <c r="BV8" s="72" t="e">
        <f t="shared" si="58"/>
        <v>#REF!</v>
      </c>
      <c r="BW8" s="72" t="e">
        <f t="shared" si="59"/>
        <v>#REF!</v>
      </c>
      <c r="BX8" s="72" t="e">
        <f t="shared" si="60"/>
        <v>#REF!</v>
      </c>
      <c r="BY8" s="72" t="e">
        <f t="shared" si="61"/>
        <v>#REF!</v>
      </c>
      <c r="BZ8" s="72" t="e">
        <f t="shared" si="62"/>
        <v>#REF!</v>
      </c>
      <c r="CA8" s="72" t="e">
        <f t="shared" si="63"/>
        <v>#REF!</v>
      </c>
      <c r="CB8" s="72" t="e">
        <f t="shared" si="64"/>
        <v>#REF!</v>
      </c>
      <c r="CC8" s="72" t="e">
        <f t="shared" si="65"/>
        <v>#REF!</v>
      </c>
      <c r="CD8" s="72" t="e">
        <f t="shared" si="66"/>
        <v>#REF!</v>
      </c>
      <c r="CE8" s="72" t="e">
        <f t="shared" si="67"/>
        <v>#REF!</v>
      </c>
      <c r="CF8" s="72" t="e">
        <f t="shared" si="68"/>
        <v>#REF!</v>
      </c>
      <c r="CG8" s="72" t="e">
        <f t="shared" si="69"/>
        <v>#REF!</v>
      </c>
      <c r="CH8" s="72" t="e">
        <f t="shared" si="70"/>
        <v>#REF!</v>
      </c>
      <c r="CI8" s="72" t="e">
        <f t="shared" si="71"/>
        <v>#REF!</v>
      </c>
      <c r="CJ8" s="72" t="e">
        <f t="shared" si="72"/>
        <v>#REF!</v>
      </c>
      <c r="CK8" s="72" t="e">
        <f t="shared" si="73"/>
        <v>#REF!</v>
      </c>
    </row>
    <row r="9" spans="1:89" x14ac:dyDescent="0.25">
      <c r="A9" t="str">
        <f>PLANTILLA!D8</f>
        <v>L. Tutorić</v>
      </c>
      <c r="B9" s="58">
        <f>PLANTILLA!E8</f>
        <v>29</v>
      </c>
      <c r="C9" s="97">
        <f ca="1">PLANTILLA!F8</f>
        <v>188</v>
      </c>
      <c r="D9" s="58" t="str">
        <f>PLANTILLA!G8</f>
        <v>CAB</v>
      </c>
      <c r="E9" s="206">
        <f>PLANTILLA!O8</f>
        <v>43982</v>
      </c>
      <c r="F9" s="97">
        <f>PLANTILLA!Q8</f>
        <v>6</v>
      </c>
      <c r="G9" s="117">
        <f t="shared" si="0"/>
        <v>0.92582009977255142</v>
      </c>
      <c r="H9" s="117">
        <f t="shared" si="1"/>
        <v>0.99928545900129484</v>
      </c>
      <c r="I9" s="152">
        <f ca="1">PLANTILLA!P8</f>
        <v>0.77584017284391016</v>
      </c>
      <c r="J9" s="153">
        <f>PLANTILLA!I8</f>
        <v>5.8</v>
      </c>
      <c r="K9" s="49">
        <f>PLANTILLA!X8</f>
        <v>0</v>
      </c>
      <c r="L9" s="49">
        <f>PLANTILLA!Y8</f>
        <v>13</v>
      </c>
      <c r="M9" s="49">
        <f>PLANTILLA!Z8</f>
        <v>6</v>
      </c>
      <c r="N9" s="49">
        <f>PLANTILLA!AA8</f>
        <v>2</v>
      </c>
      <c r="O9" s="49">
        <f>PLANTILLA!AB8</f>
        <v>1</v>
      </c>
      <c r="P9" s="49">
        <f>PLANTILLA!AC8</f>
        <v>7</v>
      </c>
      <c r="Q9" s="49">
        <f>PLANTILLA!AD8</f>
        <v>16</v>
      </c>
      <c r="R9" s="153">
        <f t="shared" si="2"/>
        <v>2.25</v>
      </c>
      <c r="S9" s="153">
        <f t="shared" ca="1" si="3"/>
        <v>16.784174603017163</v>
      </c>
      <c r="T9" s="49">
        <f t="shared" si="4"/>
        <v>0.83000000000000007</v>
      </c>
      <c r="U9" s="49">
        <f t="shared" si="5"/>
        <v>1</v>
      </c>
      <c r="V9" s="153">
        <f t="shared" ca="1" si="6"/>
        <v>16.514813700734663</v>
      </c>
      <c r="W9" s="153">
        <f t="shared" ca="1" si="7"/>
        <v>17.825291536999302</v>
      </c>
      <c r="X9" s="72">
        <f t="shared" ca="1" si="8"/>
        <v>5.1539386553999931</v>
      </c>
      <c r="Y9" s="72">
        <f t="shared" ca="1" si="9"/>
        <v>7.8407237160611576</v>
      </c>
      <c r="Z9" s="72">
        <f t="shared" ca="1" si="10"/>
        <v>5.1539386553999931</v>
      </c>
      <c r="AA9" s="72">
        <f t="shared" ca="1" si="11"/>
        <v>7.6335719887587583</v>
      </c>
      <c r="AB9" s="72">
        <f t="shared" ca="1" si="12"/>
        <v>14.79374416426116</v>
      </c>
      <c r="AC9" s="72">
        <f t="shared" ca="1" si="13"/>
        <v>3.8167859943793792</v>
      </c>
      <c r="AD9" s="72">
        <f t="shared" ca="1" si="14"/>
        <v>1.8549111110941559</v>
      </c>
      <c r="AE9" s="72">
        <f t="shared" ca="1" si="15"/>
        <v>5.5920352940907181</v>
      </c>
      <c r="AF9" s="72">
        <f t="shared" ca="1" si="16"/>
        <v>10.695877030760817</v>
      </c>
      <c r="AG9" s="72">
        <f t="shared" ca="1" si="17"/>
        <v>2.796017647045359</v>
      </c>
      <c r="AH9" s="72">
        <f t="shared" ca="1" si="18"/>
        <v>3.0005915032405466</v>
      </c>
      <c r="AI9" s="72">
        <f t="shared" ca="1" si="19"/>
        <v>13.610244631120267</v>
      </c>
      <c r="AJ9" s="72">
        <f t="shared" ca="1" si="20"/>
        <v>6.1246100840041198</v>
      </c>
      <c r="AK9" s="72">
        <f t="shared" ca="1" si="21"/>
        <v>1.3015552754316138</v>
      </c>
      <c r="AL9" s="72">
        <f t="shared" ca="1" si="22"/>
        <v>2.2307215685855621</v>
      </c>
      <c r="AM9" s="72">
        <f t="shared" ca="1" si="23"/>
        <v>11.154483099852914</v>
      </c>
      <c r="AN9" s="72">
        <f t="shared" ca="1" si="24"/>
        <v>10.473970868296901</v>
      </c>
      <c r="AO9" s="72">
        <f t="shared" ca="1" si="25"/>
        <v>2.9715552754316139</v>
      </c>
      <c r="AP9" s="72">
        <f t="shared" ca="1" si="26"/>
        <v>1.1645983193072138</v>
      </c>
      <c r="AQ9" s="72">
        <f t="shared" ca="1" si="27"/>
        <v>3.9943109243505135</v>
      </c>
      <c r="AR9" s="72">
        <f t="shared" ca="1" si="28"/>
        <v>8.7874840335711291</v>
      </c>
      <c r="AS9" s="72">
        <f t="shared" ca="1" si="29"/>
        <v>1.9971554621752567</v>
      </c>
      <c r="AT9" s="72">
        <f t="shared" ca="1" si="30"/>
        <v>7.3572944910625342</v>
      </c>
      <c r="AU9" s="72">
        <f t="shared" ca="1" si="31"/>
        <v>0.36318674135395074</v>
      </c>
      <c r="AV9" s="72">
        <f t="shared" ca="1" si="32"/>
        <v>1.8565670401285197</v>
      </c>
      <c r="AW9" s="72">
        <f t="shared" ca="1" si="33"/>
        <v>0.18159337067697537</v>
      </c>
      <c r="AX9" s="72">
        <f t="shared" ca="1" si="34"/>
        <v>2.796017647045359</v>
      </c>
      <c r="AY9" s="72">
        <f t="shared" ca="1" si="35"/>
        <v>5.917497665704464</v>
      </c>
      <c r="AZ9" s="72">
        <f t="shared" ca="1" si="36"/>
        <v>1.3980088235226795</v>
      </c>
      <c r="BA9" s="72">
        <f t="shared" ca="1" si="37"/>
        <v>7.7937441642611596</v>
      </c>
      <c r="BB9" s="72">
        <f t="shared" ca="1" si="38"/>
        <v>0.70681727355807333</v>
      </c>
      <c r="BC9" s="72">
        <f t="shared" ca="1" si="39"/>
        <v>2.7993530345078987</v>
      </c>
      <c r="BD9" s="72">
        <f t="shared" ca="1" si="40"/>
        <v>0.35340863677903667</v>
      </c>
      <c r="BE9" s="72">
        <f t="shared" ca="1" si="41"/>
        <v>4.3049795517999971</v>
      </c>
      <c r="BF9" s="72">
        <f t="shared" ca="1" si="42"/>
        <v>5.1482229691628829</v>
      </c>
      <c r="BG9" s="72">
        <f t="shared" ca="1" si="43"/>
        <v>6.8662886087140818</v>
      </c>
      <c r="BH9" s="72">
        <f t="shared" ca="1" si="44"/>
        <v>3.057638562028171</v>
      </c>
      <c r="BI9" s="72">
        <f t="shared" ca="1" si="45"/>
        <v>0.67329234358693946</v>
      </c>
      <c r="BJ9" s="72">
        <f t="shared" ca="1" si="46"/>
        <v>7.1749659196666622</v>
      </c>
      <c r="BK9" s="72">
        <f t="shared" ca="1" si="47"/>
        <v>3.9055484593649461</v>
      </c>
      <c r="BL9" s="72">
        <f t="shared" ca="1" si="48"/>
        <v>2.969416526583502</v>
      </c>
      <c r="BM9" s="72">
        <f t="shared" ca="1" si="49"/>
        <v>3.1147323995642537</v>
      </c>
      <c r="BN9" s="72">
        <f t="shared" ca="1" si="50"/>
        <v>0.14527469654158029</v>
      </c>
      <c r="BO9" s="72">
        <f t="shared" ca="1" si="51"/>
        <v>2.6628739495670084</v>
      </c>
      <c r="BP9" s="72">
        <f t="shared" ca="1" si="52"/>
        <v>1.005974603169759</v>
      </c>
      <c r="BQ9" s="72">
        <f t="shared" ca="1" si="53"/>
        <v>2.3770919700996536</v>
      </c>
      <c r="BR9" s="72">
        <f t="shared" ca="1" si="54"/>
        <v>4.5927549952398516</v>
      </c>
      <c r="BS9" s="72">
        <f t="shared" ca="1" si="55"/>
        <v>0.37715546217525658</v>
      </c>
      <c r="BT9" s="72">
        <f t="shared" ca="1" si="56"/>
        <v>4.2014233426501688</v>
      </c>
      <c r="BU9" s="72">
        <f t="shared" ca="1" si="57"/>
        <v>3.6096735760797229</v>
      </c>
      <c r="BV9" s="72">
        <f t="shared" ca="1" si="58"/>
        <v>3.5461535947388279</v>
      </c>
      <c r="BW9" s="72">
        <f t="shared" ca="1" si="59"/>
        <v>3.9594685340013651</v>
      </c>
      <c r="BX9" s="72">
        <f t="shared" ca="1" si="60"/>
        <v>0.3380430438756003</v>
      </c>
      <c r="BY9" s="72">
        <f t="shared" ca="1" si="61"/>
        <v>4.2014233426501688</v>
      </c>
      <c r="BZ9" s="72">
        <f t="shared" ca="1" si="62"/>
        <v>3.6096735760797229</v>
      </c>
      <c r="CA9" s="72">
        <f t="shared" ca="1" si="63"/>
        <v>4.9178525676487919</v>
      </c>
      <c r="CB9" s="72">
        <f t="shared" ca="1" si="64"/>
        <v>3.202401027013738</v>
      </c>
      <c r="CC9" s="72">
        <f t="shared" ca="1" si="65"/>
        <v>0.41347413631065161</v>
      </c>
      <c r="CD9" s="72">
        <f t="shared" ca="1" si="66"/>
        <v>3.1642601306900309</v>
      </c>
      <c r="CE9" s="72">
        <f t="shared" ca="1" si="67"/>
        <v>2.3615407095800642</v>
      </c>
      <c r="CF9" s="72">
        <f t="shared" ca="1" si="68"/>
        <v>6.6437559289580657</v>
      </c>
      <c r="CG9" s="72">
        <f t="shared" ca="1" si="69"/>
        <v>2.3615407095800642</v>
      </c>
      <c r="CH9" s="72">
        <f t="shared" ca="1" si="70"/>
        <v>3.5797841693952859</v>
      </c>
      <c r="CI9" s="72">
        <f t="shared" ca="1" si="71"/>
        <v>9.8246357608735266</v>
      </c>
      <c r="CJ9" s="72">
        <f t="shared" ca="1" si="72"/>
        <v>3.5797841693952859</v>
      </c>
      <c r="CK9" s="72">
        <f t="shared" ca="1" si="73"/>
        <v>1.9484360410652899</v>
      </c>
    </row>
    <row r="10" spans="1:89" x14ac:dyDescent="0.25">
      <c r="A10" t="str">
        <f>PLANTILLA!D9</f>
        <v>S. Swärdborn</v>
      </c>
      <c r="B10" s="58">
        <f>PLANTILLA!E9</f>
        <v>22</v>
      </c>
      <c r="C10" s="97">
        <f ca="1">PLANTILLA!F9</f>
        <v>190</v>
      </c>
      <c r="D10" s="58" t="str">
        <f>PLANTILLA!G9</f>
        <v>IMP</v>
      </c>
      <c r="E10" s="206">
        <f>PLANTILLA!O9</f>
        <v>43884</v>
      </c>
      <c r="F10" s="97">
        <f>PLANTILLA!Q9</f>
        <v>6</v>
      </c>
      <c r="G10" s="117">
        <f t="shared" si="0"/>
        <v>0.92582009977255142</v>
      </c>
      <c r="H10" s="117">
        <f t="shared" si="1"/>
        <v>0.99928545900129484</v>
      </c>
      <c r="I10" s="152">
        <f ca="1">PLANTILLA!P9</f>
        <v>0.97699348799428654</v>
      </c>
      <c r="J10" s="153">
        <f>PLANTILLA!I9</f>
        <v>4.7</v>
      </c>
      <c r="K10" s="49">
        <f>PLANTILLA!X9</f>
        <v>0</v>
      </c>
      <c r="L10" s="49">
        <f>PLANTILLA!Y9</f>
        <v>12</v>
      </c>
      <c r="M10" s="49">
        <f>PLANTILLA!Z9</f>
        <v>7.2</v>
      </c>
      <c r="N10" s="49">
        <f>PLANTILLA!AA9</f>
        <v>1</v>
      </c>
      <c r="O10" s="49">
        <f>PLANTILLA!AB9</f>
        <v>3</v>
      </c>
      <c r="P10" s="49">
        <f>PLANTILLA!AC9</f>
        <v>6.2</v>
      </c>
      <c r="Q10" s="49">
        <f>PLANTILLA!AD9</f>
        <v>16.5</v>
      </c>
      <c r="R10" s="153">
        <f t="shared" si="2"/>
        <v>2.625</v>
      </c>
      <c r="S10" s="153">
        <f t="shared" ca="1" si="3"/>
        <v>15.906603963184624</v>
      </c>
      <c r="T10" s="49">
        <f t="shared" si="4"/>
        <v>0.80500000000000005</v>
      </c>
      <c r="U10" s="49">
        <f t="shared" si="5"/>
        <v>0.97499999999999998</v>
      </c>
      <c r="V10" s="153">
        <f t="shared" ca="1" si="6"/>
        <v>17.014824544198706</v>
      </c>
      <c r="W10" s="153">
        <f t="shared" ca="1" si="7"/>
        <v>18.364979069533263</v>
      </c>
      <c r="X10" s="72">
        <f t="shared" ca="1" si="8"/>
        <v>4.947237221656188</v>
      </c>
      <c r="Y10" s="72">
        <f t="shared" ca="1" si="9"/>
        <v>7.5182030391273065</v>
      </c>
      <c r="Z10" s="72">
        <f t="shared" ca="1" si="10"/>
        <v>4.947237221656188</v>
      </c>
      <c r="AA10" s="72">
        <f t="shared" ca="1" si="11"/>
        <v>7.1585319660648263</v>
      </c>
      <c r="AB10" s="72">
        <f t="shared" ca="1" si="12"/>
        <v>13.873123965241911</v>
      </c>
      <c r="AC10" s="72">
        <f t="shared" ca="1" si="13"/>
        <v>3.5792659830324132</v>
      </c>
      <c r="AD10" s="72">
        <f t="shared" ca="1" si="14"/>
        <v>2.1594035037275745</v>
      </c>
      <c r="AE10" s="72">
        <f t="shared" ca="1" si="15"/>
        <v>5.2440408588614424</v>
      </c>
      <c r="AF10" s="72">
        <f t="shared" ca="1" si="16"/>
        <v>10.030268626869901</v>
      </c>
      <c r="AG10" s="72">
        <f t="shared" ca="1" si="17"/>
        <v>2.6220204294307212</v>
      </c>
      <c r="AH10" s="72">
        <f t="shared" ca="1" si="18"/>
        <v>3.4931527266181357</v>
      </c>
      <c r="AI10" s="72">
        <f t="shared" ca="1" si="19"/>
        <v>12.763274048022559</v>
      </c>
      <c r="AJ10" s="72">
        <f t="shared" ca="1" si="20"/>
        <v>5.7434733216101508</v>
      </c>
      <c r="AK10" s="72">
        <f t="shared" ca="1" si="21"/>
        <v>1.515211702195399</v>
      </c>
      <c r="AL10" s="72">
        <f t="shared" ca="1" si="22"/>
        <v>1.689396891562243</v>
      </c>
      <c r="AM10" s="72">
        <f t="shared" ca="1" si="23"/>
        <v>10.460335469792401</v>
      </c>
      <c r="AN10" s="72">
        <f t="shared" ca="1" si="24"/>
        <v>9.8221717673912732</v>
      </c>
      <c r="AO10" s="72">
        <f t="shared" ca="1" si="25"/>
        <v>3.0683117021953992</v>
      </c>
      <c r="AP10" s="72">
        <f t="shared" ca="1" si="26"/>
        <v>1.2954597019896701</v>
      </c>
      <c r="AQ10" s="72">
        <f t="shared" ca="1" si="27"/>
        <v>3.7457434706153161</v>
      </c>
      <c r="AR10" s="72">
        <f t="shared" ca="1" si="28"/>
        <v>8.2406356353536943</v>
      </c>
      <c r="AS10" s="72">
        <f t="shared" ca="1" si="29"/>
        <v>1.872871735307658</v>
      </c>
      <c r="AT10" s="72">
        <f t="shared" ca="1" si="30"/>
        <v>8.5650290231883623</v>
      </c>
      <c r="AU10" s="72">
        <f t="shared" ca="1" si="31"/>
        <v>0.63350611548144831</v>
      </c>
      <c r="AV10" s="72">
        <f t="shared" ca="1" si="32"/>
        <v>1.9814253218158795</v>
      </c>
      <c r="AW10" s="72">
        <f t="shared" ca="1" si="33"/>
        <v>0.31675305774072415</v>
      </c>
      <c r="AX10" s="72">
        <f t="shared" ca="1" si="34"/>
        <v>2.6220204294307212</v>
      </c>
      <c r="AY10" s="72">
        <f t="shared" ca="1" si="35"/>
        <v>5.5492495860967646</v>
      </c>
      <c r="AZ10" s="72">
        <f t="shared" ca="1" si="36"/>
        <v>1.3110102147153606</v>
      </c>
      <c r="BA10" s="72">
        <f t="shared" ca="1" si="37"/>
        <v>9.0731239652419102</v>
      </c>
      <c r="BB10" s="72">
        <f t="shared" ca="1" si="38"/>
        <v>1.2329003632062032</v>
      </c>
      <c r="BC10" s="72">
        <f t="shared" ca="1" si="39"/>
        <v>3.3570913048482924</v>
      </c>
      <c r="BD10" s="72">
        <f t="shared" ca="1" si="40"/>
        <v>0.61645018160310161</v>
      </c>
      <c r="BE10" s="72">
        <f t="shared" ca="1" si="41"/>
        <v>4.0370790738853959</v>
      </c>
      <c r="BF10" s="72">
        <f t="shared" ca="1" si="42"/>
        <v>4.8278471399041845</v>
      </c>
      <c r="BG10" s="72">
        <f t="shared" ca="1" si="43"/>
        <v>7.993422213378123</v>
      </c>
      <c r="BH10" s="72">
        <f t="shared" ca="1" si="44"/>
        <v>3.1842072051000581</v>
      </c>
      <c r="BI10" s="72">
        <f t="shared" ca="1" si="45"/>
        <v>1.1744228756233004</v>
      </c>
      <c r="BJ10" s="72">
        <f t="shared" ca="1" si="46"/>
        <v>6.7284651231423265</v>
      </c>
      <c r="BK10" s="72">
        <f t="shared" ca="1" si="47"/>
        <v>3.6625047268238649</v>
      </c>
      <c r="BL10" s="72">
        <f t="shared" ca="1" si="48"/>
        <v>3.4568602307571679</v>
      </c>
      <c r="BM10" s="72">
        <f t="shared" ca="1" si="49"/>
        <v>2.9131103456214298</v>
      </c>
      <c r="BN10" s="72">
        <f t="shared" ca="1" si="50"/>
        <v>0.25340244619257929</v>
      </c>
      <c r="BO10" s="72">
        <f t="shared" ca="1" si="51"/>
        <v>2.4971623137435439</v>
      </c>
      <c r="BP10" s="72">
        <f t="shared" ca="1" si="52"/>
        <v>0.94337242963644996</v>
      </c>
      <c r="BQ10" s="72">
        <f t="shared" ca="1" si="53"/>
        <v>2.7673028093987826</v>
      </c>
      <c r="BR10" s="72">
        <f t="shared" ca="1" si="54"/>
        <v>4.2668374193010958</v>
      </c>
      <c r="BS10" s="72">
        <f t="shared" ca="1" si="55"/>
        <v>0.65787173530765786</v>
      </c>
      <c r="BT10" s="72">
        <f t="shared" ca="1" si="56"/>
        <v>3.9399672061287023</v>
      </c>
      <c r="BU10" s="72">
        <f t="shared" ca="1" si="57"/>
        <v>3.385042247519026</v>
      </c>
      <c r="BV10" s="72">
        <f t="shared" ca="1" si="58"/>
        <v>4.1282714041850692</v>
      </c>
      <c r="BW10" s="72">
        <f t="shared" ca="1" si="59"/>
        <v>3.6714213534880367</v>
      </c>
      <c r="BX10" s="72">
        <f t="shared" ca="1" si="60"/>
        <v>0.58964799979427107</v>
      </c>
      <c r="BY10" s="72">
        <f t="shared" ca="1" si="61"/>
        <v>3.9399672061287023</v>
      </c>
      <c r="BZ10" s="72">
        <f t="shared" ca="1" si="62"/>
        <v>3.385042247519026</v>
      </c>
      <c r="CA10" s="72">
        <f t="shared" ca="1" si="63"/>
        <v>5.725141222067645</v>
      </c>
      <c r="CB10" s="72">
        <f t="shared" ca="1" si="64"/>
        <v>2.9574459488915092</v>
      </c>
      <c r="CC10" s="72">
        <f t="shared" ca="1" si="65"/>
        <v>0.72122234685580267</v>
      </c>
      <c r="CD10" s="72">
        <f t="shared" ca="1" si="66"/>
        <v>3.6836883298882159</v>
      </c>
      <c r="CE10" s="72">
        <f t="shared" ca="1" si="67"/>
        <v>2.657297585891035</v>
      </c>
      <c r="CF10" s="72">
        <f t="shared" ca="1" si="68"/>
        <v>7.3527375848623908</v>
      </c>
      <c r="CG10" s="72">
        <f t="shared" ca="1" si="69"/>
        <v>2.657297585891035</v>
      </c>
      <c r="CH10" s="72">
        <f t="shared" ca="1" si="70"/>
        <v>3.4319379234671956</v>
      </c>
      <c r="CI10" s="72">
        <f t="shared" ca="1" si="71"/>
        <v>9.8713067084161743</v>
      </c>
      <c r="CJ10" s="72">
        <f t="shared" ca="1" si="72"/>
        <v>3.4319379234671956</v>
      </c>
      <c r="CK10" s="72">
        <f t="shared" ca="1" si="73"/>
        <v>2.2682809913104776</v>
      </c>
    </row>
    <row r="11" spans="1:89" x14ac:dyDescent="0.25">
      <c r="A11" t="str">
        <f>PLANTILLA!D10</f>
        <v>A. Grimaud</v>
      </c>
      <c r="B11" s="58">
        <f>PLANTILLA!E10</f>
        <v>22</v>
      </c>
      <c r="C11" s="97">
        <f ca="1">PLANTILLA!F10</f>
        <v>213</v>
      </c>
      <c r="D11" s="58" t="str">
        <f>PLANTILLA!G10</f>
        <v>RAP</v>
      </c>
      <c r="E11" s="206">
        <f>PLANTILLA!O10</f>
        <v>43739</v>
      </c>
      <c r="F11" s="97">
        <f>PLANTILLA!Q10</f>
        <v>6</v>
      </c>
      <c r="G11" s="117">
        <f t="shared" si="0"/>
        <v>0.92582009977255142</v>
      </c>
      <c r="H11" s="117">
        <f t="shared" si="1"/>
        <v>0.99928545900129484</v>
      </c>
      <c r="I11" s="152">
        <f ca="1">PLANTILLA!P10</f>
        <v>1</v>
      </c>
      <c r="J11" s="153">
        <f>PLANTILLA!I10</f>
        <v>4.7</v>
      </c>
      <c r="K11" s="49">
        <f>PLANTILLA!X10</f>
        <v>0</v>
      </c>
      <c r="L11" s="49">
        <f>PLANTILLA!Y10</f>
        <v>12</v>
      </c>
      <c r="M11" s="49">
        <f>PLANTILLA!Z10</f>
        <v>7.3</v>
      </c>
      <c r="N11" s="49">
        <f>PLANTILLA!AA10</f>
        <v>3</v>
      </c>
      <c r="O11" s="49">
        <f>PLANTILLA!AB10</f>
        <v>3</v>
      </c>
      <c r="P11" s="49">
        <f>PLANTILLA!AC10</f>
        <v>5.25</v>
      </c>
      <c r="Q11" s="49">
        <f>PLANTILLA!AD10</f>
        <v>15.666666666666666</v>
      </c>
      <c r="R11" s="153">
        <f t="shared" si="2"/>
        <v>2.625</v>
      </c>
      <c r="S11" s="153">
        <f t="shared" ca="1" si="3"/>
        <v>13.922115021383911</v>
      </c>
      <c r="T11" s="49">
        <f t="shared" si="4"/>
        <v>0.73249999999999993</v>
      </c>
      <c r="U11" s="49">
        <f t="shared" si="5"/>
        <v>0.95</v>
      </c>
      <c r="V11" s="153">
        <f t="shared" ca="1" si="6"/>
        <v>16.259990604063809</v>
      </c>
      <c r="W11" s="153">
        <f t="shared" ca="1" si="7"/>
        <v>17.55024780530302</v>
      </c>
      <c r="X11" s="72">
        <f t="shared" ca="1" si="8"/>
        <v>4.9673219066371761</v>
      </c>
      <c r="Y11" s="72">
        <f t="shared" ca="1" si="9"/>
        <v>7.5479044461266813</v>
      </c>
      <c r="Z11" s="72">
        <f t="shared" ca="1" si="10"/>
        <v>4.9673219066371761</v>
      </c>
      <c r="AA11" s="72">
        <f t="shared" ca="1" si="11"/>
        <v>7.1704033262597742</v>
      </c>
      <c r="AB11" s="72">
        <f t="shared" ca="1" si="12"/>
        <v>13.896130477247624</v>
      </c>
      <c r="AC11" s="72">
        <f t="shared" ca="1" si="13"/>
        <v>3.5852016631298871</v>
      </c>
      <c r="AD11" s="72">
        <f t="shared" ca="1" si="14"/>
        <v>2.1886790535849348</v>
      </c>
      <c r="AE11" s="72">
        <f t="shared" ca="1" si="15"/>
        <v>5.2527373203996017</v>
      </c>
      <c r="AF11" s="72">
        <f t="shared" ca="1" si="16"/>
        <v>10.046902335050031</v>
      </c>
      <c r="AG11" s="72">
        <f t="shared" ca="1" si="17"/>
        <v>2.6263686601998009</v>
      </c>
      <c r="AH11" s="72">
        <f t="shared" ca="1" si="18"/>
        <v>3.5405102337403358</v>
      </c>
      <c r="AI11" s="72">
        <f t="shared" ca="1" si="19"/>
        <v>12.784440039067814</v>
      </c>
      <c r="AJ11" s="72">
        <f t="shared" ca="1" si="20"/>
        <v>5.7529980175805164</v>
      </c>
      <c r="AK11" s="72">
        <f t="shared" ca="1" si="21"/>
        <v>1.5357537897003535</v>
      </c>
      <c r="AL11" s="72">
        <f t="shared" ca="1" si="22"/>
        <v>2.878924720621602</v>
      </c>
      <c r="AM11" s="72">
        <f t="shared" ca="1" si="23"/>
        <v>10.477682379844708</v>
      </c>
      <c r="AN11" s="72">
        <f t="shared" ca="1" si="24"/>
        <v>9.8384603778913178</v>
      </c>
      <c r="AO11" s="72">
        <f t="shared" ca="1" si="25"/>
        <v>2.9329871230336861</v>
      </c>
      <c r="AP11" s="72">
        <f t="shared" ca="1" si="26"/>
        <v>1.3020855774473155</v>
      </c>
      <c r="AQ11" s="72">
        <f t="shared" ca="1" si="27"/>
        <v>3.7519552288568585</v>
      </c>
      <c r="AR11" s="72">
        <f t="shared" ca="1" si="28"/>
        <v>8.2543015034850882</v>
      </c>
      <c r="AS11" s="72">
        <f t="shared" ca="1" si="29"/>
        <v>1.8759776144284293</v>
      </c>
      <c r="AT11" s="72">
        <f t="shared" ca="1" si="30"/>
        <v>8.6811471705217578</v>
      </c>
      <c r="AU11" s="72">
        <f t="shared" ca="1" si="31"/>
        <v>0.63649696204219097</v>
      </c>
      <c r="AV11" s="72">
        <f t="shared" ca="1" si="32"/>
        <v>1.8238162298335534</v>
      </c>
      <c r="AW11" s="72">
        <f t="shared" ca="1" si="33"/>
        <v>0.31824848102109549</v>
      </c>
      <c r="AX11" s="72">
        <f t="shared" ca="1" si="34"/>
        <v>2.6263686601998009</v>
      </c>
      <c r="AY11" s="72">
        <f t="shared" ca="1" si="35"/>
        <v>5.5584521908990503</v>
      </c>
      <c r="AZ11" s="72">
        <f t="shared" ca="1" si="36"/>
        <v>1.3131843300999004</v>
      </c>
      <c r="BA11" s="72">
        <f t="shared" ca="1" si="37"/>
        <v>9.1961304772476247</v>
      </c>
      <c r="BB11" s="72">
        <f t="shared" ca="1" si="38"/>
        <v>1.2387210107436486</v>
      </c>
      <c r="BC11" s="72">
        <f t="shared" ca="1" si="39"/>
        <v>3.17026789296344</v>
      </c>
      <c r="BD11" s="72">
        <f t="shared" ca="1" si="40"/>
        <v>0.6193605053718243</v>
      </c>
      <c r="BE11" s="72">
        <f t="shared" ca="1" si="41"/>
        <v>4.0437739688790586</v>
      </c>
      <c r="BF11" s="72">
        <f t="shared" ca="1" si="42"/>
        <v>4.8358534060821725</v>
      </c>
      <c r="BG11" s="72">
        <f t="shared" ca="1" si="43"/>
        <v>8.1017909504551575</v>
      </c>
      <c r="BH11" s="72">
        <f t="shared" ca="1" si="44"/>
        <v>4.3526599942731368</v>
      </c>
      <c r="BI11" s="72">
        <f t="shared" ca="1" si="45"/>
        <v>1.1799674450166771</v>
      </c>
      <c r="BJ11" s="72">
        <f t="shared" ca="1" si="46"/>
        <v>6.7396232814650974</v>
      </c>
      <c r="BK11" s="72">
        <f t="shared" ca="1" si="47"/>
        <v>3.668578445993373</v>
      </c>
      <c r="BL11" s="72">
        <f t="shared" ca="1" si="48"/>
        <v>3.5037257118313452</v>
      </c>
      <c r="BM11" s="72">
        <f t="shared" ca="1" si="49"/>
        <v>4.2792180371144228</v>
      </c>
      <c r="BN11" s="72">
        <f t="shared" ca="1" si="50"/>
        <v>0.25459878481687637</v>
      </c>
      <c r="BO11" s="72">
        <f t="shared" ca="1" si="51"/>
        <v>2.5013034859045722</v>
      </c>
      <c r="BP11" s="72">
        <f t="shared" ca="1" si="52"/>
        <v>0.94493687245283853</v>
      </c>
      <c r="BQ11" s="72">
        <f t="shared" ca="1" si="53"/>
        <v>2.8048197955605256</v>
      </c>
      <c r="BR11" s="72">
        <f t="shared" ca="1" si="54"/>
        <v>6.296423793740443</v>
      </c>
      <c r="BS11" s="72">
        <f t="shared" ca="1" si="55"/>
        <v>0.66097761442842917</v>
      </c>
      <c r="BT11" s="72">
        <f t="shared" ca="1" si="56"/>
        <v>3.9465010555383246</v>
      </c>
      <c r="BU11" s="72">
        <f t="shared" ca="1" si="57"/>
        <v>3.3906558364484201</v>
      </c>
      <c r="BV11" s="72">
        <f t="shared" ca="1" si="58"/>
        <v>4.1842393671476694</v>
      </c>
      <c r="BW11" s="72">
        <f t="shared" ca="1" si="59"/>
        <v>5.4249125687903659</v>
      </c>
      <c r="BX11" s="72">
        <f t="shared" ca="1" si="60"/>
        <v>0.59243178774696237</v>
      </c>
      <c r="BY11" s="72">
        <f t="shared" ca="1" si="61"/>
        <v>3.9465010555383246</v>
      </c>
      <c r="BZ11" s="72">
        <f t="shared" ca="1" si="62"/>
        <v>3.3906558364484201</v>
      </c>
      <c r="CA11" s="72">
        <f t="shared" ca="1" si="63"/>
        <v>5.8027583311432513</v>
      </c>
      <c r="CB11" s="72">
        <f t="shared" ca="1" si="64"/>
        <v>4.3820367771366229</v>
      </c>
      <c r="CC11" s="72">
        <f t="shared" ca="1" si="65"/>
        <v>0.72462731063264818</v>
      </c>
      <c r="CD11" s="72">
        <f t="shared" ca="1" si="66"/>
        <v>3.7336289737625359</v>
      </c>
      <c r="CE11" s="72">
        <f t="shared" ca="1" si="67"/>
        <v>2.8366339786460113</v>
      </c>
      <c r="CF11" s="72">
        <f t="shared" ca="1" si="68"/>
        <v>6.8247929173808233</v>
      </c>
      <c r="CG11" s="72">
        <f t="shared" ca="1" si="69"/>
        <v>2.8366339786460113</v>
      </c>
      <c r="CH11" s="72">
        <f t="shared" ca="1" si="70"/>
        <v>3.6352892873252691</v>
      </c>
      <c r="CI11" s="72">
        <f t="shared" ca="1" si="71"/>
        <v>8.9528026233519959</v>
      </c>
      <c r="CJ11" s="72">
        <f t="shared" ca="1" si="72"/>
        <v>3.6352892873252691</v>
      </c>
      <c r="CK11" s="72">
        <f t="shared" ca="1" si="73"/>
        <v>2.2990326193119062</v>
      </c>
    </row>
    <row r="12" spans="1:89" x14ac:dyDescent="0.25">
      <c r="A12" t="str">
        <f>PLANTILLA!D11</f>
        <v>V. Gardner</v>
      </c>
      <c r="B12" s="58">
        <f>PLANTILLA!E11</f>
        <v>22</v>
      </c>
      <c r="C12" s="97">
        <f ca="1">PLANTILLA!F11</f>
        <v>202</v>
      </c>
      <c r="D12" s="58">
        <f>PLANTILLA!G11</f>
        <v>0</v>
      </c>
      <c r="E12" s="206">
        <f>PLANTILLA!O11</f>
        <v>43756</v>
      </c>
      <c r="F12" s="97">
        <f>PLANTILLA!Q11</f>
        <v>6</v>
      </c>
      <c r="G12" s="117">
        <f t="shared" si="0"/>
        <v>0.92582009977255142</v>
      </c>
      <c r="H12" s="117">
        <f t="shared" si="1"/>
        <v>0.99928545900129484</v>
      </c>
      <c r="I12" s="152">
        <f ca="1">PLANTILLA!P11</f>
        <v>1</v>
      </c>
      <c r="J12" s="153">
        <f>PLANTILLA!I11</f>
        <v>3.7</v>
      </c>
      <c r="K12" s="49">
        <f>PLANTILLA!X11</f>
        <v>0</v>
      </c>
      <c r="L12" s="49">
        <f>PLANTILLA!Y11</f>
        <v>12</v>
      </c>
      <c r="M12" s="49">
        <f>PLANTILLA!Z11</f>
        <v>6.125</v>
      </c>
      <c r="N12" s="49">
        <f>PLANTILLA!AA11</f>
        <v>3</v>
      </c>
      <c r="O12" s="49">
        <f>PLANTILLA!AB11</f>
        <v>5</v>
      </c>
      <c r="P12" s="49">
        <f>PLANTILLA!AC11</f>
        <v>6.2</v>
      </c>
      <c r="Q12" s="49">
        <f>PLANTILLA!AD11</f>
        <v>17.25</v>
      </c>
      <c r="R12" s="153">
        <f t="shared" si="2"/>
        <v>3.125</v>
      </c>
      <c r="S12" s="153">
        <f t="shared" ca="1" si="3"/>
        <v>16.063801080250748</v>
      </c>
      <c r="T12" s="49">
        <f t="shared" si="4"/>
        <v>0.82750000000000001</v>
      </c>
      <c r="U12" s="49">
        <f t="shared" si="5"/>
        <v>0.99750000000000016</v>
      </c>
      <c r="V12" s="153">
        <f t="shared" ca="1" si="6"/>
        <v>17.597620256671252</v>
      </c>
      <c r="W12" s="153">
        <f t="shared" ca="1" si="7"/>
        <v>18.994020587626451</v>
      </c>
      <c r="X12" s="72">
        <f t="shared" ca="1" si="8"/>
        <v>4.8463868068139817</v>
      </c>
      <c r="Y12" s="72">
        <f t="shared" ca="1" si="9"/>
        <v>7.3690645676939877</v>
      </c>
      <c r="Z12" s="72">
        <f t="shared" ca="1" si="10"/>
        <v>4.8463868068139817</v>
      </c>
      <c r="AA12" s="72">
        <f t="shared" ca="1" si="11"/>
        <v>7.0989227861580924</v>
      </c>
      <c r="AB12" s="72">
        <f t="shared" ca="1" si="12"/>
        <v>13.757602298755993</v>
      </c>
      <c r="AC12" s="72">
        <f t="shared" ca="1" si="13"/>
        <v>3.5494613930790462</v>
      </c>
      <c r="AD12" s="72">
        <f t="shared" ca="1" si="14"/>
        <v>1.8760593471039264</v>
      </c>
      <c r="AE12" s="72">
        <f t="shared" ca="1" si="15"/>
        <v>5.2003736689297657</v>
      </c>
      <c r="AF12" s="72">
        <f t="shared" ca="1" si="16"/>
        <v>9.9467464620005828</v>
      </c>
      <c r="AG12" s="72">
        <f t="shared" ca="1" si="17"/>
        <v>2.6001868344648829</v>
      </c>
      <c r="AH12" s="72">
        <f t="shared" ca="1" si="18"/>
        <v>3.0348018850210576</v>
      </c>
      <c r="AI12" s="72">
        <f t="shared" ca="1" si="19"/>
        <v>12.656994114855515</v>
      </c>
      <c r="AJ12" s="72">
        <f t="shared" ca="1" si="20"/>
        <v>5.6956473516849808</v>
      </c>
      <c r="AK12" s="72">
        <f t="shared" ca="1" si="21"/>
        <v>1.3163945838922511</v>
      </c>
      <c r="AL12" s="72">
        <f t="shared" ca="1" si="22"/>
        <v>2.7974701516685241</v>
      </c>
      <c r="AM12" s="72">
        <f t="shared" ca="1" si="23"/>
        <v>10.373232133262018</v>
      </c>
      <c r="AN12" s="72">
        <f t="shared" ca="1" si="24"/>
        <v>9.7403824275192417</v>
      </c>
      <c r="AO12" s="72">
        <f t="shared" ca="1" si="25"/>
        <v>3.1742695838922512</v>
      </c>
      <c r="AP12" s="72">
        <f t="shared" ca="1" si="26"/>
        <v>1.4061894620417261</v>
      </c>
      <c r="AQ12" s="72">
        <f t="shared" ca="1" si="27"/>
        <v>3.7145526206641182</v>
      </c>
      <c r="AR12" s="72">
        <f t="shared" ca="1" si="28"/>
        <v>8.1720157654610599</v>
      </c>
      <c r="AS12" s="72">
        <f t="shared" ca="1" si="29"/>
        <v>1.8572763103320591</v>
      </c>
      <c r="AT12" s="72">
        <f t="shared" ca="1" si="30"/>
        <v>7.4411765700256574</v>
      </c>
      <c r="AU12" s="72">
        <f t="shared" ca="1" si="31"/>
        <v>0.87848829883827917</v>
      </c>
      <c r="AV12" s="72">
        <f t="shared" ca="1" si="32"/>
        <v>2.187577473535506</v>
      </c>
      <c r="AW12" s="72">
        <f t="shared" ca="1" si="33"/>
        <v>0.43924414941913958</v>
      </c>
      <c r="AX12" s="72">
        <f t="shared" ca="1" si="34"/>
        <v>2.6001868344648829</v>
      </c>
      <c r="AY12" s="72">
        <f t="shared" ca="1" si="35"/>
        <v>5.5030409195023973</v>
      </c>
      <c r="AZ12" s="72">
        <f t="shared" ca="1" si="36"/>
        <v>1.3000934172324414</v>
      </c>
      <c r="BA12" s="72">
        <f t="shared" ca="1" si="37"/>
        <v>7.8826022987559936</v>
      </c>
      <c r="BB12" s="72">
        <f t="shared" ca="1" si="38"/>
        <v>1.7096733815852665</v>
      </c>
      <c r="BC12" s="72">
        <f t="shared" ca="1" si="39"/>
        <v>3.9754388666145526</v>
      </c>
      <c r="BD12" s="72">
        <f t="shared" ca="1" si="40"/>
        <v>0.85483669079263325</v>
      </c>
      <c r="BE12" s="72">
        <f t="shared" ca="1" si="41"/>
        <v>4.0034622689379935</v>
      </c>
      <c r="BF12" s="72">
        <f t="shared" ca="1" si="42"/>
        <v>4.7876455999670853</v>
      </c>
      <c r="BG12" s="72">
        <f t="shared" ca="1" si="43"/>
        <v>6.9445726252040307</v>
      </c>
      <c r="BH12" s="72">
        <f t="shared" ca="1" si="44"/>
        <v>4.8595084435940779</v>
      </c>
      <c r="BI12" s="72">
        <f t="shared" ca="1" si="45"/>
        <v>1.6285821540001943</v>
      </c>
      <c r="BJ12" s="72">
        <f t="shared" ca="1" si="46"/>
        <v>6.6724371148966561</v>
      </c>
      <c r="BK12" s="72">
        <f t="shared" ca="1" si="47"/>
        <v>3.6320070068715822</v>
      </c>
      <c r="BL12" s="72">
        <f t="shared" ca="1" si="48"/>
        <v>3.0032714758260335</v>
      </c>
      <c r="BM12" s="72">
        <f t="shared" ca="1" si="49"/>
        <v>4.5601444091127386</v>
      </c>
      <c r="BN12" s="72">
        <f t="shared" ca="1" si="50"/>
        <v>0.35139531953531167</v>
      </c>
      <c r="BO12" s="72">
        <f t="shared" ca="1" si="51"/>
        <v>2.4763684137760786</v>
      </c>
      <c r="BP12" s="72">
        <f t="shared" ca="1" si="52"/>
        <v>0.93551695631540754</v>
      </c>
      <c r="BQ12" s="72">
        <f t="shared" ca="1" si="53"/>
        <v>2.4041937011205778</v>
      </c>
      <c r="BR12" s="72">
        <f t="shared" ca="1" si="54"/>
        <v>6.6902765562002076</v>
      </c>
      <c r="BS12" s="72">
        <f t="shared" ca="1" si="55"/>
        <v>0.91227631033205925</v>
      </c>
      <c r="BT12" s="72">
        <f t="shared" ca="1" si="56"/>
        <v>3.9071590528467017</v>
      </c>
      <c r="BU12" s="72">
        <f t="shared" ca="1" si="57"/>
        <v>3.3568549608964622</v>
      </c>
      <c r="BV12" s="72">
        <f t="shared" ca="1" si="58"/>
        <v>3.5865840459339773</v>
      </c>
      <c r="BW12" s="72">
        <f t="shared" ca="1" si="59"/>
        <v>5.7594233470216416</v>
      </c>
      <c r="BX12" s="72">
        <f t="shared" ca="1" si="60"/>
        <v>0.81766987814947523</v>
      </c>
      <c r="BY12" s="72">
        <f t="shared" ca="1" si="61"/>
        <v>3.9071590528467017</v>
      </c>
      <c r="BZ12" s="72">
        <f t="shared" ca="1" si="62"/>
        <v>3.3568549608964622</v>
      </c>
      <c r="CA12" s="72">
        <f t="shared" ca="1" si="63"/>
        <v>4.9739220505150321</v>
      </c>
      <c r="CB12" s="72">
        <f t="shared" ca="1" si="64"/>
        <v>4.6440540573866143</v>
      </c>
      <c r="CC12" s="72">
        <f t="shared" ca="1" si="65"/>
        <v>1.0001251402158871</v>
      </c>
      <c r="CD12" s="72">
        <f t="shared" ca="1" si="66"/>
        <v>3.2003365332949336</v>
      </c>
      <c r="CE12" s="72">
        <f t="shared" ca="1" si="67"/>
        <v>3.3851107976518726</v>
      </c>
      <c r="CF12" s="72">
        <f t="shared" ca="1" si="68"/>
        <v>8.3086601883992497</v>
      </c>
      <c r="CG12" s="72">
        <f t="shared" ca="1" si="69"/>
        <v>3.3851107976518726</v>
      </c>
      <c r="CH12" s="72">
        <f t="shared" ca="1" si="70"/>
        <v>4.079986232124984</v>
      </c>
      <c r="CI12" s="72">
        <f t="shared" ca="1" si="71"/>
        <v>10.451157546996956</v>
      </c>
      <c r="CJ12" s="72">
        <f t="shared" ca="1" si="72"/>
        <v>4.079986232124984</v>
      </c>
      <c r="CK12" s="72">
        <f t="shared" ca="1" si="73"/>
        <v>1.9706505746889984</v>
      </c>
    </row>
    <row r="13" spans="1:89" x14ac:dyDescent="0.25">
      <c r="A13" t="str">
        <f>PLANTILLA!D12</f>
        <v>S. Embe</v>
      </c>
      <c r="B13" s="58">
        <f>PLANTILLA!E12</f>
        <v>23</v>
      </c>
      <c r="C13" s="97">
        <f ca="1">PLANTILLA!F12</f>
        <v>146</v>
      </c>
      <c r="D13" s="58">
        <f>PLANTILLA!G12</f>
        <v>0</v>
      </c>
      <c r="E13" s="206">
        <f>PLANTILLA!O12</f>
        <v>43920</v>
      </c>
      <c r="F13" s="97">
        <f>PLANTILLA!Q12</f>
        <v>5</v>
      </c>
      <c r="G13" s="117">
        <f t="shared" si="0"/>
        <v>0.84515425472851657</v>
      </c>
      <c r="H13" s="117">
        <f t="shared" si="1"/>
        <v>0.92504826128926143</v>
      </c>
      <c r="I13" s="152">
        <f ca="1">PLANTILLA!P12</f>
        <v>0.90605394289764585</v>
      </c>
      <c r="J13" s="153">
        <f>PLANTILLA!I12</f>
        <v>3</v>
      </c>
      <c r="K13" s="49">
        <f>PLANTILLA!X12</f>
        <v>0</v>
      </c>
      <c r="L13" s="49">
        <f>PLANTILLA!Y12</f>
        <v>11</v>
      </c>
      <c r="M13" s="49">
        <f>PLANTILLA!Z12</f>
        <v>5.083333333333333</v>
      </c>
      <c r="N13" s="49">
        <f>PLANTILLA!AA12</f>
        <v>1</v>
      </c>
      <c r="O13" s="49">
        <f>PLANTILLA!AB12</f>
        <v>5</v>
      </c>
      <c r="P13" s="49">
        <f>PLANTILLA!AC12</f>
        <v>6.2</v>
      </c>
      <c r="Q13" s="49">
        <f>PLANTILLA!AD12</f>
        <v>18.2</v>
      </c>
      <c r="R13" s="153">
        <f t="shared" si="2"/>
        <v>3</v>
      </c>
      <c r="S13" s="153">
        <f t="shared" ca="1" si="3"/>
        <v>16.110296511044403</v>
      </c>
      <c r="T13" s="49">
        <f t="shared" si="4"/>
        <v>0.85600000000000009</v>
      </c>
      <c r="U13" s="49">
        <f t="shared" si="5"/>
        <v>0.98599999999999999</v>
      </c>
      <c r="V13" s="153">
        <f t="shared" ca="1" si="6"/>
        <v>16.701922977091925</v>
      </c>
      <c r="W13" s="153">
        <f t="shared" ca="1" si="7"/>
        <v>18.280786878495906</v>
      </c>
      <c r="X13" s="72">
        <f t="shared" ca="1" si="8"/>
        <v>4.3823542326433325</v>
      </c>
      <c r="Y13" s="72">
        <f t="shared" ca="1" si="9"/>
        <v>6.6660003600716404</v>
      </c>
      <c r="Z13" s="72">
        <f t="shared" ca="1" si="10"/>
        <v>4.3823542326433325</v>
      </c>
      <c r="AA13" s="72">
        <f t="shared" ca="1" si="11"/>
        <v>6.471783257782314</v>
      </c>
      <c r="AB13" s="72">
        <f t="shared" ca="1" si="12"/>
        <v>12.542215615857197</v>
      </c>
      <c r="AC13" s="72">
        <f t="shared" ca="1" si="13"/>
        <v>3.235891628891157</v>
      </c>
      <c r="AD13" s="72">
        <f t="shared" ca="1" si="14"/>
        <v>1.5768806499073458</v>
      </c>
      <c r="AE13" s="72">
        <f t="shared" ca="1" si="15"/>
        <v>4.7409575027940205</v>
      </c>
      <c r="AF13" s="72">
        <f t="shared" ca="1" si="16"/>
        <v>9.0680218902647525</v>
      </c>
      <c r="AG13" s="72">
        <f t="shared" ca="1" si="17"/>
        <v>2.3704787513970103</v>
      </c>
      <c r="AH13" s="72">
        <f t="shared" ca="1" si="18"/>
        <v>2.5508363454383538</v>
      </c>
      <c r="AI13" s="72">
        <f t="shared" ca="1" si="19"/>
        <v>11.538838366588621</v>
      </c>
      <c r="AJ13" s="72">
        <f t="shared" ca="1" si="20"/>
        <v>5.1924772649648796</v>
      </c>
      <c r="AK13" s="72">
        <f t="shared" ca="1" si="21"/>
        <v>1.1064666745148184</v>
      </c>
      <c r="AL13" s="72">
        <f t="shared" ca="1" si="22"/>
        <v>1.494822782124031</v>
      </c>
      <c r="AM13" s="72">
        <f t="shared" ca="1" si="23"/>
        <v>9.4568305743563261</v>
      </c>
      <c r="AN13" s="72">
        <f t="shared" ca="1" si="24"/>
        <v>8.8798886560268944</v>
      </c>
      <c r="AO13" s="72">
        <f t="shared" ca="1" si="25"/>
        <v>3.2969500078481517</v>
      </c>
      <c r="AP13" s="72">
        <f t="shared" ca="1" si="26"/>
        <v>1.3081580973668723</v>
      </c>
      <c r="AQ13" s="72">
        <f t="shared" ca="1" si="27"/>
        <v>3.3863982162814432</v>
      </c>
      <c r="AR13" s="72">
        <f t="shared" ca="1" si="28"/>
        <v>7.4500760758191742</v>
      </c>
      <c r="AS13" s="72">
        <f t="shared" ca="1" si="29"/>
        <v>1.6931991081407216</v>
      </c>
      <c r="AT13" s="72">
        <f t="shared" ca="1" si="30"/>
        <v>6.2545182080358588</v>
      </c>
      <c r="AU13" s="72">
        <f t="shared" ca="1" si="31"/>
        <v>0.85048803006143547</v>
      </c>
      <c r="AV13" s="72">
        <f t="shared" ca="1" si="32"/>
        <v>2.1244691754461584</v>
      </c>
      <c r="AW13" s="72">
        <f t="shared" ca="1" si="33"/>
        <v>0.42524401503071774</v>
      </c>
      <c r="AX13" s="72">
        <f t="shared" ca="1" si="34"/>
        <v>2.3704787513970103</v>
      </c>
      <c r="AY13" s="72">
        <f t="shared" ca="1" si="35"/>
        <v>5.0168862463428789</v>
      </c>
      <c r="AZ13" s="72">
        <f t="shared" ca="1" si="36"/>
        <v>1.1852393756985051</v>
      </c>
      <c r="BA13" s="72">
        <f t="shared" ca="1" si="37"/>
        <v>6.6255489491905291</v>
      </c>
      <c r="BB13" s="72">
        <f t="shared" ca="1" si="38"/>
        <v>1.6551805508118707</v>
      </c>
      <c r="BC13" s="72">
        <f t="shared" ca="1" si="39"/>
        <v>3.8567608043373154</v>
      </c>
      <c r="BD13" s="72">
        <f t="shared" ca="1" si="40"/>
        <v>0.82759027540593533</v>
      </c>
      <c r="BE13" s="72">
        <f t="shared" ca="1" si="41"/>
        <v>3.6497847442144442</v>
      </c>
      <c r="BF13" s="72">
        <f t="shared" ca="1" si="42"/>
        <v>4.3646910343183043</v>
      </c>
      <c r="BG13" s="72">
        <f t="shared" ca="1" si="43"/>
        <v>5.8371086242368557</v>
      </c>
      <c r="BH13" s="72">
        <f t="shared" ca="1" si="44"/>
        <v>3.5200296824970474</v>
      </c>
      <c r="BI13" s="72">
        <f t="shared" ca="1" si="45"/>
        <v>1.5766739634215843</v>
      </c>
      <c r="BJ13" s="72">
        <f t="shared" ca="1" si="46"/>
        <v>6.0829745736907403</v>
      </c>
      <c r="BK13" s="72">
        <f t="shared" ca="1" si="47"/>
        <v>3.3111449225863003</v>
      </c>
      <c r="BL13" s="72">
        <f t="shared" ca="1" si="48"/>
        <v>2.5243341496415916</v>
      </c>
      <c r="BM13" s="72">
        <f t="shared" ca="1" si="49"/>
        <v>3.0258964482591892</v>
      </c>
      <c r="BN13" s="72">
        <f t="shared" ca="1" si="50"/>
        <v>0.3401952120245742</v>
      </c>
      <c r="BO13" s="72">
        <f t="shared" ca="1" si="51"/>
        <v>2.2575988108542955</v>
      </c>
      <c r="BP13" s="72">
        <f t="shared" ca="1" si="52"/>
        <v>0.85287066187828942</v>
      </c>
      <c r="BQ13" s="72">
        <f t="shared" ca="1" si="53"/>
        <v>2.0207924295031114</v>
      </c>
      <c r="BR13" s="72">
        <f t="shared" ca="1" si="54"/>
        <v>4.4132892819923537</v>
      </c>
      <c r="BS13" s="72">
        <f t="shared" ca="1" si="55"/>
        <v>0.88319910814072156</v>
      </c>
      <c r="BT13" s="72">
        <f t="shared" ca="1" si="56"/>
        <v>3.5619892349034434</v>
      </c>
      <c r="BU13" s="72">
        <f t="shared" ca="1" si="57"/>
        <v>3.0603006102691559</v>
      </c>
      <c r="BV13" s="72">
        <f t="shared" ca="1" si="58"/>
        <v>3.014624771881691</v>
      </c>
      <c r="BW13" s="72">
        <f t="shared" ca="1" si="59"/>
        <v>3.7927749023697723</v>
      </c>
      <c r="BX13" s="72">
        <f t="shared" ca="1" si="60"/>
        <v>0.79160808951872075</v>
      </c>
      <c r="BY13" s="72">
        <f t="shared" ca="1" si="61"/>
        <v>3.5619892349034434</v>
      </c>
      <c r="BZ13" s="72">
        <f t="shared" ca="1" si="62"/>
        <v>3.0603006102691559</v>
      </c>
      <c r="CA13" s="72">
        <f t="shared" ca="1" si="63"/>
        <v>4.1807213869392239</v>
      </c>
      <c r="CB13" s="72">
        <f t="shared" ca="1" si="64"/>
        <v>3.0472829761921902</v>
      </c>
      <c r="CC13" s="72">
        <f t="shared" ca="1" si="65"/>
        <v>0.96824791114686493</v>
      </c>
      <c r="CD13" s="72">
        <f t="shared" ca="1" si="66"/>
        <v>2.6899728733713548</v>
      </c>
      <c r="CE13" s="72">
        <f t="shared" ca="1" si="67"/>
        <v>2.9848943358615991</v>
      </c>
      <c r="CF13" s="72">
        <f t="shared" ca="1" si="68"/>
        <v>8.0661347834552029</v>
      </c>
      <c r="CG13" s="72">
        <f t="shared" ca="1" si="69"/>
        <v>2.9848943358615991</v>
      </c>
      <c r="CH13" s="72">
        <f t="shared" ca="1" si="70"/>
        <v>3.5282263035256451</v>
      </c>
      <c r="CI13" s="72">
        <f t="shared" ca="1" si="71"/>
        <v>10.156293178108502</v>
      </c>
      <c r="CJ13" s="72">
        <f t="shared" ca="1" si="72"/>
        <v>3.5282263035256451</v>
      </c>
      <c r="CK13" s="72">
        <f t="shared" ca="1" si="73"/>
        <v>1.6563872372976323</v>
      </c>
    </row>
    <row r="14" spans="1:89" x14ac:dyDescent="0.25">
      <c r="A14" t="str">
        <f>PLANTILLA!D13</f>
        <v>E. Deus</v>
      </c>
      <c r="B14" s="58">
        <f>PLANTILLA!E13</f>
        <v>22</v>
      </c>
      <c r="C14" s="97">
        <f ca="1">PLANTILLA!F13</f>
        <v>129</v>
      </c>
      <c r="D14" s="58" t="str">
        <f>PLANTILLA!G13</f>
        <v>IMP</v>
      </c>
      <c r="E14" s="206">
        <f>PLANTILLA!O13</f>
        <v>43898</v>
      </c>
      <c r="F14" s="97">
        <f>PLANTILLA!Q13</f>
        <v>5</v>
      </c>
      <c r="G14" s="117">
        <f t="shared" si="0"/>
        <v>0.84515425472851657</v>
      </c>
      <c r="H14" s="117">
        <f t="shared" si="1"/>
        <v>0.92504826128926143</v>
      </c>
      <c r="I14" s="152">
        <f ca="1">PLANTILLA!P13</f>
        <v>0.94976103133873535</v>
      </c>
      <c r="J14" s="153">
        <f>PLANTILLA!I13</f>
        <v>4</v>
      </c>
      <c r="K14" s="49">
        <f>PLANTILLA!X13</f>
        <v>0</v>
      </c>
      <c r="L14" s="49">
        <f>PLANTILLA!Y13</f>
        <v>11</v>
      </c>
      <c r="M14" s="49">
        <f>PLANTILLA!Z13</f>
        <v>7.2333333333333325</v>
      </c>
      <c r="N14" s="49">
        <f>PLANTILLA!AA13</f>
        <v>1</v>
      </c>
      <c r="O14" s="49">
        <f>PLANTILLA!AB13</f>
        <v>6</v>
      </c>
      <c r="P14" s="49">
        <f>PLANTILLA!AC13</f>
        <v>5.25</v>
      </c>
      <c r="Q14" s="49">
        <f>PLANTILLA!AD13</f>
        <v>16.75</v>
      </c>
      <c r="R14" s="153">
        <f t="shared" si="2"/>
        <v>3.25</v>
      </c>
      <c r="S14" s="153">
        <f t="shared" ca="1" si="3"/>
        <v>14.200541987038333</v>
      </c>
      <c r="T14" s="49">
        <f t="shared" si="4"/>
        <v>0.7649999999999999</v>
      </c>
      <c r="U14" s="49">
        <f t="shared" si="5"/>
        <v>0.94250000000000012</v>
      </c>
      <c r="V14" s="153">
        <f t="shared" ca="1" si="6"/>
        <v>15.646575047315332</v>
      </c>
      <c r="W14" s="153">
        <f t="shared" ca="1" si="7"/>
        <v>17.125674942381174</v>
      </c>
      <c r="X14" s="72">
        <f t="shared" ca="1" si="8"/>
        <v>4.5659392102644638</v>
      </c>
      <c r="Y14" s="72">
        <f t="shared" ca="1" si="9"/>
        <v>6.9374874231975063</v>
      </c>
      <c r="Z14" s="72">
        <f t="shared" ca="1" si="10"/>
        <v>4.5659392102644638</v>
      </c>
      <c r="AA14" s="72">
        <f t="shared" ca="1" si="11"/>
        <v>6.580293966204426</v>
      </c>
      <c r="AB14" s="72">
        <f t="shared" ca="1" si="12"/>
        <v>12.752507686442685</v>
      </c>
      <c r="AC14" s="72">
        <f t="shared" ca="1" si="13"/>
        <v>3.290146983102213</v>
      </c>
      <c r="AD14" s="72">
        <f t="shared" ca="1" si="14"/>
        <v>2.1386301627066922</v>
      </c>
      <c r="AE14" s="72">
        <f t="shared" ca="1" si="15"/>
        <v>4.8204479054753353</v>
      </c>
      <c r="AF14" s="72">
        <f t="shared" ca="1" si="16"/>
        <v>9.2200630572980611</v>
      </c>
      <c r="AG14" s="72">
        <f t="shared" ca="1" si="17"/>
        <v>2.4102239527376677</v>
      </c>
      <c r="AH14" s="72">
        <f t="shared" ca="1" si="18"/>
        <v>3.4595487926137669</v>
      </c>
      <c r="AI14" s="72">
        <f t="shared" ca="1" si="19"/>
        <v>11.732307071527272</v>
      </c>
      <c r="AJ14" s="72">
        <f t="shared" ca="1" si="20"/>
        <v>5.2795381821872711</v>
      </c>
      <c r="AK14" s="72">
        <f t="shared" ca="1" si="21"/>
        <v>1.5006354503025952</v>
      </c>
      <c r="AL14" s="72">
        <f t="shared" ca="1" si="22"/>
        <v>1.6184745196282986</v>
      </c>
      <c r="AM14" s="72">
        <f t="shared" ca="1" si="23"/>
        <v>9.6153907955777846</v>
      </c>
      <c r="AN14" s="72">
        <f t="shared" ca="1" si="24"/>
        <v>9.0287754420014199</v>
      </c>
      <c r="AO14" s="72">
        <f t="shared" ca="1" si="25"/>
        <v>3.0899187836359285</v>
      </c>
      <c r="AP14" s="72">
        <f t="shared" ca="1" si="26"/>
        <v>1.4407222136954934</v>
      </c>
      <c r="AQ14" s="72">
        <f t="shared" ca="1" si="27"/>
        <v>3.4431770753395252</v>
      </c>
      <c r="AR14" s="72">
        <f t="shared" ca="1" si="28"/>
        <v>7.5749895657469546</v>
      </c>
      <c r="AS14" s="72">
        <f t="shared" ca="1" si="29"/>
        <v>1.7215885376697626</v>
      </c>
      <c r="AT14" s="72">
        <f t="shared" ca="1" si="30"/>
        <v>8.4826339226685601</v>
      </c>
      <c r="AU14" s="72">
        <f t="shared" ca="1" si="31"/>
        <v>1.0078259992375491</v>
      </c>
      <c r="AV14" s="72">
        <f t="shared" ca="1" si="32"/>
        <v>2.1417347521277068</v>
      </c>
      <c r="AW14" s="72">
        <f t="shared" ca="1" si="33"/>
        <v>0.50391299961877456</v>
      </c>
      <c r="AX14" s="72">
        <f t="shared" ca="1" si="34"/>
        <v>2.4102239527376677</v>
      </c>
      <c r="AY14" s="72">
        <f t="shared" ca="1" si="35"/>
        <v>5.1010030745770747</v>
      </c>
      <c r="AZ14" s="72">
        <f t="shared" ca="1" si="36"/>
        <v>1.2051119763688338</v>
      </c>
      <c r="BA14" s="72">
        <f t="shared" ca="1" si="37"/>
        <v>8.9858410197760179</v>
      </c>
      <c r="BB14" s="72">
        <f t="shared" ca="1" si="38"/>
        <v>1.9613844446699995</v>
      </c>
      <c r="BC14" s="72">
        <f t="shared" ca="1" si="39"/>
        <v>4.11413173522992</v>
      </c>
      <c r="BD14" s="72">
        <f t="shared" ca="1" si="40"/>
        <v>0.98069222233499975</v>
      </c>
      <c r="BE14" s="72">
        <f t="shared" ca="1" si="41"/>
        <v>3.7109797367548212</v>
      </c>
      <c r="BF14" s="72">
        <f t="shared" ca="1" si="42"/>
        <v>4.4378726748820538</v>
      </c>
      <c r="BG14" s="72">
        <f t="shared" ca="1" si="43"/>
        <v>7.916525938422672</v>
      </c>
      <c r="BH14" s="72">
        <f t="shared" ca="1" si="44"/>
        <v>4.0219793332475469</v>
      </c>
      <c r="BI14" s="72">
        <f t="shared" ca="1" si="45"/>
        <v>1.8683543524326871</v>
      </c>
      <c r="BJ14" s="72">
        <f t="shared" ca="1" si="46"/>
        <v>6.1849662279247024</v>
      </c>
      <c r="BK14" s="72">
        <f t="shared" ca="1" si="47"/>
        <v>3.3666620292208691</v>
      </c>
      <c r="BL14" s="72">
        <f t="shared" ca="1" si="48"/>
        <v>3.4236054285346627</v>
      </c>
      <c r="BM14" s="72">
        <f t="shared" ca="1" si="49"/>
        <v>3.4106917179509066</v>
      </c>
      <c r="BN14" s="72">
        <f t="shared" ca="1" si="50"/>
        <v>0.40313039969501963</v>
      </c>
      <c r="BO14" s="72">
        <f t="shared" ca="1" si="51"/>
        <v>2.2954513835596835</v>
      </c>
      <c r="BP14" s="72">
        <f t="shared" ca="1" si="52"/>
        <v>0.86717052267810268</v>
      </c>
      <c r="BQ14" s="72">
        <f t="shared" ca="1" si="53"/>
        <v>2.7406815110316853</v>
      </c>
      <c r="BR14" s="72">
        <f t="shared" ca="1" si="54"/>
        <v>4.9697248847652933</v>
      </c>
      <c r="BS14" s="72">
        <f t="shared" ca="1" si="55"/>
        <v>1.0465885376697626</v>
      </c>
      <c r="BT14" s="72">
        <f t="shared" ca="1" si="56"/>
        <v>3.6217121829497225</v>
      </c>
      <c r="BU14" s="72">
        <f t="shared" ca="1" si="57"/>
        <v>3.1116118754920152</v>
      </c>
      <c r="BV14" s="72">
        <f t="shared" ca="1" si="58"/>
        <v>4.0885576639980883</v>
      </c>
      <c r="BW14" s="72">
        <f t="shared" ca="1" si="59"/>
        <v>4.2697785165784952</v>
      </c>
      <c r="BX14" s="72">
        <f t="shared" ca="1" si="60"/>
        <v>0.93805343005956487</v>
      </c>
      <c r="BY14" s="72">
        <f t="shared" ca="1" si="61"/>
        <v>3.6217121829497225</v>
      </c>
      <c r="BZ14" s="72">
        <f t="shared" ca="1" si="62"/>
        <v>3.1116118754920152</v>
      </c>
      <c r="CA14" s="72">
        <f t="shared" ca="1" si="63"/>
        <v>5.6700656834786676</v>
      </c>
      <c r="CB14" s="72">
        <f t="shared" ca="1" si="64"/>
        <v>3.428494379366203</v>
      </c>
      <c r="CC14" s="72">
        <f t="shared" ca="1" si="65"/>
        <v>1.1473711375935174</v>
      </c>
      <c r="CD14" s="72">
        <f t="shared" ca="1" si="66"/>
        <v>3.6482514540290634</v>
      </c>
      <c r="CE14" s="72">
        <f t="shared" ca="1" si="67"/>
        <v>3.2238065046366393</v>
      </c>
      <c r="CF14" s="72">
        <f t="shared" ca="1" si="68"/>
        <v>8.2920736549344642</v>
      </c>
      <c r="CG14" s="72">
        <f t="shared" ca="1" si="69"/>
        <v>3.2238065046366393</v>
      </c>
      <c r="CH14" s="72">
        <f t="shared" ca="1" si="70"/>
        <v>3.5428744205057217</v>
      </c>
      <c r="CI14" s="72">
        <f t="shared" ca="1" si="71"/>
        <v>9.8631830227400368</v>
      </c>
      <c r="CJ14" s="72">
        <f t="shared" ca="1" si="72"/>
        <v>3.5428744205057217</v>
      </c>
      <c r="CK14" s="72">
        <f t="shared" ca="1" si="73"/>
        <v>2.2464602549440045</v>
      </c>
    </row>
    <row r="15" spans="1:89" x14ac:dyDescent="0.25">
      <c r="A15" t="str">
        <f>PLANTILLA!D14</f>
        <v>I. Vanags</v>
      </c>
      <c r="B15" s="58">
        <f>PLANTILLA!E14</f>
        <v>22</v>
      </c>
      <c r="C15" s="97">
        <f ca="1">PLANTILLA!F14</f>
        <v>189</v>
      </c>
      <c r="D15" s="58" t="str">
        <f>PLANTILLA!G14</f>
        <v>CAB</v>
      </c>
      <c r="E15" s="206">
        <f>PLANTILLA!O14</f>
        <v>43626</v>
      </c>
      <c r="F15" s="97">
        <f>PLANTILLA!Q14</f>
        <v>6</v>
      </c>
      <c r="G15" s="117">
        <f t="shared" si="0"/>
        <v>0.92582009977255142</v>
      </c>
      <c r="H15" s="117">
        <f t="shared" si="1"/>
        <v>0.99928545900129484</v>
      </c>
      <c r="I15" s="152">
        <f ca="1">PLANTILLA!P14</f>
        <v>1</v>
      </c>
      <c r="J15" s="153">
        <f>PLANTILLA!I14</f>
        <v>2.6</v>
      </c>
      <c r="K15" s="49">
        <f>PLANTILLA!X14</f>
        <v>0</v>
      </c>
      <c r="L15" s="49">
        <f>PLANTILLA!Y14</f>
        <v>4</v>
      </c>
      <c r="M15" s="49">
        <f>PLANTILLA!Z14</f>
        <v>13.222222222222221</v>
      </c>
      <c r="N15" s="49">
        <f>PLANTILLA!AA14</f>
        <v>3</v>
      </c>
      <c r="O15" s="49">
        <f>PLANTILLA!AB14</f>
        <v>4</v>
      </c>
      <c r="P15" s="49">
        <f>PLANTILLA!AC14</f>
        <v>7.2</v>
      </c>
      <c r="Q15" s="49">
        <f>PLANTILLA!AD14</f>
        <v>17.666666666666668</v>
      </c>
      <c r="R15" s="153">
        <f t="shared" si="2"/>
        <v>1.875</v>
      </c>
      <c r="S15" s="153">
        <f t="shared" ca="1" si="3"/>
        <v>17.501454798687341</v>
      </c>
      <c r="T15" s="49">
        <f t="shared" si="4"/>
        <v>0.89</v>
      </c>
      <c r="U15" s="49">
        <f t="shared" si="5"/>
        <v>0.69000000000000006</v>
      </c>
      <c r="V15" s="153">
        <f t="shared" ca="1" si="6"/>
        <v>17.794229417649351</v>
      </c>
      <c r="W15" s="153">
        <f t="shared" ca="1" si="7"/>
        <v>19.206231011357936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3.5165737646449613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5.6885752075139084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2.4675118432592797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3.2097340654815025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13.948090898423711</v>
      </c>
      <c r="AU15" s="72">
        <f t="shared" ca="1" si="31"/>
        <v>0.72192871364827516</v>
      </c>
      <c r="AV15" s="72">
        <f t="shared" ca="1" si="32"/>
        <v>2.1807162546072658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14.775520019516645</v>
      </c>
      <c r="BB15" s="72">
        <f t="shared" ca="1" si="38"/>
        <v>1.4049843427154893</v>
      </c>
      <c r="BC15" s="72">
        <f t="shared" ca="1" si="39"/>
        <v>3.7318670863092276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13.017233137194165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5.6294731274358414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4.5065336059525762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6.7228616088800734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9.3233531323150025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5.9988611279237585</v>
      </c>
      <c r="CE15" s="72">
        <f t="shared" ca="1" si="67"/>
        <v>3.1556681523903944</v>
      </c>
      <c r="CF15" s="72">
        <f t="shared" ca="1" si="68"/>
        <v>8.1186133197535213</v>
      </c>
      <c r="CG15" s="72">
        <f t="shared" ca="1" si="69"/>
        <v>3.1556681523903944</v>
      </c>
      <c r="CH15" s="72">
        <f t="shared" ca="1" si="70"/>
        <v>4.070704527714426</v>
      </c>
      <c r="CI15" s="72">
        <f t="shared" ca="1" si="71"/>
        <v>10.802464684496066</v>
      </c>
      <c r="CJ15" s="72">
        <f t="shared" ca="1" si="72"/>
        <v>4.070704527714426</v>
      </c>
      <c r="CK15" s="72">
        <f t="shared" ca="1" si="73"/>
        <v>3.6938800048791611</v>
      </c>
    </row>
    <row r="16" spans="1:89" x14ac:dyDescent="0.25">
      <c r="A16" t="str">
        <f>PLANTILLA!D15</f>
        <v>I. Stone</v>
      </c>
      <c r="B16" s="58">
        <f>PLANTILLA!E15</f>
        <v>22</v>
      </c>
      <c r="C16" s="97">
        <f ca="1">PLANTILLA!F15</f>
        <v>132</v>
      </c>
      <c r="D16" s="58" t="str">
        <f>PLANTILLA!G15</f>
        <v>RAP</v>
      </c>
      <c r="E16" s="206">
        <f>PLANTILLA!O15</f>
        <v>43633</v>
      </c>
      <c r="F16" s="97">
        <f>PLANTILLA!Q15</f>
        <v>6</v>
      </c>
      <c r="G16" s="117">
        <f t="shared" si="0"/>
        <v>0.92582009977255142</v>
      </c>
      <c r="H16" s="117">
        <f t="shared" si="1"/>
        <v>0.99928545900129484</v>
      </c>
      <c r="I16" s="152">
        <f ca="1">PLANTILLA!P15</f>
        <v>1</v>
      </c>
      <c r="J16" s="153">
        <f>PLANTILLA!I15</f>
        <v>4</v>
      </c>
      <c r="K16" s="49">
        <f>PLANTILLA!X15</f>
        <v>0</v>
      </c>
      <c r="L16" s="49">
        <f>PLANTILLA!Y15</f>
        <v>3</v>
      </c>
      <c r="M16" s="49">
        <f>PLANTILLA!Z15</f>
        <v>12.222222222222221</v>
      </c>
      <c r="N16" s="49">
        <f>PLANTILLA!AA15</f>
        <v>2</v>
      </c>
      <c r="O16" s="49">
        <f>PLANTILLA!AB15</f>
        <v>6</v>
      </c>
      <c r="P16" s="49">
        <f>PLANTILLA!AC15</f>
        <v>9.1428571428571423</v>
      </c>
      <c r="Q16" s="49">
        <f>PLANTILLA!AD15</f>
        <v>16.5</v>
      </c>
      <c r="R16" s="153">
        <f t="shared" si="2"/>
        <v>2.25</v>
      </c>
      <c r="S16" s="153">
        <f t="shared" ca="1" si="3"/>
        <v>20.636212964922585</v>
      </c>
      <c r="T16" s="49">
        <f t="shared" si="4"/>
        <v>0.95214285714285718</v>
      </c>
      <c r="U16" s="49">
        <f t="shared" si="5"/>
        <v>0.61499999999999999</v>
      </c>
      <c r="V16" s="153">
        <f t="shared" ca="1" si="6"/>
        <v>16.945050734340068</v>
      </c>
      <c r="W16" s="153">
        <f t="shared" ca="1" si="7"/>
        <v>18.289668592229962</v>
      </c>
      <c r="X16" s="72">
        <f t="shared" ca="1" si="8"/>
        <v>2.4017978299057483</v>
      </c>
      <c r="Y16" s="72">
        <f t="shared" ca="1" si="9"/>
        <v>3.6023459317391993</v>
      </c>
      <c r="Z16" s="72">
        <f t="shared" ca="1" si="10"/>
        <v>2.4017978299057483</v>
      </c>
      <c r="AA16" s="72">
        <f t="shared" ca="1" si="11"/>
        <v>2.4782172740336383</v>
      </c>
      <c r="AB16" s="72">
        <f t="shared" ca="1" si="12"/>
        <v>4.8027466551039497</v>
      </c>
      <c r="AC16" s="72">
        <f t="shared" ca="1" si="13"/>
        <v>1.2391086370168192</v>
      </c>
      <c r="AD16" s="72">
        <f t="shared" ca="1" si="14"/>
        <v>3.3379425928036288</v>
      </c>
      <c r="AE16" s="72">
        <f t="shared" ca="1" si="15"/>
        <v>1.8154382356292931</v>
      </c>
      <c r="AF16" s="72">
        <f t="shared" ca="1" si="16"/>
        <v>3.4723858316401555</v>
      </c>
      <c r="AG16" s="72">
        <f t="shared" ca="1" si="17"/>
        <v>0.90771911781464654</v>
      </c>
      <c r="AH16" s="72">
        <f t="shared" ca="1" si="18"/>
        <v>5.3996130177705766</v>
      </c>
      <c r="AI16" s="72">
        <f t="shared" ca="1" si="19"/>
        <v>4.4185269226956336</v>
      </c>
      <c r="AJ16" s="72">
        <f t="shared" ca="1" si="20"/>
        <v>1.9883371152130351</v>
      </c>
      <c r="AK16" s="72">
        <f t="shared" ca="1" si="21"/>
        <v>2.342169802513471</v>
      </c>
      <c r="AL16" s="72">
        <f t="shared" ca="1" si="22"/>
        <v>2.2360150332011224</v>
      </c>
      <c r="AM16" s="72">
        <f t="shared" ca="1" si="23"/>
        <v>3.6212709779483783</v>
      </c>
      <c r="AN16" s="72">
        <f t="shared" ca="1" si="24"/>
        <v>3.4003446318135961</v>
      </c>
      <c r="AO16" s="72">
        <f t="shared" ca="1" si="25"/>
        <v>3.0565586914023597</v>
      </c>
      <c r="AP16" s="72">
        <f t="shared" ca="1" si="26"/>
        <v>1.1671910366699374</v>
      </c>
      <c r="AQ16" s="72">
        <f t="shared" ca="1" si="27"/>
        <v>1.2967415968780664</v>
      </c>
      <c r="AR16" s="72">
        <f t="shared" ca="1" si="28"/>
        <v>2.8528315131317461</v>
      </c>
      <c r="AS16" s="72">
        <f t="shared" ca="1" si="29"/>
        <v>0.64837079843903322</v>
      </c>
      <c r="AT16" s="72">
        <f t="shared" ca="1" si="30"/>
        <v>13.239570620195906</v>
      </c>
      <c r="AU16" s="72">
        <f t="shared" ca="1" si="31"/>
        <v>1.0143570651635134</v>
      </c>
      <c r="AV16" s="72">
        <f t="shared" ca="1" si="32"/>
        <v>2.8299190556597429</v>
      </c>
      <c r="AW16" s="72">
        <f t="shared" ca="1" si="33"/>
        <v>0.50717853258175671</v>
      </c>
      <c r="AX16" s="72">
        <f t="shared" ca="1" si="34"/>
        <v>0.90771911781464654</v>
      </c>
      <c r="AY16" s="72">
        <f t="shared" ca="1" si="35"/>
        <v>1.92109866204158</v>
      </c>
      <c r="AZ16" s="72">
        <f t="shared" ca="1" si="36"/>
        <v>0.45385955890732327</v>
      </c>
      <c r="BA16" s="72">
        <f t="shared" ca="1" si="37"/>
        <v>14.024968877326172</v>
      </c>
      <c r="BB16" s="72">
        <f t="shared" ca="1" si="38"/>
        <v>1.9740949037412994</v>
      </c>
      <c r="BC16" s="72">
        <f t="shared" ca="1" si="39"/>
        <v>4.9593134069622771</v>
      </c>
      <c r="BD16" s="72">
        <f t="shared" ca="1" si="40"/>
        <v>0.98704745187064968</v>
      </c>
      <c r="BE16" s="72">
        <f t="shared" ca="1" si="41"/>
        <v>1.3975992766352492</v>
      </c>
      <c r="BF16" s="72">
        <f t="shared" ca="1" si="42"/>
        <v>1.6713558359761744</v>
      </c>
      <c r="BG16" s="72">
        <f t="shared" ca="1" si="43"/>
        <v>12.355997580924358</v>
      </c>
      <c r="BH16" s="72">
        <f t="shared" ca="1" si="44"/>
        <v>4.6406417763874117</v>
      </c>
      <c r="BI16" s="72">
        <f t="shared" ca="1" si="45"/>
        <v>1.8804619438800518</v>
      </c>
      <c r="BJ16" s="72">
        <f t="shared" ca="1" si="46"/>
        <v>2.3293321277254155</v>
      </c>
      <c r="BK16" s="72">
        <f t="shared" ca="1" si="47"/>
        <v>1.2679251169474428</v>
      </c>
      <c r="BL16" s="72">
        <f t="shared" ca="1" si="48"/>
        <v>5.3435131422612718</v>
      </c>
      <c r="BM16" s="72">
        <f t="shared" ca="1" si="49"/>
        <v>4.1276005765608526</v>
      </c>
      <c r="BN16" s="72">
        <f t="shared" ca="1" si="50"/>
        <v>0.40574282606540535</v>
      </c>
      <c r="BO16" s="72">
        <f t="shared" ca="1" si="51"/>
        <v>0.86449439791871097</v>
      </c>
      <c r="BP16" s="72">
        <f t="shared" ca="1" si="52"/>
        <v>0.32658677254706858</v>
      </c>
      <c r="BQ16" s="72">
        <f t="shared" ca="1" si="53"/>
        <v>4.2776155075844819</v>
      </c>
      <c r="BR16" s="72">
        <f t="shared" ca="1" si="54"/>
        <v>6.0343321984636793</v>
      </c>
      <c r="BS16" s="72">
        <f t="shared" ca="1" si="55"/>
        <v>1.0533707984390333</v>
      </c>
      <c r="BT16" s="72">
        <f t="shared" ca="1" si="56"/>
        <v>1.3639800500495216</v>
      </c>
      <c r="BU16" s="72">
        <f t="shared" ca="1" si="57"/>
        <v>1.1718701838453638</v>
      </c>
      <c r="BV16" s="72">
        <f t="shared" ca="1" si="58"/>
        <v>6.3813608391834089</v>
      </c>
      <c r="BW16" s="72">
        <f t="shared" ca="1" si="59"/>
        <v>5.1894432938551764</v>
      </c>
      <c r="BX16" s="72">
        <f t="shared" ca="1" si="60"/>
        <v>0.94413234526757783</v>
      </c>
      <c r="BY16" s="72">
        <f t="shared" ca="1" si="61"/>
        <v>1.3639800500495216</v>
      </c>
      <c r="BZ16" s="72">
        <f t="shared" ca="1" si="62"/>
        <v>1.1718701838453638</v>
      </c>
      <c r="CA16" s="72">
        <f t="shared" ca="1" si="63"/>
        <v>8.8497553615928144</v>
      </c>
      <c r="CB16" s="72">
        <f t="shared" ca="1" si="64"/>
        <v>4.1754582563180351</v>
      </c>
      <c r="CC16" s="72">
        <f t="shared" ca="1" si="65"/>
        <v>1.1548065049553844</v>
      </c>
      <c r="CD16" s="72">
        <f t="shared" ca="1" si="66"/>
        <v>5.6941373641944262</v>
      </c>
      <c r="CE16" s="72">
        <f t="shared" ca="1" si="67"/>
        <v>3.8883738644520149</v>
      </c>
      <c r="CF16" s="72">
        <f t="shared" ca="1" si="68"/>
        <v>10.618178447932763</v>
      </c>
      <c r="CG16" s="72">
        <f t="shared" ca="1" si="69"/>
        <v>3.8883738644520149</v>
      </c>
      <c r="CH16" s="72">
        <f t="shared" ca="1" si="70"/>
        <v>4.7942540232726181</v>
      </c>
      <c r="CI16" s="72">
        <f t="shared" ca="1" si="71"/>
        <v>13.824817313694449</v>
      </c>
      <c r="CJ16" s="72">
        <f t="shared" ca="1" si="72"/>
        <v>4.7942540232726181</v>
      </c>
      <c r="CK16" s="72">
        <f t="shared" ca="1" si="73"/>
        <v>3.506242219331543</v>
      </c>
    </row>
    <row r="17" spans="1:89" x14ac:dyDescent="0.25">
      <c r="A17" t="str">
        <f>PLANTILLA!D16</f>
        <v>G. Piscaer</v>
      </c>
      <c r="B17" s="58">
        <f>PLANTILLA!E16</f>
        <v>22</v>
      </c>
      <c r="C17" s="97">
        <f ca="1">PLANTILLA!F16</f>
        <v>205</v>
      </c>
      <c r="D17" s="58" t="str">
        <f>PLANTILLA!G16</f>
        <v>IMP</v>
      </c>
      <c r="E17" s="206">
        <f>PLANTILLA!O16</f>
        <v>43630</v>
      </c>
      <c r="F17" s="97">
        <f>PLANTILLA!Q16</f>
        <v>7</v>
      </c>
      <c r="G17" s="117">
        <f t="shared" si="0"/>
        <v>1</v>
      </c>
      <c r="H17" s="117">
        <f t="shared" si="1"/>
        <v>1</v>
      </c>
      <c r="I17" s="152">
        <f ca="1">PLANTILLA!P16</f>
        <v>1</v>
      </c>
      <c r="J17" s="153">
        <f>PLANTILLA!I16</f>
        <v>3.7</v>
      </c>
      <c r="K17" s="49">
        <f>PLANTILLA!X16</f>
        <v>0</v>
      </c>
      <c r="L17" s="49">
        <f>PLANTILLA!Y16</f>
        <v>4</v>
      </c>
      <c r="M17" s="49">
        <f>PLANTILLA!Z16</f>
        <v>13.666666666666666</v>
      </c>
      <c r="N17" s="49">
        <f>PLANTILLA!AA16</f>
        <v>3</v>
      </c>
      <c r="O17" s="49">
        <f>PLANTILLA!AB16</f>
        <v>2</v>
      </c>
      <c r="P17" s="49">
        <f>PLANTILLA!AC16</f>
        <v>8.1666666666666661</v>
      </c>
      <c r="Q17" s="49">
        <f>PLANTILLA!AD16</f>
        <v>15.666666666666666</v>
      </c>
      <c r="R17" s="153">
        <f t="shared" si="2"/>
        <v>1.375</v>
      </c>
      <c r="S17" s="153">
        <f t="shared" ca="1" si="3"/>
        <v>18.457634413584074</v>
      </c>
      <c r="T17" s="49">
        <f t="shared" si="4"/>
        <v>0.87833333333333319</v>
      </c>
      <c r="U17" s="49">
        <f t="shared" si="5"/>
        <v>0.62999999999999989</v>
      </c>
      <c r="V17" s="153">
        <f t="shared" ca="1" si="6"/>
        <v>17.424268965422659</v>
      </c>
      <c r="W17" s="153">
        <f t="shared" ca="1" si="7"/>
        <v>17.424268965422659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3.6709760137705927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5.9383435516877237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2.5758529172255842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2.9098529172255843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14.560509903358989</v>
      </c>
      <c r="AU17" s="72">
        <f t="shared" ca="1" si="31"/>
        <v>0.48848829883827916</v>
      </c>
      <c r="AV17" s="72">
        <f t="shared" ca="1" si="32"/>
        <v>2.1678108068688386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15.424268965422659</v>
      </c>
      <c r="BB17" s="72">
        <f t="shared" ca="1" si="38"/>
        <v>0.95067338158526626</v>
      </c>
      <c r="BC17" s="72">
        <f t="shared" ca="1" si="39"/>
        <v>3.3654388666145523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13.588780958537363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5.8766464758260328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4.7044020344539108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7.0180423792673103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9.7327137171816975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6.2622531999615996</v>
      </c>
      <c r="CE17" s="72">
        <f t="shared" ca="1" si="67"/>
        <v>2.8848774643185391</v>
      </c>
      <c r="CF17" s="72">
        <f t="shared" ca="1" si="68"/>
        <v>7.8262268550659133</v>
      </c>
      <c r="CG17" s="72">
        <f t="shared" ca="1" si="69"/>
        <v>2.8848774643185391</v>
      </c>
      <c r="CH17" s="72">
        <f t="shared" ca="1" si="70"/>
        <v>4.1653195654583168</v>
      </c>
      <c r="CI17" s="72">
        <f t="shared" ca="1" si="71"/>
        <v>11.31082421366362</v>
      </c>
      <c r="CJ17" s="72">
        <f t="shared" ca="1" si="72"/>
        <v>4.1653195654583168</v>
      </c>
      <c r="CK17" s="72">
        <f t="shared" ca="1" si="73"/>
        <v>3.8560672413556647</v>
      </c>
    </row>
    <row r="18" spans="1:89" x14ac:dyDescent="0.25">
      <c r="A18" t="str">
        <f>PLANTILLA!D17</f>
        <v>M. Bondarewski</v>
      </c>
      <c r="B18" s="58">
        <f>PLANTILLA!E17</f>
        <v>22</v>
      </c>
      <c r="C18" s="97">
        <f ca="1">PLANTILLA!F17</f>
        <v>205</v>
      </c>
      <c r="D18" s="58" t="str">
        <f>PLANTILLA!G17</f>
        <v>RAP</v>
      </c>
      <c r="E18" s="206">
        <f>PLANTILLA!O17</f>
        <v>43627</v>
      </c>
      <c r="F18" s="97">
        <f>PLANTILLA!Q17</f>
        <v>5</v>
      </c>
      <c r="G18" s="117">
        <f t="shared" si="0"/>
        <v>0.84515425472851657</v>
      </c>
      <c r="H18" s="117">
        <f t="shared" si="1"/>
        <v>0.92504826128926143</v>
      </c>
      <c r="I18" s="152">
        <f ca="1">PLANTILLA!P17</f>
        <v>1</v>
      </c>
      <c r="J18" s="153">
        <f>PLANTILLA!I17</f>
        <v>4</v>
      </c>
      <c r="K18" s="49">
        <f>PLANTILLA!X17</f>
        <v>0</v>
      </c>
      <c r="L18" s="49">
        <f>PLANTILLA!Y17</f>
        <v>2</v>
      </c>
      <c r="M18" s="49">
        <f>PLANTILLA!Z17</f>
        <v>13.666666666666666</v>
      </c>
      <c r="N18" s="49">
        <f>PLANTILLA!AA17</f>
        <v>5</v>
      </c>
      <c r="O18" s="49">
        <f>PLANTILLA!AB17</f>
        <v>4</v>
      </c>
      <c r="P18" s="49">
        <f>PLANTILLA!AC17</f>
        <v>8.1666666666666661</v>
      </c>
      <c r="Q18" s="49">
        <f>PLANTILLA!AD17</f>
        <v>18.166666666666668</v>
      </c>
      <c r="R18" s="153">
        <f t="shared" si="2"/>
        <v>1.625</v>
      </c>
      <c r="S18" s="153">
        <f t="shared" ca="1" si="3"/>
        <v>19.93240344111306</v>
      </c>
      <c r="T18" s="49">
        <f t="shared" si="4"/>
        <v>0.95333333333333337</v>
      </c>
      <c r="U18" s="49">
        <f t="shared" si="5"/>
        <v>0.625</v>
      </c>
      <c r="V18" s="153">
        <f t="shared" ca="1" si="6"/>
        <v>16.877234633326758</v>
      </c>
      <c r="W18" s="153">
        <f t="shared" ca="1" si="7"/>
        <v>18.472671072270522</v>
      </c>
      <c r="X18" s="72">
        <f t="shared" ca="1" si="8"/>
        <v>2.1257978299057481</v>
      </c>
      <c r="Y18" s="72">
        <f t="shared" ca="1" si="9"/>
        <v>3.177345931739199</v>
      </c>
      <c r="Z18" s="72">
        <f t="shared" ca="1" si="10"/>
        <v>2.1257978299057481</v>
      </c>
      <c r="AA18" s="72">
        <f t="shared" ca="1" si="11"/>
        <v>1.9622172740336381</v>
      </c>
      <c r="AB18" s="72">
        <f t="shared" ca="1" si="12"/>
        <v>3.8027466551039497</v>
      </c>
      <c r="AC18" s="72">
        <f t="shared" ca="1" si="13"/>
        <v>0.98110863701681905</v>
      </c>
      <c r="AD18" s="72">
        <f t="shared" ca="1" si="14"/>
        <v>3.6817203705814068</v>
      </c>
      <c r="AE18" s="72">
        <f t="shared" ca="1" si="15"/>
        <v>1.437438235629293</v>
      </c>
      <c r="AF18" s="72">
        <f t="shared" ca="1" si="16"/>
        <v>2.7493858316401556</v>
      </c>
      <c r="AG18" s="72">
        <f t="shared" ca="1" si="17"/>
        <v>0.71871911781464648</v>
      </c>
      <c r="AH18" s="72">
        <f t="shared" ca="1" si="18"/>
        <v>5.9557241288816876</v>
      </c>
      <c r="AI18" s="72">
        <f t="shared" ca="1" si="19"/>
        <v>3.4985269226956337</v>
      </c>
      <c r="AJ18" s="72">
        <f t="shared" ca="1" si="20"/>
        <v>1.5743371152130352</v>
      </c>
      <c r="AK18" s="72">
        <f t="shared" ca="1" si="21"/>
        <v>2.583392024735693</v>
      </c>
      <c r="AL18" s="72">
        <f t="shared" ca="1" si="22"/>
        <v>4.0000150332011222</v>
      </c>
      <c r="AM18" s="72">
        <f t="shared" ca="1" si="23"/>
        <v>2.8672709779483783</v>
      </c>
      <c r="AN18" s="72">
        <f t="shared" ca="1" si="24"/>
        <v>2.6923446318135964</v>
      </c>
      <c r="AO18" s="72">
        <f t="shared" ca="1" si="25"/>
        <v>3.334892024735693</v>
      </c>
      <c r="AP18" s="72">
        <f t="shared" ca="1" si="26"/>
        <v>0.98719103666993746</v>
      </c>
      <c r="AQ18" s="72">
        <f t="shared" ca="1" si="27"/>
        <v>1.0267415968780664</v>
      </c>
      <c r="AR18" s="72">
        <f t="shared" ca="1" si="28"/>
        <v>2.2588315131317462</v>
      </c>
      <c r="AS18" s="72">
        <f t="shared" ca="1" si="29"/>
        <v>0.51337079843903322</v>
      </c>
      <c r="AT18" s="72">
        <f t="shared" ca="1" si="30"/>
        <v>14.603126175751461</v>
      </c>
      <c r="AU18" s="72">
        <f t="shared" ca="1" si="31"/>
        <v>0.75435706516351353</v>
      </c>
      <c r="AV18" s="72">
        <f t="shared" ca="1" si="32"/>
        <v>2.4210381032787907</v>
      </c>
      <c r="AW18" s="72">
        <f t="shared" ca="1" si="33"/>
        <v>0.37717853258175676</v>
      </c>
      <c r="AX18" s="72">
        <f t="shared" ca="1" si="34"/>
        <v>0.71871911781464648</v>
      </c>
      <c r="AY18" s="72">
        <f t="shared" ca="1" si="35"/>
        <v>1.5210986620415801</v>
      </c>
      <c r="AZ18" s="72">
        <f t="shared" ca="1" si="36"/>
        <v>0.35935955890732324</v>
      </c>
      <c r="BA18" s="72">
        <f t="shared" ca="1" si="37"/>
        <v>15.469413321770617</v>
      </c>
      <c r="BB18" s="72">
        <f t="shared" ca="1" si="38"/>
        <v>1.4680949037412994</v>
      </c>
      <c r="BC18" s="72">
        <f t="shared" ca="1" si="39"/>
        <v>4.0723134069622766</v>
      </c>
      <c r="BD18" s="72">
        <f t="shared" ca="1" si="40"/>
        <v>0.73404745187064968</v>
      </c>
      <c r="BE18" s="72">
        <f t="shared" ca="1" si="41"/>
        <v>1.1065992766352493</v>
      </c>
      <c r="BF18" s="72">
        <f t="shared" ca="1" si="42"/>
        <v>1.3233558359761743</v>
      </c>
      <c r="BG18" s="72">
        <f t="shared" ca="1" si="43"/>
        <v>13.628553136479914</v>
      </c>
      <c r="BH18" s="72">
        <f t="shared" ca="1" si="44"/>
        <v>5.7326417763874113</v>
      </c>
      <c r="BI18" s="72">
        <f t="shared" ca="1" si="45"/>
        <v>1.3984619438800518</v>
      </c>
      <c r="BJ18" s="72">
        <f t="shared" ca="1" si="46"/>
        <v>1.8443321277254157</v>
      </c>
      <c r="BK18" s="72">
        <f t="shared" ca="1" si="47"/>
        <v>1.0039251169474428</v>
      </c>
      <c r="BL18" s="72">
        <f t="shared" ca="1" si="48"/>
        <v>5.8938464755946054</v>
      </c>
      <c r="BM18" s="72">
        <f t="shared" ca="1" si="49"/>
        <v>5.7446005765608525</v>
      </c>
      <c r="BN18" s="72">
        <f t="shared" ca="1" si="50"/>
        <v>0.30174282606540537</v>
      </c>
      <c r="BO18" s="72">
        <f t="shared" ca="1" si="51"/>
        <v>0.68449439791871092</v>
      </c>
      <c r="BP18" s="72">
        <f t="shared" ca="1" si="52"/>
        <v>0.25858677254706858</v>
      </c>
      <c r="BQ18" s="72">
        <f t="shared" ca="1" si="53"/>
        <v>4.718171063140038</v>
      </c>
      <c r="BR18" s="72">
        <f t="shared" ca="1" si="54"/>
        <v>8.4623321984636792</v>
      </c>
      <c r="BS18" s="72">
        <f t="shared" ca="1" si="55"/>
        <v>0.78337079843903323</v>
      </c>
      <c r="BT18" s="72">
        <f t="shared" ca="1" si="56"/>
        <v>1.0799800500495216</v>
      </c>
      <c r="BU18" s="72">
        <f t="shared" ca="1" si="57"/>
        <v>0.92787018384536368</v>
      </c>
      <c r="BV18" s="72">
        <f t="shared" ca="1" si="58"/>
        <v>7.0385830614056308</v>
      </c>
      <c r="BW18" s="72">
        <f t="shared" ca="1" si="59"/>
        <v>7.2934432938551765</v>
      </c>
      <c r="BX18" s="72">
        <f t="shared" ca="1" si="60"/>
        <v>0.70213234526757784</v>
      </c>
      <c r="BY18" s="72">
        <f t="shared" ca="1" si="61"/>
        <v>1.0799800500495216</v>
      </c>
      <c r="BZ18" s="72">
        <f t="shared" ca="1" si="62"/>
        <v>0.92787018384536368</v>
      </c>
      <c r="CA18" s="72">
        <f t="shared" ca="1" si="63"/>
        <v>9.7611998060372596</v>
      </c>
      <c r="CB18" s="72">
        <f t="shared" ca="1" si="64"/>
        <v>5.8954582563180349</v>
      </c>
      <c r="CC18" s="72">
        <f t="shared" ca="1" si="65"/>
        <v>0.85880650495538446</v>
      </c>
      <c r="CD18" s="72">
        <f t="shared" ca="1" si="66"/>
        <v>6.2805818086388712</v>
      </c>
      <c r="CE18" s="72">
        <f t="shared" ca="1" si="67"/>
        <v>3.6963976739758246</v>
      </c>
      <c r="CF18" s="72">
        <f t="shared" ca="1" si="68"/>
        <v>8.9630594003137141</v>
      </c>
      <c r="CG18" s="72">
        <f t="shared" ca="1" si="69"/>
        <v>3.6963976739758246</v>
      </c>
      <c r="CH18" s="72">
        <f t="shared" ca="1" si="70"/>
        <v>4.9194444994630944</v>
      </c>
      <c r="CI18" s="72">
        <f t="shared" ca="1" si="71"/>
        <v>12.110626837503974</v>
      </c>
      <c r="CJ18" s="72">
        <f t="shared" ca="1" si="72"/>
        <v>4.9194444994630944</v>
      </c>
      <c r="CK18" s="72">
        <f t="shared" ca="1" si="73"/>
        <v>3.8673533304426542</v>
      </c>
    </row>
    <row r="19" spans="1:89" x14ac:dyDescent="0.25">
      <c r="A19" t="str">
        <f>PLANTILLA!D18</f>
        <v>P. Tuderek</v>
      </c>
      <c r="B19" s="58">
        <f>PLANTILLA!E18</f>
        <v>22</v>
      </c>
      <c r="C19" s="97">
        <f ca="1">PLANTILLA!F18</f>
        <v>191</v>
      </c>
      <c r="D19" s="58" t="str">
        <f>PLANTILLA!G18</f>
        <v>CAB</v>
      </c>
      <c r="E19" s="206">
        <f>PLANTILLA!O18</f>
        <v>43626</v>
      </c>
      <c r="F19" s="97">
        <f>PLANTILLA!Q18</f>
        <v>6</v>
      </c>
      <c r="G19" s="117">
        <f t="shared" si="0"/>
        <v>0.92582009977255142</v>
      </c>
      <c r="H19" s="117">
        <f t="shared" si="1"/>
        <v>0.99928545900129484</v>
      </c>
      <c r="I19" s="152">
        <f ca="1">PLANTILLA!P18</f>
        <v>1</v>
      </c>
      <c r="J19" s="153">
        <f>PLANTILLA!I18</f>
        <v>3</v>
      </c>
      <c r="K19" s="49">
        <f>PLANTILLA!X18</f>
        <v>0</v>
      </c>
      <c r="L19" s="49">
        <f>PLANTILLA!Y18</f>
        <v>6</v>
      </c>
      <c r="M19" s="49">
        <f>PLANTILLA!Z18</f>
        <v>12.444444444444445</v>
      </c>
      <c r="N19" s="49">
        <f>PLANTILLA!AA18</f>
        <v>2</v>
      </c>
      <c r="O19" s="49">
        <f>PLANTILLA!AB18</f>
        <v>3</v>
      </c>
      <c r="P19" s="49">
        <f>PLANTILLA!AC18</f>
        <v>6.2</v>
      </c>
      <c r="Q19" s="49">
        <f>PLANTILLA!AD18</f>
        <v>18.399999999999999</v>
      </c>
      <c r="R19" s="153">
        <f t="shared" si="2"/>
        <v>1.875</v>
      </c>
      <c r="S19" s="153">
        <f t="shared" ca="1" si="3"/>
        <v>16.427917297240604</v>
      </c>
      <c r="T19" s="49">
        <f t="shared" si="4"/>
        <v>0.86199999999999988</v>
      </c>
      <c r="U19" s="49">
        <f t="shared" si="5"/>
        <v>0.79200000000000004</v>
      </c>
      <c r="V19" s="153">
        <f t="shared" ca="1" si="6"/>
        <v>18.549881199118378</v>
      </c>
      <c r="W19" s="153">
        <f t="shared" ca="1" si="7"/>
        <v>20.021845013987534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3.351184255942151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5.4210333552005388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2.3514612216064674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3.3460389993842448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13.292092174829371</v>
      </c>
      <c r="AU19" s="72">
        <f t="shared" ca="1" si="31"/>
        <v>0.60270101748474147</v>
      </c>
      <c r="AV19" s="72">
        <f t="shared" ca="1" si="32"/>
        <v>1.9119953701771482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14.080606117403995</v>
      </c>
      <c r="BB19" s="72">
        <f t="shared" ca="1" si="38"/>
        <v>1.1729489032587661</v>
      </c>
      <c r="BC19" s="72">
        <f t="shared" ca="1" si="39"/>
        <v>3.2265250818007121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12.40501398943292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5.3647109307309222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4.2945848658082184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6.4066757834188177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8.884862460081921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5.7167260836660221</v>
      </c>
      <c r="CE19" s="72">
        <f t="shared" ca="1" si="67"/>
        <v>2.6778402316119254</v>
      </c>
      <c r="CF19" s="72">
        <f t="shared" ca="1" si="68"/>
        <v>7.0859180437524527</v>
      </c>
      <c r="CG19" s="72">
        <f t="shared" ca="1" si="69"/>
        <v>2.6778402316119254</v>
      </c>
      <c r="CH19" s="72">
        <f t="shared" ca="1" si="70"/>
        <v>3.4993287222537997</v>
      </c>
      <c r="CI19" s="72">
        <f t="shared" ca="1" si="71"/>
        <v>9.5469053302816231</v>
      </c>
      <c r="CJ19" s="72">
        <f t="shared" ca="1" si="72"/>
        <v>3.4993287222537997</v>
      </c>
      <c r="CK19" s="72">
        <f t="shared" ca="1" si="73"/>
        <v>3.5201515293509988</v>
      </c>
    </row>
    <row r="20" spans="1:89" x14ac:dyDescent="0.25">
      <c r="A20" t="str">
        <f>PLANTILLA!D19</f>
        <v>R. Forsyth</v>
      </c>
      <c r="B20" s="58">
        <f>PLANTILLA!E19</f>
        <v>23</v>
      </c>
      <c r="C20" s="97">
        <f ca="1">PLANTILLA!F19</f>
        <v>134</v>
      </c>
      <c r="D20" s="58" t="str">
        <f>PLANTILLA!G19</f>
        <v>POT</v>
      </c>
      <c r="E20" s="206">
        <f>PLANTILLA!O19</f>
        <v>43626</v>
      </c>
      <c r="F20" s="97">
        <f>PLANTILLA!Q19</f>
        <v>5</v>
      </c>
      <c r="G20" s="117">
        <f t="shared" si="0"/>
        <v>0.84515425472851657</v>
      </c>
      <c r="H20" s="117">
        <f t="shared" si="1"/>
        <v>0.92504826128926143</v>
      </c>
      <c r="I20" s="152">
        <f ca="1">PLANTILLA!P19</f>
        <v>1</v>
      </c>
      <c r="J20" s="153">
        <f>PLANTILLA!I19</f>
        <v>4</v>
      </c>
      <c r="K20" s="49">
        <f>PLANTILLA!X19</f>
        <v>0</v>
      </c>
      <c r="L20" s="49">
        <f>PLANTILLA!Y19</f>
        <v>7</v>
      </c>
      <c r="M20" s="49">
        <f>PLANTILLA!Z19</f>
        <v>13.222222222222221</v>
      </c>
      <c r="N20" s="49">
        <f>PLANTILLA!AA19</f>
        <v>3</v>
      </c>
      <c r="O20" s="49">
        <f>PLANTILLA!AB19</f>
        <v>4</v>
      </c>
      <c r="P20" s="49">
        <f>PLANTILLA!AC19</f>
        <v>6.2</v>
      </c>
      <c r="Q20" s="49">
        <f>PLANTILLA!AD19</f>
        <v>16.25</v>
      </c>
      <c r="R20" s="153">
        <f t="shared" si="2"/>
        <v>2.25</v>
      </c>
      <c r="S20" s="153">
        <f t="shared" ca="1" si="3"/>
        <v>15.613570107779731</v>
      </c>
      <c r="T20" s="49">
        <f t="shared" si="4"/>
        <v>0.79749999999999999</v>
      </c>
      <c r="U20" s="49">
        <f t="shared" si="5"/>
        <v>0.76750000000000007</v>
      </c>
      <c r="V20" s="153">
        <f t="shared" ca="1" si="6"/>
        <v>15.257355645097098</v>
      </c>
      <c r="W20" s="153">
        <f t="shared" ca="1" si="7"/>
        <v>16.699661904799438</v>
      </c>
      <c r="X20" s="72">
        <f t="shared" ca="1" si="8"/>
        <v>3.5057978299057488</v>
      </c>
      <c r="Y20" s="72">
        <f t="shared" ca="1" si="9"/>
        <v>5.3023459317391994</v>
      </c>
      <c r="Z20" s="72">
        <f t="shared" ca="1" si="10"/>
        <v>3.5057978299057488</v>
      </c>
      <c r="AA20" s="72">
        <f t="shared" ca="1" si="11"/>
        <v>4.5422172740336384</v>
      </c>
      <c r="AB20" s="72">
        <f t="shared" ca="1" si="12"/>
        <v>8.8027466551039506</v>
      </c>
      <c r="AC20" s="72">
        <f t="shared" ca="1" si="13"/>
        <v>2.2711086370168192</v>
      </c>
      <c r="AD20" s="72">
        <f t="shared" ca="1" si="14"/>
        <v>3.5759425928036288</v>
      </c>
      <c r="AE20" s="72">
        <f t="shared" ca="1" si="15"/>
        <v>3.3274382356292933</v>
      </c>
      <c r="AF20" s="72">
        <f t="shared" ca="1" si="16"/>
        <v>6.3643858316401563</v>
      </c>
      <c r="AG20" s="72">
        <f t="shared" ca="1" si="17"/>
        <v>1.6637191178146467</v>
      </c>
      <c r="AH20" s="72">
        <f t="shared" ca="1" si="18"/>
        <v>5.7846130177705763</v>
      </c>
      <c r="AI20" s="72">
        <f t="shared" ca="1" si="19"/>
        <v>8.0985269226956351</v>
      </c>
      <c r="AJ20" s="72">
        <f t="shared" ca="1" si="20"/>
        <v>3.6443371152130353</v>
      </c>
      <c r="AK20" s="72">
        <f t="shared" ca="1" si="21"/>
        <v>2.5091698025134708</v>
      </c>
      <c r="AL20" s="72">
        <f t="shared" ca="1" si="22"/>
        <v>2.8240150332011225</v>
      </c>
      <c r="AM20" s="72">
        <f t="shared" ca="1" si="23"/>
        <v>6.6372709779483792</v>
      </c>
      <c r="AN20" s="72">
        <f t="shared" ca="1" si="24"/>
        <v>6.2323446318135964</v>
      </c>
      <c r="AO20" s="72">
        <f t="shared" ca="1" si="25"/>
        <v>3.0148086914023597</v>
      </c>
      <c r="AP20" s="72">
        <f t="shared" ca="1" si="26"/>
        <v>1.1671910366699374</v>
      </c>
      <c r="AQ20" s="72">
        <f t="shared" ca="1" si="27"/>
        <v>2.376741596878067</v>
      </c>
      <c r="AR20" s="72">
        <f t="shared" ca="1" si="28"/>
        <v>5.2288315131317464</v>
      </c>
      <c r="AS20" s="72">
        <f t="shared" ca="1" si="29"/>
        <v>1.1883707984390335</v>
      </c>
      <c r="AT20" s="72">
        <f t="shared" ca="1" si="30"/>
        <v>14.183570620195905</v>
      </c>
      <c r="AU20" s="72">
        <f t="shared" ca="1" si="31"/>
        <v>0.75435706516351353</v>
      </c>
      <c r="AV20" s="72">
        <f t="shared" ca="1" si="32"/>
        <v>2.0808047699454573</v>
      </c>
      <c r="AW20" s="72">
        <f t="shared" ca="1" si="33"/>
        <v>0.37717853258175676</v>
      </c>
      <c r="AX20" s="72">
        <f t="shared" ca="1" si="34"/>
        <v>1.6637191178146467</v>
      </c>
      <c r="AY20" s="72">
        <f t="shared" ca="1" si="35"/>
        <v>3.5210986620415805</v>
      </c>
      <c r="AZ20" s="72">
        <f t="shared" ca="1" si="36"/>
        <v>0.83185955890732333</v>
      </c>
      <c r="BA20" s="72">
        <f t="shared" ca="1" si="37"/>
        <v>15.024968877326172</v>
      </c>
      <c r="BB20" s="72">
        <f t="shared" ca="1" si="38"/>
        <v>1.4680949037412994</v>
      </c>
      <c r="BC20" s="72">
        <f t="shared" ca="1" si="39"/>
        <v>3.6593134069622764</v>
      </c>
      <c r="BD20" s="72">
        <f t="shared" ca="1" si="40"/>
        <v>0.73404745187064968</v>
      </c>
      <c r="BE20" s="72">
        <f t="shared" ca="1" si="41"/>
        <v>2.5615992766352496</v>
      </c>
      <c r="BF20" s="72">
        <f t="shared" ca="1" si="42"/>
        <v>3.0633558359761746</v>
      </c>
      <c r="BG20" s="72">
        <f t="shared" ca="1" si="43"/>
        <v>13.236997580924358</v>
      </c>
      <c r="BH20" s="72">
        <f t="shared" ca="1" si="44"/>
        <v>4.5846417763874108</v>
      </c>
      <c r="BI20" s="72">
        <f t="shared" ca="1" si="45"/>
        <v>1.3984619438800518</v>
      </c>
      <c r="BJ20" s="72">
        <f t="shared" ca="1" si="46"/>
        <v>4.2693321277254155</v>
      </c>
      <c r="BK20" s="72">
        <f t="shared" ca="1" si="47"/>
        <v>2.3239251169474429</v>
      </c>
      <c r="BL20" s="72">
        <f t="shared" ca="1" si="48"/>
        <v>5.7245131422612721</v>
      </c>
      <c r="BM20" s="72">
        <f t="shared" ca="1" si="49"/>
        <v>4.3986005765608525</v>
      </c>
      <c r="BN20" s="72">
        <f t="shared" ca="1" si="50"/>
        <v>0.30174282606540537</v>
      </c>
      <c r="BO20" s="72">
        <f t="shared" ca="1" si="51"/>
        <v>1.5844943979187109</v>
      </c>
      <c r="BP20" s="72">
        <f t="shared" ca="1" si="52"/>
        <v>0.59858677254706871</v>
      </c>
      <c r="BQ20" s="72">
        <f t="shared" ca="1" si="53"/>
        <v>4.5826155075844826</v>
      </c>
      <c r="BR20" s="72">
        <f t="shared" ca="1" si="54"/>
        <v>6.4623321984636792</v>
      </c>
      <c r="BS20" s="72">
        <f t="shared" ca="1" si="55"/>
        <v>0.78337079843903323</v>
      </c>
      <c r="BT20" s="72">
        <f t="shared" ca="1" si="56"/>
        <v>2.4999800500495217</v>
      </c>
      <c r="BU20" s="72">
        <f t="shared" ca="1" si="57"/>
        <v>2.147870183845364</v>
      </c>
      <c r="BV20" s="72">
        <f t="shared" ca="1" si="58"/>
        <v>6.8363608391834081</v>
      </c>
      <c r="BW20" s="72">
        <f t="shared" ca="1" si="59"/>
        <v>5.5654432938551759</v>
      </c>
      <c r="BX20" s="72">
        <f t="shared" ca="1" si="60"/>
        <v>0.70213234526757784</v>
      </c>
      <c r="BY20" s="72">
        <f t="shared" ca="1" si="61"/>
        <v>2.4999800500495217</v>
      </c>
      <c r="BZ20" s="72">
        <f t="shared" ca="1" si="62"/>
        <v>2.147870183845364</v>
      </c>
      <c r="CA20" s="72">
        <f t="shared" ca="1" si="63"/>
        <v>9.4807553615928146</v>
      </c>
      <c r="CB20" s="72">
        <f t="shared" ca="1" si="64"/>
        <v>4.491458256318035</v>
      </c>
      <c r="CC20" s="72">
        <f t="shared" ca="1" si="65"/>
        <v>0.85880650495538446</v>
      </c>
      <c r="CD20" s="72">
        <f t="shared" ca="1" si="66"/>
        <v>6.1001373641944259</v>
      </c>
      <c r="CE20" s="72">
        <f t="shared" ca="1" si="67"/>
        <v>3.1586310073091579</v>
      </c>
      <c r="CF20" s="72">
        <f t="shared" ca="1" si="68"/>
        <v>7.8164927336470473</v>
      </c>
      <c r="CG20" s="72">
        <f t="shared" ca="1" si="69"/>
        <v>3.1586310073091579</v>
      </c>
      <c r="CH20" s="72">
        <f t="shared" ca="1" si="70"/>
        <v>3.9661111661297608</v>
      </c>
      <c r="CI20" s="72">
        <f t="shared" ca="1" si="71"/>
        <v>10.143960170837307</v>
      </c>
      <c r="CJ20" s="72">
        <f t="shared" ca="1" si="72"/>
        <v>3.9661111661297608</v>
      </c>
      <c r="CK20" s="72">
        <f t="shared" ca="1" si="73"/>
        <v>3.756242219331543</v>
      </c>
    </row>
    <row r="21" spans="1:89" x14ac:dyDescent="0.25">
      <c r="A21" t="str">
        <f>PLANTILLA!D21</f>
        <v>J-P. Kechele</v>
      </c>
      <c r="B21" s="58">
        <f>PLANTILLA!E21</f>
        <v>30</v>
      </c>
      <c r="C21" s="97">
        <f ca="1">PLANTILLA!F21</f>
        <v>167</v>
      </c>
      <c r="D21" s="58" t="str">
        <f>PLANTILLA!G21</f>
        <v>CAB</v>
      </c>
      <c r="E21" s="206">
        <f>PLANTILLA!O21</f>
        <v>43982</v>
      </c>
      <c r="F21" s="97">
        <f>PLANTILLA!Q21</f>
        <v>5</v>
      </c>
      <c r="G21" s="117">
        <f t="shared" si="0"/>
        <v>0.84515425472851657</v>
      </c>
      <c r="H21" s="117">
        <f t="shared" si="1"/>
        <v>0.92504826128926143</v>
      </c>
      <c r="I21" s="152">
        <f ca="1">PLANTILLA!P21</f>
        <v>0.77584017284391016</v>
      </c>
      <c r="J21" s="153">
        <f>PLANTILLA!I21</f>
        <v>7.5999999999999988</v>
      </c>
      <c r="K21" s="49">
        <f>PLANTILLA!X21</f>
        <v>0</v>
      </c>
      <c r="L21" s="49">
        <f>PLANTILLA!Y21</f>
        <v>4</v>
      </c>
      <c r="M21" s="49">
        <f>PLANTILLA!Z21</f>
        <v>13.95</v>
      </c>
      <c r="N21" s="49">
        <f>PLANTILLA!AA21</f>
        <v>4</v>
      </c>
      <c r="O21" s="49">
        <f>PLANTILLA!AB21</f>
        <v>9</v>
      </c>
      <c r="P21" s="49">
        <f>PLANTILLA!AC21</f>
        <v>8</v>
      </c>
      <c r="Q21" s="49">
        <f>PLANTILLA!AD21</f>
        <v>19.5</v>
      </c>
      <c r="R21" s="153">
        <f t="shared" si="2"/>
        <v>3.125</v>
      </c>
      <c r="S21" s="153">
        <f t="shared" ca="1" si="3"/>
        <v>20.715070833905777</v>
      </c>
      <c r="T21" s="49">
        <f t="shared" si="4"/>
        <v>0.98499999999999999</v>
      </c>
      <c r="U21" s="49">
        <f t="shared" si="5"/>
        <v>0.74499999999999988</v>
      </c>
      <c r="V21" s="153">
        <f t="shared" ca="1" si="6"/>
        <v>18.166211803963051</v>
      </c>
      <c r="W21" s="153">
        <f t="shared" ca="1" si="7"/>
        <v>19.88349765672838</v>
      </c>
      <c r="X21" s="72">
        <f t="shared" ca="1" si="8"/>
        <v>2.8065754923075747</v>
      </c>
      <c r="Y21" s="72">
        <f t="shared" ca="1" si="9"/>
        <v>4.2177834599874906</v>
      </c>
      <c r="Z21" s="72">
        <f t="shared" ca="1" si="10"/>
        <v>2.8065754923075747</v>
      </c>
      <c r="AA21" s="72">
        <f t="shared" ca="1" si="11"/>
        <v>3.0703332806766421</v>
      </c>
      <c r="AB21" s="72">
        <f t="shared" ca="1" si="12"/>
        <v>5.9502582958849652</v>
      </c>
      <c r="AC21" s="72">
        <f t="shared" ca="1" si="13"/>
        <v>1.5351666403383211</v>
      </c>
      <c r="AD21" s="72">
        <f t="shared" ca="1" si="14"/>
        <v>3.7842614744206218</v>
      </c>
      <c r="AE21" s="72">
        <f t="shared" ca="1" si="15"/>
        <v>2.2491976358445167</v>
      </c>
      <c r="AF21" s="72">
        <f t="shared" ca="1" si="16"/>
        <v>4.3020367479248298</v>
      </c>
      <c r="AG21" s="72">
        <f t="shared" ca="1" si="17"/>
        <v>1.1245988179222584</v>
      </c>
      <c r="AH21" s="72">
        <f t="shared" ca="1" si="18"/>
        <v>6.121599443915712</v>
      </c>
      <c r="AI21" s="72">
        <f t="shared" ca="1" si="19"/>
        <v>5.4742376322141686</v>
      </c>
      <c r="AJ21" s="72">
        <f t="shared" ca="1" si="20"/>
        <v>2.4634069344963754</v>
      </c>
      <c r="AK21" s="72">
        <f t="shared" ca="1" si="21"/>
        <v>2.6553431354127892</v>
      </c>
      <c r="AL21" s="72">
        <f t="shared" ca="1" si="22"/>
        <v>3.4987518779803595</v>
      </c>
      <c r="AM21" s="72">
        <f t="shared" ca="1" si="23"/>
        <v>4.4864947550972643</v>
      </c>
      <c r="AN21" s="72">
        <f t="shared" ca="1" si="24"/>
        <v>4.2127828734865549</v>
      </c>
      <c r="AO21" s="72">
        <f t="shared" ca="1" si="25"/>
        <v>3.5821931354127892</v>
      </c>
      <c r="AP21" s="72">
        <f t="shared" ca="1" si="26"/>
        <v>1.4616743892148698</v>
      </c>
      <c r="AQ21" s="72">
        <f t="shared" ca="1" si="27"/>
        <v>1.6065697398889407</v>
      </c>
      <c r="AR21" s="72">
        <f t="shared" ca="1" si="28"/>
        <v>3.5344534277556692</v>
      </c>
      <c r="AS21" s="72">
        <f t="shared" ca="1" si="29"/>
        <v>0.80328486994447035</v>
      </c>
      <c r="AT21" s="72">
        <f t="shared" ca="1" si="30"/>
        <v>15.009843831315406</v>
      </c>
      <c r="AU21" s="72">
        <f t="shared" ca="1" si="31"/>
        <v>1.4235335784650456</v>
      </c>
      <c r="AV21" s="72">
        <f t="shared" ca="1" si="32"/>
        <v>3.0354256806942947</v>
      </c>
      <c r="AW21" s="72">
        <f t="shared" ca="1" si="33"/>
        <v>0.71176678923252279</v>
      </c>
      <c r="AX21" s="72">
        <f t="shared" ca="1" si="34"/>
        <v>1.1245988179222584</v>
      </c>
      <c r="AY21" s="72">
        <f t="shared" ca="1" si="35"/>
        <v>2.3801033183539864</v>
      </c>
      <c r="AZ21" s="72">
        <f t="shared" ca="1" si="36"/>
        <v>0.56229940896112918</v>
      </c>
      <c r="BA21" s="72">
        <f t="shared" ca="1" si="37"/>
        <v>15.900258295884965</v>
      </c>
      <c r="BB21" s="72">
        <f t="shared" ca="1" si="38"/>
        <v>2.7704153488588963</v>
      </c>
      <c r="BC21" s="72">
        <f t="shared" ca="1" si="39"/>
        <v>5.8235923210326161</v>
      </c>
      <c r="BD21" s="72">
        <f t="shared" ca="1" si="40"/>
        <v>1.3852076744294481</v>
      </c>
      <c r="BE21" s="72">
        <f t="shared" ca="1" si="41"/>
        <v>1.7315251641025249</v>
      </c>
      <c r="BF21" s="72">
        <f t="shared" ca="1" si="42"/>
        <v>2.0706898869679677</v>
      </c>
      <c r="BG21" s="72">
        <f t="shared" ca="1" si="43"/>
        <v>14.008127558674655</v>
      </c>
      <c r="BH21" s="72">
        <f t="shared" ca="1" si="44"/>
        <v>6.8647796250417343</v>
      </c>
      <c r="BI21" s="72">
        <f t="shared" ca="1" si="45"/>
        <v>2.6390122493082768</v>
      </c>
      <c r="BJ21" s="72">
        <f t="shared" ca="1" si="46"/>
        <v>2.8858752735042081</v>
      </c>
      <c r="BK21" s="72">
        <f t="shared" ca="1" si="47"/>
        <v>1.570868190113631</v>
      </c>
      <c r="BL21" s="72">
        <f t="shared" ca="1" si="48"/>
        <v>6.0579984107321723</v>
      </c>
      <c r="BM21" s="72">
        <f t="shared" ca="1" si="49"/>
        <v>6.20552575060346</v>
      </c>
      <c r="BN21" s="72">
        <f t="shared" ca="1" si="50"/>
        <v>0.56941343138601819</v>
      </c>
      <c r="BO21" s="72">
        <f t="shared" ca="1" si="51"/>
        <v>1.0710464932592938</v>
      </c>
      <c r="BP21" s="72">
        <f t="shared" ca="1" si="52"/>
        <v>0.40461756412017769</v>
      </c>
      <c r="BQ21" s="72">
        <f t="shared" ca="1" si="53"/>
        <v>4.8495787802449142</v>
      </c>
      <c r="BR21" s="72">
        <f t="shared" ca="1" si="54"/>
        <v>9.0820321685080643</v>
      </c>
      <c r="BS21" s="72">
        <f t="shared" ca="1" si="55"/>
        <v>1.4782848699444706</v>
      </c>
      <c r="BT21" s="72">
        <f t="shared" ca="1" si="56"/>
        <v>1.6898733560313299</v>
      </c>
      <c r="BU21" s="72">
        <f t="shared" ca="1" si="57"/>
        <v>1.4518630241959314</v>
      </c>
      <c r="BV21" s="72">
        <f t="shared" ca="1" si="58"/>
        <v>7.2346175246276596</v>
      </c>
      <c r="BW21" s="72">
        <f t="shared" ca="1" si="59"/>
        <v>7.8128861918405414</v>
      </c>
      <c r="BX21" s="72">
        <f t="shared" ca="1" si="60"/>
        <v>1.3249812538020809</v>
      </c>
      <c r="BY21" s="72">
        <f t="shared" ca="1" si="61"/>
        <v>1.6898733560313299</v>
      </c>
      <c r="BZ21" s="72">
        <f t="shared" ca="1" si="62"/>
        <v>1.4518630241959314</v>
      </c>
      <c r="CA21" s="72">
        <f t="shared" ca="1" si="63"/>
        <v>10.033062984703413</v>
      </c>
      <c r="CB21" s="72">
        <f t="shared" ca="1" si="64"/>
        <v>6.2904811748170442</v>
      </c>
      <c r="CC21" s="72">
        <f t="shared" ca="1" si="65"/>
        <v>1.620638227790975</v>
      </c>
      <c r="CD21" s="72">
        <f t="shared" ca="1" si="66"/>
        <v>6.4555048681292968</v>
      </c>
      <c r="CE21" s="72">
        <f t="shared" ca="1" si="67"/>
        <v>4.8580845721560673</v>
      </c>
      <c r="CF21" s="72">
        <f t="shared" ca="1" si="68"/>
        <v>11.746990841166472</v>
      </c>
      <c r="CG21" s="72">
        <f t="shared" ca="1" si="69"/>
        <v>4.8580845721560673</v>
      </c>
      <c r="CH21" s="72">
        <f t="shared" ca="1" si="70"/>
        <v>5.5152924733969169</v>
      </c>
      <c r="CI21" s="72">
        <f t="shared" ca="1" si="71"/>
        <v>13.990903607066517</v>
      </c>
      <c r="CJ21" s="72">
        <f t="shared" ca="1" si="72"/>
        <v>5.5152924733969169</v>
      </c>
      <c r="CK21" s="72">
        <f t="shared" ca="1" si="73"/>
        <v>3.9750645739712414</v>
      </c>
    </row>
    <row r="22" spans="1:89" x14ac:dyDescent="0.25">
      <c r="A22" t="str">
        <f>PLANTILLA!D22</f>
        <v>S. Zobbe</v>
      </c>
      <c r="B22" s="58">
        <f>PLANTILLA!E22</f>
        <v>36</v>
      </c>
      <c r="C22" s="97">
        <f ca="1">PLANTILLA!F22</f>
        <v>169</v>
      </c>
      <c r="D22" s="58" t="str">
        <f>PLANTILLA!G22</f>
        <v>CAB</v>
      </c>
      <c r="E22" s="206" t="str">
        <f>PLANTILLA!O22</f>
        <v>Cantera</v>
      </c>
      <c r="F22" s="97">
        <f>PLANTILLA!Q22</f>
        <v>6</v>
      </c>
      <c r="G22" s="117">
        <f t="shared" si="0"/>
        <v>0.92582009977255142</v>
      </c>
      <c r="H22" s="117">
        <f t="shared" si="1"/>
        <v>0.99928545900129484</v>
      </c>
      <c r="I22" s="152">
        <f>PLANTILLA!P22</f>
        <v>1.5</v>
      </c>
      <c r="J22" s="153">
        <f>PLANTILLA!I22</f>
        <v>15</v>
      </c>
      <c r="K22" s="49">
        <f>PLANTILLA!X22</f>
        <v>0</v>
      </c>
      <c r="L22" s="49">
        <f>PLANTILLA!Y22</f>
        <v>7.95</v>
      </c>
      <c r="M22" s="49">
        <f>PLANTILLA!Z22</f>
        <v>11.95</v>
      </c>
      <c r="N22" s="49">
        <f>PLANTILLA!AA22</f>
        <v>11.95</v>
      </c>
      <c r="O22" s="49">
        <f>PLANTILLA!AB22</f>
        <v>8.9499999999999993</v>
      </c>
      <c r="P22" s="49">
        <f>PLANTILLA!AC22</f>
        <v>4.95</v>
      </c>
      <c r="Q22" s="49">
        <f>PLANTILLA!AD22</f>
        <v>18</v>
      </c>
      <c r="R22" s="153">
        <f t="shared" si="2"/>
        <v>3.6062499999999997</v>
      </c>
      <c r="S22" s="153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3" t="e">
        <f t="shared" ca="1" si="6"/>
        <v>#VALUE!</v>
      </c>
      <c r="W22" s="153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1.9222190434773814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1.562355818236318</v>
      </c>
      <c r="AV22" s="72">
        <f t="shared" si="32"/>
        <v>2.8293096518710859</v>
      </c>
      <c r="AW22" s="72">
        <f t="shared" si="33"/>
        <v>0.78117790911815899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3.0405847847214496</v>
      </c>
      <c r="BC22" s="72">
        <f t="shared" si="39"/>
        <v>5.7819850449862411</v>
      </c>
      <c r="BD22" s="72">
        <f t="shared" si="40"/>
        <v>1.5202923923607248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12.406110172400666</v>
      </c>
      <c r="BI22" s="72">
        <f t="shared" si="45"/>
        <v>2.8963673245765587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12.522838347219555</v>
      </c>
      <c r="BN22" s="72">
        <f t="shared" si="50"/>
        <v>0.62494232729452714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18.455304478860807</v>
      </c>
      <c r="BS22" s="72">
        <f t="shared" si="55"/>
        <v>1.6224464266300227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15.908078820044924</v>
      </c>
      <c r="BX22" s="72">
        <f t="shared" si="60"/>
        <v>1.4541927231276497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12.862218902473112</v>
      </c>
      <c r="CC22" s="72">
        <f t="shared" si="65"/>
        <v>1.7786820084536543</v>
      </c>
      <c r="CD22" s="72">
        <f t="shared" si="66"/>
        <v>6.097357401568809</v>
      </c>
      <c r="CE22" s="72">
        <f t="shared" si="67"/>
        <v>6.1854413946240125</v>
      </c>
      <c r="CF22" s="72">
        <f t="shared" si="68"/>
        <v>11.200405010262262</v>
      </c>
      <c r="CG22" s="72">
        <f t="shared" si="69"/>
        <v>6.1854413946240125</v>
      </c>
      <c r="CH22" s="72">
        <f t="shared" si="70"/>
        <v>6.9802898058555849</v>
      </c>
      <c r="CI22" s="72">
        <f t="shared" si="71"/>
        <v>12.452808578196302</v>
      </c>
      <c r="CJ22" s="72">
        <f t="shared" si="72"/>
        <v>6.9802898058555849</v>
      </c>
      <c r="CK22" s="72">
        <f t="shared" si="73"/>
        <v>3.7545304196852269</v>
      </c>
    </row>
    <row r="23" spans="1:89" x14ac:dyDescent="0.25">
      <c r="A23" t="str">
        <f>PLANTILLA!D23</f>
        <v>P .Trivadi</v>
      </c>
      <c r="B23" s="58">
        <f>PLANTILLA!E23</f>
        <v>35</v>
      </c>
      <c r="C23" s="97">
        <f ca="1">PLANTILLA!F23</f>
        <v>237</v>
      </c>
      <c r="D23" s="58">
        <f>PLANTILLA!G23</f>
        <v>0</v>
      </c>
      <c r="E23" s="206" t="str">
        <f>PLANTILLA!O23</f>
        <v>Cantera</v>
      </c>
      <c r="F23" s="97">
        <f>PLANTILLA!Q23</f>
        <v>4</v>
      </c>
      <c r="G23" s="117">
        <f t="shared" si="0"/>
        <v>0.7559289460184544</v>
      </c>
      <c r="H23" s="117">
        <f t="shared" si="1"/>
        <v>0.84430867747355465</v>
      </c>
      <c r="I23" s="152">
        <f>PLANTILLA!P23</f>
        <v>1.5</v>
      </c>
      <c r="J23" s="153">
        <f>PLANTILLA!I23</f>
        <v>6.3</v>
      </c>
      <c r="K23" s="49">
        <f>PLANTILLA!X23</f>
        <v>0</v>
      </c>
      <c r="L23" s="49">
        <f>PLANTILLA!Y23</f>
        <v>3.95</v>
      </c>
      <c r="M23" s="49">
        <f>PLANTILLA!Z23</f>
        <v>5.95</v>
      </c>
      <c r="N23" s="49">
        <f>PLANTILLA!AA23</f>
        <v>3.95</v>
      </c>
      <c r="O23" s="49">
        <f>PLANTILLA!AB23</f>
        <v>9.9499999999999993</v>
      </c>
      <c r="P23" s="49">
        <f>PLANTILLA!AC23</f>
        <v>5.95</v>
      </c>
      <c r="Q23" s="49">
        <f>PLANTILLA!AD23</f>
        <v>15.95</v>
      </c>
      <c r="R23" s="153">
        <f t="shared" si="2"/>
        <v>3.3562499999999997</v>
      </c>
      <c r="S23" s="153">
        <f t="shared" si="3"/>
        <v>16.719890152389887</v>
      </c>
      <c r="T23" s="49">
        <f t="shared" si="4"/>
        <v>0.77600000000000002</v>
      </c>
      <c r="U23" s="49">
        <f t="shared" si="5"/>
        <v>0.63649999999999995</v>
      </c>
      <c r="V23" s="153" t="e">
        <f t="shared" ca="1" si="6"/>
        <v>#VALUE!</v>
      </c>
      <c r="W23" s="153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3.8312829907716077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3.0921364956783308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7.6825349979523114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6.9007981869632413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10.095302595463075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8.6834924383927579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6.9896297223479404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5.1487252350204216</v>
      </c>
      <c r="CF23" s="72">
        <f t="shared" si="68"/>
        <v>11.760776611579644</v>
      </c>
      <c r="CG23" s="72">
        <f t="shared" si="69"/>
        <v>5.1487252350204216</v>
      </c>
      <c r="CH23" s="72">
        <f t="shared" si="70"/>
        <v>5.3013355497461081</v>
      </c>
      <c r="CI23" s="72">
        <f t="shared" si="71"/>
        <v>13.134112949602605</v>
      </c>
      <c r="CJ23" s="72">
        <f t="shared" si="72"/>
        <v>5.3013355497461081</v>
      </c>
      <c r="CK23" s="72">
        <f t="shared" si="73"/>
        <v>2.1289468498178605</v>
      </c>
    </row>
    <row r="24" spans="1:89" x14ac:dyDescent="0.25">
      <c r="B24" s="58"/>
      <c r="C24" s="97"/>
      <c r="D24" s="58"/>
      <c r="E24" s="206"/>
      <c r="F24" s="97"/>
      <c r="G24" s="117"/>
      <c r="H24" s="117"/>
      <c r="I24" s="152"/>
      <c r="J24" s="153"/>
      <c r="K24" s="49"/>
      <c r="L24" s="49"/>
      <c r="M24" s="49"/>
      <c r="N24" s="49"/>
      <c r="O24" s="49"/>
      <c r="P24" s="49"/>
      <c r="Q24" s="49"/>
      <c r="R24" s="153"/>
      <c r="S24" s="153"/>
      <c r="T24" s="49"/>
      <c r="U24" s="49"/>
      <c r="V24" s="153"/>
      <c r="W24" s="15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7"/>
      <c r="D25" s="58"/>
      <c r="E25" s="206"/>
      <c r="F25" s="97"/>
      <c r="G25" s="117"/>
      <c r="H25" s="117"/>
      <c r="I25" s="152"/>
      <c r="J25" s="153"/>
      <c r="K25" s="49"/>
      <c r="L25" s="49"/>
      <c r="M25" s="49"/>
      <c r="N25" s="49"/>
      <c r="O25" s="49"/>
      <c r="P25" s="49"/>
      <c r="Q25" s="49"/>
      <c r="R25" s="153"/>
      <c r="S25" s="153"/>
      <c r="T25" s="49"/>
      <c r="U25" s="49"/>
      <c r="V25" s="153"/>
      <c r="W25" s="15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7"/>
      <c r="D26" s="58"/>
      <c r="E26" s="206"/>
      <c r="F26" s="97"/>
      <c r="G26" s="117"/>
      <c r="H26" s="117"/>
      <c r="I26" s="152"/>
      <c r="J26" s="153"/>
      <c r="K26" s="49"/>
      <c r="L26" s="49"/>
      <c r="M26" s="49"/>
      <c r="N26" s="49"/>
      <c r="O26" s="49"/>
      <c r="P26" s="49"/>
      <c r="Q26" s="49"/>
      <c r="R26" s="153"/>
      <c r="S26" s="153"/>
      <c r="T26" s="49"/>
      <c r="U26" s="49"/>
      <c r="V26" s="153"/>
      <c r="W26" s="15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5" t="s">
        <v>486</v>
      </c>
      <c r="B28" s="135" t="s">
        <v>487</v>
      </c>
      <c r="C28" s="135"/>
      <c r="D28" s="136"/>
      <c r="L28" s="45"/>
      <c r="M28" s="45"/>
    </row>
    <row r="29" spans="1:89" x14ac:dyDescent="0.25">
      <c r="A29" s="70" t="s">
        <v>488</v>
      </c>
      <c r="B29" s="137">
        <v>1</v>
      </c>
      <c r="C29" s="154">
        <v>0.624</v>
      </c>
      <c r="D29" s="155">
        <v>0.24500000000000002</v>
      </c>
    </row>
    <row r="30" spans="1:89" x14ac:dyDescent="0.25">
      <c r="A30" s="70" t="s">
        <v>489</v>
      </c>
      <c r="B30" s="137">
        <v>1</v>
      </c>
      <c r="C30" s="154">
        <v>1.002</v>
      </c>
      <c r="D30" s="155">
        <v>0.34000000000000008</v>
      </c>
    </row>
    <row r="31" spans="1:89" x14ac:dyDescent="0.25">
      <c r="A31" s="70" t="s">
        <v>490</v>
      </c>
      <c r="B31" s="137">
        <v>1</v>
      </c>
      <c r="C31" s="154">
        <v>0.46800000000000008</v>
      </c>
      <c r="D31" s="155">
        <v>0.125</v>
      </c>
    </row>
    <row r="32" spans="1:89" x14ac:dyDescent="0.25">
      <c r="A32" s="70" t="s">
        <v>491</v>
      </c>
      <c r="B32" s="137">
        <v>1</v>
      </c>
      <c r="C32" s="154">
        <v>0.877</v>
      </c>
      <c r="D32" s="155">
        <v>0.25</v>
      </c>
    </row>
    <row r="33" spans="1:85" x14ac:dyDescent="0.25">
      <c r="A33" s="70" t="s">
        <v>492</v>
      </c>
      <c r="B33" s="137">
        <v>1</v>
      </c>
      <c r="C33" s="154">
        <v>0.59299999999999997</v>
      </c>
      <c r="D33" s="155">
        <v>0.19</v>
      </c>
    </row>
    <row r="35" spans="1:85" ht="15.75" x14ac:dyDescent="0.25">
      <c r="A35" s="573" t="s">
        <v>493</v>
      </c>
      <c r="B35" s="573"/>
      <c r="C35" s="573"/>
      <c r="D35" s="573"/>
      <c r="E35" s="573"/>
    </row>
    <row r="36" spans="1:85" x14ac:dyDescent="0.25">
      <c r="A36" s="144" t="s">
        <v>87</v>
      </c>
      <c r="B36" s="144" t="s">
        <v>351</v>
      </c>
      <c r="C36" s="144" t="s">
        <v>89</v>
      </c>
      <c r="D36" s="145" t="s">
        <v>350</v>
      </c>
      <c r="E36" s="144" t="s">
        <v>476</v>
      </c>
      <c r="F36" s="147" t="s">
        <v>99</v>
      </c>
      <c r="G36" s="148" t="s">
        <v>478</v>
      </c>
      <c r="H36" s="148" t="s">
        <v>14</v>
      </c>
      <c r="I36" s="148" t="s">
        <v>37</v>
      </c>
      <c r="J36" s="148" t="s">
        <v>194</v>
      </c>
      <c r="K36" s="148" t="s">
        <v>30</v>
      </c>
      <c r="L36" s="148" t="s">
        <v>196</v>
      </c>
      <c r="M36" s="148" t="s">
        <v>197</v>
      </c>
      <c r="N36" s="148" t="s">
        <v>198</v>
      </c>
      <c r="O36" s="149" t="s">
        <v>479</v>
      </c>
      <c r="P36" s="149" t="s">
        <v>117</v>
      </c>
      <c r="Q36" s="149" t="s">
        <v>480</v>
      </c>
      <c r="R36" s="149" t="s">
        <v>481</v>
      </c>
      <c r="S36" s="149" t="s">
        <v>121</v>
      </c>
      <c r="T36" s="150" t="s">
        <v>482</v>
      </c>
      <c r="U36" s="150" t="s">
        <v>483</v>
      </c>
      <c r="V36" s="150" t="s">
        <v>482</v>
      </c>
      <c r="W36" s="151" t="s">
        <v>482</v>
      </c>
      <c r="X36" s="151" t="s">
        <v>483</v>
      </c>
      <c r="Y36" s="151" t="s">
        <v>482</v>
      </c>
      <c r="Z36" s="151" t="s">
        <v>28</v>
      </c>
      <c r="AA36" s="151" t="s">
        <v>482</v>
      </c>
      <c r="AB36" s="151" t="s">
        <v>483</v>
      </c>
      <c r="AC36" s="151" t="s">
        <v>482</v>
      </c>
      <c r="AD36" s="151" t="s">
        <v>28</v>
      </c>
      <c r="AE36" s="150" t="s">
        <v>482</v>
      </c>
      <c r="AF36" s="150" t="s">
        <v>483</v>
      </c>
      <c r="AG36" s="150" t="s">
        <v>28</v>
      </c>
      <c r="AH36" s="150" t="s">
        <v>484</v>
      </c>
      <c r="AI36" s="150" t="s">
        <v>482</v>
      </c>
      <c r="AJ36" s="150" t="s">
        <v>483</v>
      </c>
      <c r="AK36" s="150" t="s">
        <v>28</v>
      </c>
      <c r="AL36" s="150" t="s">
        <v>484</v>
      </c>
      <c r="AM36" s="150" t="s">
        <v>482</v>
      </c>
      <c r="AN36" s="150" t="s">
        <v>483</v>
      </c>
      <c r="AO36" s="150" t="s">
        <v>482</v>
      </c>
      <c r="AP36" s="150" t="s">
        <v>28</v>
      </c>
      <c r="AQ36" s="150" t="s">
        <v>484</v>
      </c>
      <c r="AR36" s="150" t="s">
        <v>485</v>
      </c>
      <c r="AS36" s="150" t="s">
        <v>484</v>
      </c>
      <c r="AT36" s="150" t="s">
        <v>482</v>
      </c>
      <c r="AU36" s="150" t="s">
        <v>483</v>
      </c>
      <c r="AV36" s="150" t="s">
        <v>482</v>
      </c>
      <c r="AW36" s="150" t="s">
        <v>28</v>
      </c>
      <c r="AX36" s="150" t="s">
        <v>484</v>
      </c>
      <c r="AY36" s="150" t="s">
        <v>485</v>
      </c>
      <c r="AZ36" s="150" t="s">
        <v>484</v>
      </c>
      <c r="BA36" s="151" t="s">
        <v>482</v>
      </c>
      <c r="BB36" s="151" t="s">
        <v>483</v>
      </c>
      <c r="BC36" s="151" t="s">
        <v>28</v>
      </c>
      <c r="BD36" s="151" t="s">
        <v>484</v>
      </c>
      <c r="BE36" s="151" t="s">
        <v>485</v>
      </c>
      <c r="BF36" s="151" t="s">
        <v>482</v>
      </c>
      <c r="BG36" s="151" t="s">
        <v>483</v>
      </c>
      <c r="BH36" s="151" t="s">
        <v>28</v>
      </c>
      <c r="BI36" s="151" t="s">
        <v>484</v>
      </c>
      <c r="BJ36" s="151" t="s">
        <v>485</v>
      </c>
      <c r="BK36" s="150" t="s">
        <v>482</v>
      </c>
      <c r="BL36" s="150" t="s">
        <v>483</v>
      </c>
      <c r="BM36" s="150" t="s">
        <v>28</v>
      </c>
      <c r="BN36" s="150" t="s">
        <v>484</v>
      </c>
      <c r="BO36" s="150" t="s">
        <v>485</v>
      </c>
      <c r="BP36" s="150" t="s">
        <v>482</v>
      </c>
      <c r="BQ36" s="150" t="s">
        <v>483</v>
      </c>
      <c r="BR36" s="150" t="s">
        <v>28</v>
      </c>
      <c r="BS36" s="150" t="s">
        <v>484</v>
      </c>
      <c r="BT36" s="150" t="s">
        <v>485</v>
      </c>
      <c r="BU36" s="150" t="s">
        <v>482</v>
      </c>
      <c r="BV36" s="150" t="s">
        <v>483</v>
      </c>
      <c r="BW36" s="150" t="s">
        <v>28</v>
      </c>
      <c r="BX36" s="150" t="s">
        <v>484</v>
      </c>
      <c r="BY36" s="150" t="s">
        <v>485</v>
      </c>
      <c r="BZ36" s="151" t="s">
        <v>28</v>
      </c>
      <c r="CA36" s="151" t="s">
        <v>484</v>
      </c>
      <c r="CB36" s="151" t="s">
        <v>485</v>
      </c>
      <c r="CC36" s="151" t="s">
        <v>484</v>
      </c>
      <c r="CD36" s="150" t="s">
        <v>484</v>
      </c>
      <c r="CE36" s="150" t="s">
        <v>485</v>
      </c>
      <c r="CF36" s="150" t="s">
        <v>484</v>
      </c>
      <c r="CG36" s="150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234</v>
      </c>
      <c r="D37">
        <f t="shared" si="74"/>
        <v>0</v>
      </c>
      <c r="E37" s="206">
        <f t="shared" si="74"/>
        <v>42468</v>
      </c>
      <c r="F37" s="152">
        <f t="shared" ref="F37:F57" ca="1" si="75">I3</f>
        <v>1</v>
      </c>
      <c r="G37" s="153">
        <f t="shared" ref="G37:G57" si="76">J3</f>
        <v>25.5</v>
      </c>
      <c r="H37" s="49">
        <f t="shared" ref="H37:H57" si="77">K3</f>
        <v>13.95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3">
        <f t="shared" ref="O37:O57" si="84">((2*(L37+1))+(I37+1))/8</f>
        <v>1.4937499999999999</v>
      </c>
      <c r="P37" s="153">
        <f t="shared" ref="P37:P57" ca="1" si="85">1.66*(M37+(LOG(G37)*4/3)+F37)+0.55*(N37+(LOG(G37)*4/3)+F37)-7.6</f>
        <v>8.6271050650120547</v>
      </c>
      <c r="Q37" s="153">
        <f t="shared" ref="Q37:Q57" si="86">(0.5*M37+0.3*N37)/10</f>
        <v>0.53849999999999998</v>
      </c>
      <c r="R37" s="153">
        <f t="shared" ref="R37:R57" si="87">(0.4*I37+0.3*N37)/10</f>
        <v>0.89649999999999996</v>
      </c>
      <c r="S37" s="153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13.308562770025123</v>
      </c>
      <c r="U37" s="72">
        <f t="shared" ref="U37:U57" ca="1" si="90">((H37+F37+(LOG(G37)*4/3))*0.866)+((I37+F37+(LOG(G37)*4/3))*0.425)</f>
        <v>19.596574497253648</v>
      </c>
      <c r="V37" s="72">
        <f t="shared" ref="V37:V57" ca="1" si="91">T37</f>
        <v>13.308562770025123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4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4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L. Guangwei</v>
      </c>
      <c r="B38">
        <f t="shared" si="74"/>
        <v>23</v>
      </c>
      <c r="C38" s="50">
        <f t="shared" ca="1" si="74"/>
        <v>161</v>
      </c>
      <c r="D38" t="str">
        <f t="shared" si="74"/>
        <v>IMP</v>
      </c>
      <c r="E38" s="206">
        <f t="shared" si="74"/>
        <v>43878</v>
      </c>
      <c r="F38" s="152">
        <f t="shared" ca="1" si="75"/>
        <v>0.98853439333029636</v>
      </c>
      <c r="G38" s="153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3.1428571428571428</v>
      </c>
      <c r="N38" s="49">
        <f t="shared" si="83"/>
        <v>20.125</v>
      </c>
      <c r="O38" s="153">
        <f t="shared" si="84"/>
        <v>2.25</v>
      </c>
      <c r="P38" s="153">
        <f t="shared" ca="1" si="85"/>
        <v>12.47374103708829</v>
      </c>
      <c r="Q38" s="153">
        <f t="shared" si="86"/>
        <v>0.76089285714285704</v>
      </c>
      <c r="R38" s="153">
        <f t="shared" si="87"/>
        <v>0.80374999999999996</v>
      </c>
      <c r="S38" s="153">
        <f t="shared" ca="1" si="88"/>
        <v>21.841455268098816</v>
      </c>
      <c r="T38" s="72">
        <f t="shared" ca="1" si="89"/>
        <v>11.83128572900107</v>
      </c>
      <c r="U38" s="72">
        <f t="shared" ca="1" si="90"/>
        <v>17.327720362131021</v>
      </c>
      <c r="V38" s="72">
        <f t="shared" ca="1" si="91"/>
        <v>11.83128572900107</v>
      </c>
      <c r="W38" s="72">
        <f t="shared" ca="1" si="92"/>
        <v>3.4644025614714224</v>
      </c>
      <c r="X38" s="72">
        <f t="shared" ca="1" si="93"/>
        <v>6.7139584524639968</v>
      </c>
      <c r="Y38" s="72">
        <f t="shared" ca="1" si="94"/>
        <v>1.7322012807357112</v>
      </c>
      <c r="Z38" s="72">
        <f t="shared" ca="1" si="95"/>
        <v>0.88392211168643131</v>
      </c>
      <c r="AA38" s="72">
        <f t="shared" ca="1" si="96"/>
        <v>2.5378762950313907</v>
      </c>
      <c r="AB38" s="72">
        <f t="shared" ca="1" si="97"/>
        <v>4.8541919611314697</v>
      </c>
      <c r="AC38" s="72">
        <f t="shared" ca="1" si="98"/>
        <v>1.2689381475156953</v>
      </c>
      <c r="AD38" s="72">
        <f t="shared" ca="1" si="99"/>
        <v>1.4298740041986391</v>
      </c>
      <c r="AE38" s="244">
        <f t="shared" ca="1" si="100"/>
        <v>6.176841776266877</v>
      </c>
      <c r="AF38" s="72">
        <f t="shared" ca="1" si="101"/>
        <v>2.7795787993200944</v>
      </c>
      <c r="AG38" s="72">
        <f t="shared" ca="1" si="102"/>
        <v>0.62023106156148755</v>
      </c>
      <c r="AH38" s="244">
        <f t="shared" ca="1" si="103"/>
        <v>1.5958075700488303</v>
      </c>
      <c r="AI38" s="72">
        <f t="shared" ca="1" si="104"/>
        <v>5.0623246731578533</v>
      </c>
      <c r="AJ38" s="72">
        <f t="shared" ca="1" si="105"/>
        <v>4.7534825843445097</v>
      </c>
      <c r="AK38" s="72">
        <f t="shared" ca="1" si="106"/>
        <v>3.6471060615614879</v>
      </c>
      <c r="AL38" s="72">
        <f t="shared" ca="1" si="107"/>
        <v>1.1416200343096312</v>
      </c>
      <c r="AM38" s="72">
        <f t="shared" ca="1" si="108"/>
        <v>1.8127687821652791</v>
      </c>
      <c r="AN38" s="72">
        <f t="shared" ca="1" si="109"/>
        <v>3.9880913207636137</v>
      </c>
      <c r="AO38" s="72">
        <f t="shared" ca="1" si="110"/>
        <v>0.90638439108263957</v>
      </c>
      <c r="AP38" s="72">
        <f t="shared" ca="1" si="111"/>
        <v>3.505976779126013</v>
      </c>
      <c r="AQ38" s="72">
        <f t="shared" ca="1" si="112"/>
        <v>0.87281459882031964</v>
      </c>
      <c r="AR38" s="72">
        <f t="shared" ca="1" si="113"/>
        <v>1.6459041122862366</v>
      </c>
      <c r="AS38" s="72">
        <f t="shared" ca="1" si="114"/>
        <v>0.43640729941015982</v>
      </c>
      <c r="AT38" s="72">
        <f t="shared" ca="1" si="115"/>
        <v>1.2689381475156953</v>
      </c>
      <c r="AU38" s="72">
        <f t="shared" ca="1" si="116"/>
        <v>2.6855833809855989</v>
      </c>
      <c r="AV38" s="72">
        <f t="shared" ca="1" si="117"/>
        <v>0.63446907375784767</v>
      </c>
      <c r="AW38" s="72">
        <f t="shared" ca="1" si="118"/>
        <v>3.7139584524639973</v>
      </c>
      <c r="AX38" s="72">
        <f t="shared" ca="1" si="119"/>
        <v>1.6986314884733913</v>
      </c>
      <c r="AY38" s="72">
        <f t="shared" ca="1" si="120"/>
        <v>3.3093911073076621</v>
      </c>
      <c r="AZ38" s="72">
        <f t="shared" ca="1" si="121"/>
        <v>0.84931574423669565</v>
      </c>
      <c r="BA38" s="72">
        <f t="shared" ca="1" si="122"/>
        <v>1.9537619096670229</v>
      </c>
      <c r="BB38" s="72">
        <f t="shared" ca="1" si="123"/>
        <v>2.3364575414574706</v>
      </c>
      <c r="BC38" s="72">
        <f t="shared" ca="1" si="124"/>
        <v>3.2719973966207818</v>
      </c>
      <c r="BD38" s="72">
        <f t="shared" ca="1" si="125"/>
        <v>3.6727090642404931</v>
      </c>
      <c r="BE38" s="72">
        <f t="shared" ca="1" si="126"/>
        <v>1.6180639870438231</v>
      </c>
      <c r="BF38" s="72">
        <f t="shared" ca="1" si="127"/>
        <v>3.2562698494450384</v>
      </c>
      <c r="BG38" s="72">
        <f t="shared" ca="1" si="128"/>
        <v>1.7724850314504952</v>
      </c>
      <c r="BH38" s="72">
        <f t="shared" ca="1" si="129"/>
        <v>1.415018170388783</v>
      </c>
      <c r="BI38" s="72">
        <f t="shared" ca="1" si="130"/>
        <v>3.1759996874535337</v>
      </c>
      <c r="BJ38" s="72">
        <f t="shared" ca="1" si="131"/>
        <v>0.34912583952812781</v>
      </c>
      <c r="BK38" s="72">
        <f t="shared" ca="1" si="132"/>
        <v>1.2085125214435193</v>
      </c>
      <c r="BL38" s="72">
        <f t="shared" ca="1" si="133"/>
        <v>0.4565491747675518</v>
      </c>
      <c r="BM38" s="72">
        <f t="shared" ca="1" si="134"/>
        <v>1.1327573280015191</v>
      </c>
      <c r="BN38" s="72">
        <f t="shared" ca="1" si="135"/>
        <v>4.6341505698686998</v>
      </c>
      <c r="BO38" s="72">
        <f t="shared" ca="1" si="136"/>
        <v>0.90638439108263957</v>
      </c>
      <c r="BP38" s="72">
        <f t="shared" ca="1" si="137"/>
        <v>1.9067642004997749</v>
      </c>
      <c r="BQ38" s="72">
        <f t="shared" ca="1" si="138"/>
        <v>1.6382058624012152</v>
      </c>
      <c r="BR38" s="72">
        <f t="shared" ca="1" si="139"/>
        <v>1.6898510958711188</v>
      </c>
      <c r="BS38" s="72">
        <f t="shared" ca="1" si="140"/>
        <v>3.983065965330109</v>
      </c>
      <c r="BT38" s="72">
        <f t="shared" ca="1" si="141"/>
        <v>0.81238897274814359</v>
      </c>
      <c r="BU38" s="72">
        <f t="shared" ca="1" si="142"/>
        <v>1.9067642004997749</v>
      </c>
      <c r="BV38" s="72">
        <f t="shared" ca="1" si="143"/>
        <v>1.6382058624012152</v>
      </c>
      <c r="BW38" s="72">
        <f t="shared" ca="1" si="144"/>
        <v>2.3435077835047822</v>
      </c>
      <c r="BX38" s="72">
        <f t="shared" ca="1" si="145"/>
        <v>3.2009928149552773</v>
      </c>
      <c r="BY38" s="72">
        <f t="shared" ca="1" si="146"/>
        <v>0.99366585096467153</v>
      </c>
      <c r="BZ38" s="72">
        <f t="shared" ca="1" si="147"/>
        <v>1.5078671317003829</v>
      </c>
      <c r="CA38" s="72">
        <f t="shared" ca="1" si="148"/>
        <v>2.6861152108765993</v>
      </c>
      <c r="CB38" s="72">
        <f t="shared" ca="1" si="149"/>
        <v>6.4772029317601749</v>
      </c>
      <c r="CC38" s="72">
        <f t="shared" ca="1" si="150"/>
        <v>2.6861152108765993</v>
      </c>
      <c r="CD38" s="72">
        <f t="shared" ca="1" si="151"/>
        <v>2.8189200307620501</v>
      </c>
      <c r="CE38" s="72">
        <f t="shared" ca="1" si="152"/>
        <v>7.3342662642803553</v>
      </c>
      <c r="CF38" s="72">
        <f t="shared" ca="1" si="153"/>
        <v>2.8189200307620501</v>
      </c>
      <c r="CG38" s="72">
        <f t="shared" ca="1" si="154"/>
        <v>0.92848961311599931</v>
      </c>
    </row>
    <row r="39" spans="1:85" x14ac:dyDescent="0.25">
      <c r="A39" t="str">
        <f t="shared" si="74"/>
        <v>E. Toney</v>
      </c>
      <c r="B39">
        <f t="shared" si="74"/>
        <v>40</v>
      </c>
      <c r="C39" s="50">
        <f t="shared" ca="1" si="74"/>
        <v>133</v>
      </c>
      <c r="D39">
        <f t="shared" si="74"/>
        <v>0</v>
      </c>
      <c r="E39" s="206" t="str">
        <f t="shared" si="74"/>
        <v>Cantera</v>
      </c>
      <c r="F39" s="152">
        <f t="shared" si="75"/>
        <v>1.5</v>
      </c>
      <c r="G39" s="153">
        <f t="shared" si="76"/>
        <v>19.100000000000001</v>
      </c>
      <c r="H39" s="49">
        <f t="shared" si="77"/>
        <v>0</v>
      </c>
      <c r="I39" s="49">
        <f t="shared" si="78"/>
        <v>7.75</v>
      </c>
      <c r="J39" s="49">
        <f t="shared" si="79"/>
        <v>7.95</v>
      </c>
      <c r="K39" s="49">
        <f t="shared" si="80"/>
        <v>3.95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3">
        <f t="shared" si="84"/>
        <v>2.3312499999999998</v>
      </c>
      <c r="P39" s="153">
        <f t="shared" si="85"/>
        <v>7.7397783221566367</v>
      </c>
      <c r="Q39" s="153">
        <f t="shared" si="86"/>
        <v>0.45</v>
      </c>
      <c r="R39" s="153">
        <f t="shared" si="87"/>
        <v>0.76</v>
      </c>
      <c r="S39" s="153" t="e">
        <f t="shared" ca="1" si="88"/>
        <v>#VALUE!</v>
      </c>
      <c r="T39" s="72">
        <f t="shared" si="89"/>
        <v>4.9396228394763551</v>
      </c>
      <c r="U39" s="72">
        <f t="shared" si="90"/>
        <v>7.4353354361557553</v>
      </c>
      <c r="V39" s="72">
        <f t="shared" si="91"/>
        <v>4.9396228394763551</v>
      </c>
      <c r="W39" s="72">
        <f t="shared" si="92"/>
        <v>5.6543509566664367</v>
      </c>
      <c r="X39" s="72">
        <f t="shared" si="93"/>
        <v>10.958044489663637</v>
      </c>
      <c r="Y39" s="72">
        <f t="shared" si="94"/>
        <v>2.8271754783332184</v>
      </c>
      <c r="Z39" s="72">
        <f t="shared" si="95"/>
        <v>2.6556145885399451</v>
      </c>
      <c r="AA39" s="72">
        <f t="shared" si="96"/>
        <v>4.1421408170928551</v>
      </c>
      <c r="AB39" s="72">
        <f t="shared" si="97"/>
        <v>7.9226661660268096</v>
      </c>
      <c r="AC39" s="72">
        <f t="shared" si="98"/>
        <v>2.0710704085464275</v>
      </c>
      <c r="AD39" s="72">
        <f t="shared" si="99"/>
        <v>4.2958471285205002</v>
      </c>
      <c r="AE39" s="244">
        <f t="shared" si="100"/>
        <v>10.081400930490547</v>
      </c>
      <c r="AF39" s="72">
        <f t="shared" si="101"/>
        <v>4.5366304187207458</v>
      </c>
      <c r="AG39" s="72">
        <f t="shared" si="102"/>
        <v>1.8633934297738273</v>
      </c>
      <c r="AH39" s="244">
        <f t="shared" si="103"/>
        <v>4.2089301599222182</v>
      </c>
      <c r="AI39" s="72">
        <f t="shared" si="104"/>
        <v>8.2623655452063822</v>
      </c>
      <c r="AJ39" s="72">
        <f t="shared" si="105"/>
        <v>7.7582954986818544</v>
      </c>
      <c r="AK39" s="72">
        <f t="shared" si="106"/>
        <v>3.0407434297738272</v>
      </c>
      <c r="AL39" s="72">
        <f t="shared" si="107"/>
        <v>1.5953168130231272</v>
      </c>
      <c r="AM39" s="72">
        <f t="shared" si="108"/>
        <v>2.9586720122091821</v>
      </c>
      <c r="AN39" s="72">
        <f t="shared" si="109"/>
        <v>6.5090784268602002</v>
      </c>
      <c r="AO39" s="72">
        <f t="shared" si="110"/>
        <v>1.479336006104591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2.0710704085464275</v>
      </c>
      <c r="AU39" s="72">
        <f t="shared" si="116"/>
        <v>4.3832177958654546</v>
      </c>
      <c r="AV39" s="72">
        <f t="shared" si="117"/>
        <v>1.0355352042732138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3.188790946492118</v>
      </c>
      <c r="BB39" s="72">
        <f t="shared" si="123"/>
        <v>3.8133994824029456</v>
      </c>
      <c r="BC39" s="72">
        <f t="shared" si="124"/>
        <v>9.8302371953936643</v>
      </c>
      <c r="BD39" s="72">
        <f t="shared" si="125"/>
        <v>6.3635015513109732</v>
      </c>
      <c r="BE39" s="72">
        <f t="shared" si="126"/>
        <v>1.7250887220089364</v>
      </c>
      <c r="BF39" s="72">
        <f t="shared" si="127"/>
        <v>5.3146515774868641</v>
      </c>
      <c r="BG39" s="72">
        <f t="shared" si="128"/>
        <v>2.8929237452712004</v>
      </c>
      <c r="BH39" s="72">
        <f t="shared" si="129"/>
        <v>4.2512149505618453</v>
      </c>
      <c r="BI39" s="72">
        <f t="shared" si="130"/>
        <v>6.2561308839660192</v>
      </c>
      <c r="BJ39" s="72">
        <f t="shared" si="131"/>
        <v>0.37221831346250911</v>
      </c>
      <c r="BK39" s="72">
        <f t="shared" si="132"/>
        <v>1.9724480081394546</v>
      </c>
      <c r="BL39" s="72">
        <f t="shared" si="133"/>
        <v>0.7451470252971274</v>
      </c>
      <c r="BM39" s="72">
        <f t="shared" si="134"/>
        <v>3.4032035693474088</v>
      </c>
      <c r="BN39" s="72">
        <f t="shared" si="135"/>
        <v>9.2052452137074372</v>
      </c>
      <c r="BO39" s="72">
        <f t="shared" si="136"/>
        <v>0.96633600610459103</v>
      </c>
      <c r="BP39" s="72">
        <f t="shared" si="137"/>
        <v>3.1120846350644724</v>
      </c>
      <c r="BQ39" s="72">
        <f t="shared" si="138"/>
        <v>2.6737628554779271</v>
      </c>
      <c r="BR39" s="72">
        <f t="shared" si="139"/>
        <v>5.0769102427969548</v>
      </c>
      <c r="BS39" s="72">
        <f t="shared" si="140"/>
        <v>7.93111329454731</v>
      </c>
      <c r="BT39" s="72">
        <f t="shared" si="141"/>
        <v>0.86612338324930005</v>
      </c>
      <c r="BU39" s="72">
        <f t="shared" si="142"/>
        <v>3.1120846350644724</v>
      </c>
      <c r="BV39" s="72">
        <f t="shared" si="143"/>
        <v>2.6737628554779271</v>
      </c>
      <c r="BW39" s="72">
        <f t="shared" si="144"/>
        <v>7.0407260729777548</v>
      </c>
      <c r="BX39" s="72">
        <f t="shared" si="145"/>
        <v>6.4064498182489551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3.2276911791147551</v>
      </c>
      <c r="CB39" s="72">
        <f t="shared" si="149"/>
        <v>5.7571080953612555</v>
      </c>
      <c r="CC39" s="72">
        <f t="shared" si="150"/>
        <v>3.2276911791147551</v>
      </c>
      <c r="CD39" s="72">
        <f t="shared" si="151"/>
        <v>3.3024617170604458</v>
      </c>
      <c r="CE39" s="72">
        <f t="shared" si="152"/>
        <v>5.8493629063495192</v>
      </c>
      <c r="CF39" s="72">
        <f t="shared" si="153"/>
        <v>3.3024617170604458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36</v>
      </c>
      <c r="C40" s="50">
        <f t="shared" ca="1" si="74"/>
        <v>141</v>
      </c>
      <c r="D40">
        <f t="shared" si="74"/>
        <v>0</v>
      </c>
      <c r="E40" s="206" t="str">
        <f t="shared" si="74"/>
        <v>Cantera</v>
      </c>
      <c r="F40" s="152">
        <f t="shared" si="75"/>
        <v>1.5</v>
      </c>
      <c r="G40" s="153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3">
        <f t="shared" si="84"/>
        <v>3.4812499999999993</v>
      </c>
      <c r="P40" s="153">
        <f t="shared" si="85"/>
        <v>7.5003746008922096</v>
      </c>
      <c r="Q40" s="153">
        <f t="shared" si="86"/>
        <v>0.46749999999999997</v>
      </c>
      <c r="R40" s="153">
        <f t="shared" si="87"/>
        <v>0.77799999999999991</v>
      </c>
      <c r="S40" s="153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4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4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6" t="e">
        <f t="shared" si="74"/>
        <v>#REF!</v>
      </c>
      <c r="F41" s="152" t="e">
        <f t="shared" si="75"/>
        <v>#REF!</v>
      </c>
      <c r="G41" s="153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3" t="e">
        <f t="shared" si="84"/>
        <v>#REF!</v>
      </c>
      <c r="P41" s="153" t="e">
        <f t="shared" si="85"/>
        <v>#REF!</v>
      </c>
      <c r="Q41" s="153" t="e">
        <f t="shared" si="86"/>
        <v>#REF!</v>
      </c>
      <c r="R41" s="153" t="e">
        <f t="shared" si="87"/>
        <v>#REF!</v>
      </c>
      <c r="S41" s="153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4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4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e">
        <f t="shared" si="74"/>
        <v>#REF!</v>
      </c>
      <c r="B42" t="e">
        <f t="shared" si="74"/>
        <v>#REF!</v>
      </c>
      <c r="C42" s="50" t="e">
        <f t="shared" si="74"/>
        <v>#REF!</v>
      </c>
      <c r="D42" t="e">
        <f t="shared" si="74"/>
        <v>#REF!</v>
      </c>
      <c r="E42" s="206" t="e">
        <f t="shared" si="74"/>
        <v>#REF!</v>
      </c>
      <c r="F42" s="152" t="e">
        <f t="shared" si="75"/>
        <v>#REF!</v>
      </c>
      <c r="G42" s="153" t="e">
        <f t="shared" si="76"/>
        <v>#REF!</v>
      </c>
      <c r="H42" s="49" t="e">
        <f t="shared" si="77"/>
        <v>#REF!</v>
      </c>
      <c r="I42" s="49" t="e">
        <f t="shared" si="78"/>
        <v>#REF!</v>
      </c>
      <c r="J42" s="49" t="e">
        <f t="shared" si="79"/>
        <v>#REF!</v>
      </c>
      <c r="K42" s="49" t="e">
        <f t="shared" si="80"/>
        <v>#REF!</v>
      </c>
      <c r="L42" s="49" t="e">
        <f t="shared" si="81"/>
        <v>#REF!</v>
      </c>
      <c r="M42" s="49" t="e">
        <f t="shared" si="82"/>
        <v>#REF!</v>
      </c>
      <c r="N42" s="49" t="e">
        <f t="shared" si="83"/>
        <v>#REF!</v>
      </c>
      <c r="O42" s="153" t="e">
        <f t="shared" si="84"/>
        <v>#REF!</v>
      </c>
      <c r="P42" s="153" t="e">
        <f t="shared" si="85"/>
        <v>#REF!</v>
      </c>
      <c r="Q42" s="153" t="e">
        <f t="shared" si="86"/>
        <v>#REF!</v>
      </c>
      <c r="R42" s="153" t="e">
        <f t="shared" si="87"/>
        <v>#REF!</v>
      </c>
      <c r="S42" s="153" t="e">
        <f t="shared" ca="1" si="88"/>
        <v>#REF!</v>
      </c>
      <c r="T42" s="72" t="e">
        <f t="shared" si="89"/>
        <v>#REF!</v>
      </c>
      <c r="U42" s="72" t="e">
        <f t="shared" si="90"/>
        <v>#REF!</v>
      </c>
      <c r="V42" s="72" t="e">
        <f t="shared" si="91"/>
        <v>#REF!</v>
      </c>
      <c r="W42" s="72" t="e">
        <f t="shared" si="92"/>
        <v>#REF!</v>
      </c>
      <c r="X42" s="72" t="e">
        <f t="shared" si="93"/>
        <v>#REF!</v>
      </c>
      <c r="Y42" s="72" t="e">
        <f t="shared" si="94"/>
        <v>#REF!</v>
      </c>
      <c r="Z42" s="72" t="e">
        <f t="shared" si="95"/>
        <v>#REF!</v>
      </c>
      <c r="AA42" s="72" t="e">
        <f t="shared" si="96"/>
        <v>#REF!</v>
      </c>
      <c r="AB42" s="72" t="e">
        <f t="shared" si="97"/>
        <v>#REF!</v>
      </c>
      <c r="AC42" s="72" t="e">
        <f t="shared" si="98"/>
        <v>#REF!</v>
      </c>
      <c r="AD42" s="72" t="e">
        <f t="shared" si="99"/>
        <v>#REF!</v>
      </c>
      <c r="AE42" s="244" t="e">
        <f t="shared" si="100"/>
        <v>#REF!</v>
      </c>
      <c r="AF42" s="72" t="e">
        <f t="shared" si="101"/>
        <v>#REF!</v>
      </c>
      <c r="AG42" s="72" t="e">
        <f t="shared" si="102"/>
        <v>#REF!</v>
      </c>
      <c r="AH42" s="244" t="e">
        <f t="shared" si="103"/>
        <v>#REF!</v>
      </c>
      <c r="AI42" s="72" t="e">
        <f t="shared" si="104"/>
        <v>#REF!</v>
      </c>
      <c r="AJ42" s="72" t="e">
        <f t="shared" si="105"/>
        <v>#REF!</v>
      </c>
      <c r="AK42" s="72" t="e">
        <f t="shared" si="106"/>
        <v>#REF!</v>
      </c>
      <c r="AL42" s="72" t="e">
        <f t="shared" si="107"/>
        <v>#REF!</v>
      </c>
      <c r="AM42" s="72" t="e">
        <f t="shared" si="108"/>
        <v>#REF!</v>
      </c>
      <c r="AN42" s="72" t="e">
        <f t="shared" si="109"/>
        <v>#REF!</v>
      </c>
      <c r="AO42" s="72" t="e">
        <f t="shared" si="110"/>
        <v>#REF!</v>
      </c>
      <c r="AP42" s="72" t="e">
        <f t="shared" si="111"/>
        <v>#REF!</v>
      </c>
      <c r="AQ42" s="72" t="e">
        <f t="shared" si="112"/>
        <v>#REF!</v>
      </c>
      <c r="AR42" s="72" t="e">
        <f t="shared" si="113"/>
        <v>#REF!</v>
      </c>
      <c r="AS42" s="72" t="e">
        <f t="shared" si="114"/>
        <v>#REF!</v>
      </c>
      <c r="AT42" s="72" t="e">
        <f t="shared" si="115"/>
        <v>#REF!</v>
      </c>
      <c r="AU42" s="72" t="e">
        <f t="shared" si="116"/>
        <v>#REF!</v>
      </c>
      <c r="AV42" s="72" t="e">
        <f t="shared" si="117"/>
        <v>#REF!</v>
      </c>
      <c r="AW42" s="72" t="e">
        <f t="shared" si="118"/>
        <v>#REF!</v>
      </c>
      <c r="AX42" s="72" t="e">
        <f t="shared" si="119"/>
        <v>#REF!</v>
      </c>
      <c r="AY42" s="72" t="e">
        <f t="shared" si="120"/>
        <v>#REF!</v>
      </c>
      <c r="AZ42" s="72" t="e">
        <f t="shared" si="121"/>
        <v>#REF!</v>
      </c>
      <c r="BA42" s="72" t="e">
        <f t="shared" si="122"/>
        <v>#REF!</v>
      </c>
      <c r="BB42" s="72" t="e">
        <f t="shared" si="123"/>
        <v>#REF!</v>
      </c>
      <c r="BC42" s="72" t="e">
        <f t="shared" si="124"/>
        <v>#REF!</v>
      </c>
      <c r="BD42" s="72" t="e">
        <f t="shared" si="125"/>
        <v>#REF!</v>
      </c>
      <c r="BE42" s="72" t="e">
        <f t="shared" si="126"/>
        <v>#REF!</v>
      </c>
      <c r="BF42" s="72" t="e">
        <f t="shared" si="127"/>
        <v>#REF!</v>
      </c>
      <c r="BG42" s="72" t="e">
        <f t="shared" si="128"/>
        <v>#REF!</v>
      </c>
      <c r="BH42" s="72" t="e">
        <f t="shared" si="129"/>
        <v>#REF!</v>
      </c>
      <c r="BI42" s="72" t="e">
        <f t="shared" si="130"/>
        <v>#REF!</v>
      </c>
      <c r="BJ42" s="72" t="e">
        <f t="shared" si="131"/>
        <v>#REF!</v>
      </c>
      <c r="BK42" s="72" t="e">
        <f t="shared" si="132"/>
        <v>#REF!</v>
      </c>
      <c r="BL42" s="72" t="e">
        <f t="shared" si="133"/>
        <v>#REF!</v>
      </c>
      <c r="BM42" s="72" t="e">
        <f t="shared" si="134"/>
        <v>#REF!</v>
      </c>
      <c r="BN42" s="72" t="e">
        <f t="shared" si="135"/>
        <v>#REF!</v>
      </c>
      <c r="BO42" s="72" t="e">
        <f t="shared" si="136"/>
        <v>#REF!</v>
      </c>
      <c r="BP42" s="72" t="e">
        <f t="shared" si="137"/>
        <v>#REF!</v>
      </c>
      <c r="BQ42" s="72" t="e">
        <f t="shared" si="138"/>
        <v>#REF!</v>
      </c>
      <c r="BR42" s="72" t="e">
        <f t="shared" si="139"/>
        <v>#REF!</v>
      </c>
      <c r="BS42" s="72" t="e">
        <f t="shared" si="140"/>
        <v>#REF!</v>
      </c>
      <c r="BT42" s="72" t="e">
        <f t="shared" si="141"/>
        <v>#REF!</v>
      </c>
      <c r="BU42" s="72" t="e">
        <f t="shared" si="142"/>
        <v>#REF!</v>
      </c>
      <c r="BV42" s="72" t="e">
        <f t="shared" si="143"/>
        <v>#REF!</v>
      </c>
      <c r="BW42" s="72" t="e">
        <f t="shared" si="144"/>
        <v>#REF!</v>
      </c>
      <c r="BX42" s="72" t="e">
        <f t="shared" si="145"/>
        <v>#REF!</v>
      </c>
      <c r="BY42" s="72" t="e">
        <f t="shared" si="146"/>
        <v>#REF!</v>
      </c>
      <c r="BZ42" s="72" t="e">
        <f t="shared" si="147"/>
        <v>#REF!</v>
      </c>
      <c r="CA42" s="72" t="e">
        <f t="shared" si="148"/>
        <v>#REF!</v>
      </c>
      <c r="CB42" s="72" t="e">
        <f t="shared" si="149"/>
        <v>#REF!</v>
      </c>
      <c r="CC42" s="72" t="e">
        <f t="shared" si="150"/>
        <v>#REF!</v>
      </c>
      <c r="CD42" s="72" t="e">
        <f t="shared" si="151"/>
        <v>#REF!</v>
      </c>
      <c r="CE42" s="72" t="e">
        <f t="shared" si="152"/>
        <v>#REF!</v>
      </c>
      <c r="CF42" s="72" t="e">
        <f t="shared" si="153"/>
        <v>#REF!</v>
      </c>
      <c r="CG42" s="72" t="e">
        <f t="shared" si="154"/>
        <v>#REF!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188</v>
      </c>
      <c r="D43" t="str">
        <f t="shared" si="74"/>
        <v>CAB</v>
      </c>
      <c r="E43" s="206">
        <f t="shared" si="74"/>
        <v>43982</v>
      </c>
      <c r="F43" s="152">
        <f t="shared" ca="1" si="75"/>
        <v>0.77584017284391016</v>
      </c>
      <c r="G43" s="153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16</v>
      </c>
      <c r="O43" s="153">
        <f t="shared" si="84"/>
        <v>2.25</v>
      </c>
      <c r="P43" s="153">
        <f t="shared" ca="1" si="85"/>
        <v>16.784174603017163</v>
      </c>
      <c r="Q43" s="153">
        <f t="shared" si="86"/>
        <v>0.83000000000000007</v>
      </c>
      <c r="R43" s="153">
        <f t="shared" si="87"/>
        <v>1</v>
      </c>
      <c r="S43" s="153">
        <f t="shared" ca="1" si="88"/>
        <v>17.838037546162479</v>
      </c>
      <c r="T43" s="72">
        <f t="shared" ca="1" si="89"/>
        <v>5.1539386553999931</v>
      </c>
      <c r="U43" s="72">
        <f t="shared" ca="1" si="90"/>
        <v>7.8407237160611576</v>
      </c>
      <c r="V43" s="72">
        <f t="shared" ca="1" si="91"/>
        <v>5.1539386553999931</v>
      </c>
      <c r="W43" s="72">
        <f t="shared" ca="1" si="92"/>
        <v>7.6335719887587583</v>
      </c>
      <c r="X43" s="72">
        <f t="shared" ca="1" si="93"/>
        <v>14.79374416426116</v>
      </c>
      <c r="Y43" s="72">
        <f t="shared" ca="1" si="94"/>
        <v>3.8167859943793792</v>
      </c>
      <c r="Z43" s="72">
        <f t="shared" ca="1" si="95"/>
        <v>1.8549111110941559</v>
      </c>
      <c r="AA43" s="72">
        <f t="shared" ca="1" si="96"/>
        <v>5.5920352940907181</v>
      </c>
      <c r="AB43" s="72">
        <f t="shared" ca="1" si="97"/>
        <v>10.695877030760817</v>
      </c>
      <c r="AC43" s="72">
        <f t="shared" ca="1" si="98"/>
        <v>2.796017647045359</v>
      </c>
      <c r="AD43" s="72">
        <f t="shared" ca="1" si="99"/>
        <v>3.0005915032405466</v>
      </c>
      <c r="AE43" s="244">
        <f t="shared" ca="1" si="100"/>
        <v>13.610244631120267</v>
      </c>
      <c r="AF43" s="72">
        <f t="shared" ca="1" si="101"/>
        <v>6.1246100840041198</v>
      </c>
      <c r="AG43" s="72">
        <f t="shared" ca="1" si="102"/>
        <v>1.3015552754316138</v>
      </c>
      <c r="AH43" s="244">
        <f t="shared" ca="1" si="103"/>
        <v>2.2307215685855621</v>
      </c>
      <c r="AI43" s="72">
        <f t="shared" ca="1" si="104"/>
        <v>11.154483099852914</v>
      </c>
      <c r="AJ43" s="72">
        <f t="shared" ca="1" si="105"/>
        <v>10.473970868296901</v>
      </c>
      <c r="AK43" s="72">
        <f t="shared" ca="1" si="106"/>
        <v>2.9715552754316139</v>
      </c>
      <c r="AL43" s="72">
        <f t="shared" ca="1" si="107"/>
        <v>1.1645983193072138</v>
      </c>
      <c r="AM43" s="72">
        <f t="shared" ca="1" si="108"/>
        <v>3.9943109243505135</v>
      </c>
      <c r="AN43" s="72">
        <f t="shared" ca="1" si="109"/>
        <v>8.7874840335711291</v>
      </c>
      <c r="AO43" s="72">
        <f t="shared" ca="1" si="110"/>
        <v>1.9971554621752567</v>
      </c>
      <c r="AP43" s="72">
        <f t="shared" ca="1" si="111"/>
        <v>7.3572944910625342</v>
      </c>
      <c r="AQ43" s="72">
        <f t="shared" ca="1" si="112"/>
        <v>0.36318674135395074</v>
      </c>
      <c r="AR43" s="72">
        <f t="shared" ca="1" si="113"/>
        <v>1.8565670401285197</v>
      </c>
      <c r="AS43" s="72">
        <f t="shared" ca="1" si="114"/>
        <v>0.18159337067697537</v>
      </c>
      <c r="AT43" s="72">
        <f t="shared" ca="1" si="115"/>
        <v>2.796017647045359</v>
      </c>
      <c r="AU43" s="72">
        <f t="shared" ca="1" si="116"/>
        <v>5.917497665704464</v>
      </c>
      <c r="AV43" s="72">
        <f t="shared" ca="1" si="117"/>
        <v>1.3980088235226795</v>
      </c>
      <c r="AW43" s="72">
        <f t="shared" ca="1" si="118"/>
        <v>7.7937441642611596</v>
      </c>
      <c r="AX43" s="72">
        <f t="shared" ca="1" si="119"/>
        <v>0.70681727355807333</v>
      </c>
      <c r="AY43" s="72">
        <f t="shared" ca="1" si="120"/>
        <v>2.7993530345078987</v>
      </c>
      <c r="AZ43" s="72">
        <f t="shared" ca="1" si="121"/>
        <v>0.35340863677903667</v>
      </c>
      <c r="BA43" s="72">
        <f t="shared" ca="1" si="122"/>
        <v>4.3049795517999971</v>
      </c>
      <c r="BB43" s="72">
        <f t="shared" ca="1" si="123"/>
        <v>5.1482229691628829</v>
      </c>
      <c r="BC43" s="72">
        <f t="shared" ca="1" si="124"/>
        <v>6.8662886087140818</v>
      </c>
      <c r="BD43" s="72">
        <f t="shared" ca="1" si="125"/>
        <v>3.057638562028171</v>
      </c>
      <c r="BE43" s="72">
        <f t="shared" ca="1" si="126"/>
        <v>0.67329234358693946</v>
      </c>
      <c r="BF43" s="72">
        <f t="shared" ca="1" si="127"/>
        <v>7.1749659196666622</v>
      </c>
      <c r="BG43" s="72">
        <f t="shared" ca="1" si="128"/>
        <v>3.9055484593649461</v>
      </c>
      <c r="BH43" s="72">
        <f t="shared" ca="1" si="129"/>
        <v>2.969416526583502</v>
      </c>
      <c r="BI43" s="72">
        <f t="shared" ca="1" si="130"/>
        <v>3.1147323995642537</v>
      </c>
      <c r="BJ43" s="72">
        <f t="shared" ca="1" si="131"/>
        <v>0.14527469654158029</v>
      </c>
      <c r="BK43" s="72">
        <f t="shared" ca="1" si="132"/>
        <v>2.6628739495670084</v>
      </c>
      <c r="BL43" s="72">
        <f t="shared" ca="1" si="133"/>
        <v>1.005974603169759</v>
      </c>
      <c r="BM43" s="72">
        <f t="shared" ca="1" si="134"/>
        <v>2.3770919700996536</v>
      </c>
      <c r="BN43" s="72">
        <f t="shared" ca="1" si="135"/>
        <v>4.5927549952398516</v>
      </c>
      <c r="BO43" s="72">
        <f t="shared" ca="1" si="136"/>
        <v>0.37715546217525658</v>
      </c>
      <c r="BP43" s="72">
        <f t="shared" ca="1" si="137"/>
        <v>4.2014233426501688</v>
      </c>
      <c r="BQ43" s="72">
        <f t="shared" ca="1" si="138"/>
        <v>3.6096735760797229</v>
      </c>
      <c r="BR43" s="72">
        <f t="shared" ca="1" si="139"/>
        <v>3.5461535947388279</v>
      </c>
      <c r="BS43" s="72">
        <f t="shared" ca="1" si="140"/>
        <v>3.9594685340013651</v>
      </c>
      <c r="BT43" s="72">
        <f t="shared" ca="1" si="141"/>
        <v>0.3380430438756003</v>
      </c>
      <c r="BU43" s="72">
        <f t="shared" ca="1" si="142"/>
        <v>4.2014233426501688</v>
      </c>
      <c r="BV43" s="72">
        <f t="shared" ca="1" si="143"/>
        <v>3.6096735760797229</v>
      </c>
      <c r="BW43" s="72">
        <f t="shared" ca="1" si="144"/>
        <v>4.9178525676487919</v>
      </c>
      <c r="BX43" s="72">
        <f t="shared" ca="1" si="145"/>
        <v>3.202401027013738</v>
      </c>
      <c r="BY43" s="72">
        <f t="shared" ca="1" si="146"/>
        <v>0.41347413631065161</v>
      </c>
      <c r="BZ43" s="72">
        <f t="shared" ca="1" si="147"/>
        <v>3.1642601306900309</v>
      </c>
      <c r="CA43" s="72">
        <f t="shared" ca="1" si="148"/>
        <v>2.3615407095800642</v>
      </c>
      <c r="CB43" s="72">
        <f t="shared" ca="1" si="149"/>
        <v>6.6437559289580657</v>
      </c>
      <c r="CC43" s="72">
        <f t="shared" ca="1" si="150"/>
        <v>2.3615407095800642</v>
      </c>
      <c r="CD43" s="72">
        <f t="shared" ca="1" si="151"/>
        <v>3.5797841693952859</v>
      </c>
      <c r="CE43" s="72">
        <f t="shared" ca="1" si="152"/>
        <v>9.8246357608735266</v>
      </c>
      <c r="CF43" s="72">
        <f t="shared" ca="1" si="153"/>
        <v>3.5797841693952859</v>
      </c>
      <c r="CG43" s="72">
        <f t="shared" ca="1" si="154"/>
        <v>1.9484360410652899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190</v>
      </c>
      <c r="D44" t="str">
        <f t="shared" si="74"/>
        <v>IMP</v>
      </c>
      <c r="E44" s="206">
        <f t="shared" si="74"/>
        <v>43884</v>
      </c>
      <c r="F44" s="152">
        <f t="shared" ca="1" si="75"/>
        <v>0.97699348799428654</v>
      </c>
      <c r="G44" s="153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7.2</v>
      </c>
      <c r="K44" s="49">
        <f t="shared" si="80"/>
        <v>1</v>
      </c>
      <c r="L44" s="49">
        <f t="shared" si="81"/>
        <v>3</v>
      </c>
      <c r="M44" s="49">
        <f t="shared" si="82"/>
        <v>6.2</v>
      </c>
      <c r="N44" s="49">
        <f t="shared" si="83"/>
        <v>16.5</v>
      </c>
      <c r="O44" s="153">
        <f t="shared" si="84"/>
        <v>2.625</v>
      </c>
      <c r="P44" s="153">
        <f t="shared" ca="1" si="85"/>
        <v>15.906603963184624</v>
      </c>
      <c r="Q44" s="153">
        <f t="shared" si="86"/>
        <v>0.80500000000000005</v>
      </c>
      <c r="R44" s="153">
        <f t="shared" si="87"/>
        <v>0.97499999999999998</v>
      </c>
      <c r="S44" s="153">
        <f t="shared" ca="1" si="88"/>
        <v>18.37811098330959</v>
      </c>
      <c r="T44" s="72">
        <f t="shared" ca="1" si="89"/>
        <v>4.947237221656188</v>
      </c>
      <c r="U44" s="72">
        <f t="shared" ca="1" si="90"/>
        <v>7.5182030391273065</v>
      </c>
      <c r="V44" s="72">
        <f t="shared" ca="1" si="91"/>
        <v>4.947237221656188</v>
      </c>
      <c r="W44" s="72">
        <f t="shared" ca="1" si="92"/>
        <v>7.1585319660648263</v>
      </c>
      <c r="X44" s="72">
        <f t="shared" ca="1" si="93"/>
        <v>13.873123965241911</v>
      </c>
      <c r="Y44" s="72">
        <f t="shared" ca="1" si="94"/>
        <v>3.5792659830324132</v>
      </c>
      <c r="Z44" s="72">
        <f t="shared" ca="1" si="95"/>
        <v>2.1594035037275745</v>
      </c>
      <c r="AA44" s="72">
        <f t="shared" ca="1" si="96"/>
        <v>5.2440408588614424</v>
      </c>
      <c r="AB44" s="72">
        <f t="shared" ca="1" si="97"/>
        <v>10.030268626869901</v>
      </c>
      <c r="AC44" s="72">
        <f t="shared" ca="1" si="98"/>
        <v>2.6220204294307212</v>
      </c>
      <c r="AD44" s="72">
        <f t="shared" ca="1" si="99"/>
        <v>3.4931527266181357</v>
      </c>
      <c r="AE44" s="244">
        <f t="shared" ca="1" si="100"/>
        <v>12.763274048022559</v>
      </c>
      <c r="AF44" s="72">
        <f t="shared" ca="1" si="101"/>
        <v>5.7434733216101508</v>
      </c>
      <c r="AG44" s="72">
        <f t="shared" ca="1" si="102"/>
        <v>1.515211702195399</v>
      </c>
      <c r="AH44" s="244">
        <f t="shared" ca="1" si="103"/>
        <v>1.689396891562243</v>
      </c>
      <c r="AI44" s="72">
        <f t="shared" ca="1" si="104"/>
        <v>10.460335469792401</v>
      </c>
      <c r="AJ44" s="72">
        <f t="shared" ca="1" si="105"/>
        <v>9.8221717673912732</v>
      </c>
      <c r="AK44" s="72">
        <f t="shared" ca="1" si="106"/>
        <v>3.0683117021953992</v>
      </c>
      <c r="AL44" s="72">
        <f t="shared" ca="1" si="107"/>
        <v>1.2954597019896701</v>
      </c>
      <c r="AM44" s="72">
        <f t="shared" ca="1" si="108"/>
        <v>3.7457434706153161</v>
      </c>
      <c r="AN44" s="72">
        <f t="shared" ca="1" si="109"/>
        <v>8.2406356353536943</v>
      </c>
      <c r="AO44" s="72">
        <f t="shared" ca="1" si="110"/>
        <v>1.872871735307658</v>
      </c>
      <c r="AP44" s="72">
        <f t="shared" ca="1" si="111"/>
        <v>8.5650290231883623</v>
      </c>
      <c r="AQ44" s="72">
        <f t="shared" ca="1" si="112"/>
        <v>0.63350611548144831</v>
      </c>
      <c r="AR44" s="72">
        <f t="shared" ca="1" si="113"/>
        <v>1.9814253218158795</v>
      </c>
      <c r="AS44" s="72">
        <f t="shared" ca="1" si="114"/>
        <v>0.31675305774072415</v>
      </c>
      <c r="AT44" s="72">
        <f t="shared" ca="1" si="115"/>
        <v>2.6220204294307212</v>
      </c>
      <c r="AU44" s="72">
        <f t="shared" ca="1" si="116"/>
        <v>5.5492495860967646</v>
      </c>
      <c r="AV44" s="72">
        <f t="shared" ca="1" si="117"/>
        <v>1.3110102147153606</v>
      </c>
      <c r="AW44" s="72">
        <f t="shared" ca="1" si="118"/>
        <v>9.0731239652419102</v>
      </c>
      <c r="AX44" s="72">
        <f t="shared" ca="1" si="119"/>
        <v>1.2329003632062032</v>
      </c>
      <c r="AY44" s="72">
        <f t="shared" ca="1" si="120"/>
        <v>3.3570913048482924</v>
      </c>
      <c r="AZ44" s="72">
        <f t="shared" ca="1" si="121"/>
        <v>0.61645018160310161</v>
      </c>
      <c r="BA44" s="72">
        <f t="shared" ca="1" si="122"/>
        <v>4.0370790738853959</v>
      </c>
      <c r="BB44" s="72">
        <f t="shared" ca="1" si="123"/>
        <v>4.8278471399041845</v>
      </c>
      <c r="BC44" s="72">
        <f t="shared" ca="1" si="124"/>
        <v>7.993422213378123</v>
      </c>
      <c r="BD44" s="72">
        <f t="shared" ca="1" si="125"/>
        <v>3.1842072051000581</v>
      </c>
      <c r="BE44" s="72">
        <f t="shared" ca="1" si="126"/>
        <v>1.1744228756233004</v>
      </c>
      <c r="BF44" s="72">
        <f t="shared" ca="1" si="127"/>
        <v>6.7284651231423265</v>
      </c>
      <c r="BG44" s="72">
        <f t="shared" ca="1" si="128"/>
        <v>3.6625047268238649</v>
      </c>
      <c r="BH44" s="72">
        <f t="shared" ca="1" si="129"/>
        <v>3.4568602307571679</v>
      </c>
      <c r="BI44" s="72">
        <f t="shared" ca="1" si="130"/>
        <v>2.9131103456214298</v>
      </c>
      <c r="BJ44" s="72">
        <f t="shared" ca="1" si="131"/>
        <v>0.25340244619257929</v>
      </c>
      <c r="BK44" s="72">
        <f t="shared" ca="1" si="132"/>
        <v>2.4971623137435439</v>
      </c>
      <c r="BL44" s="72">
        <f t="shared" ca="1" si="133"/>
        <v>0.94337242963644996</v>
      </c>
      <c r="BM44" s="72">
        <f t="shared" ca="1" si="134"/>
        <v>2.7673028093987826</v>
      </c>
      <c r="BN44" s="72">
        <f t="shared" ca="1" si="135"/>
        <v>4.2668374193010958</v>
      </c>
      <c r="BO44" s="72">
        <f t="shared" ca="1" si="136"/>
        <v>0.65787173530765786</v>
      </c>
      <c r="BP44" s="72">
        <f t="shared" ca="1" si="137"/>
        <v>3.9399672061287023</v>
      </c>
      <c r="BQ44" s="72">
        <f t="shared" ca="1" si="138"/>
        <v>3.385042247519026</v>
      </c>
      <c r="BR44" s="72">
        <f t="shared" ca="1" si="139"/>
        <v>4.1282714041850692</v>
      </c>
      <c r="BS44" s="72">
        <f t="shared" ca="1" si="140"/>
        <v>3.6714213534880367</v>
      </c>
      <c r="BT44" s="72">
        <f t="shared" ca="1" si="141"/>
        <v>0.58964799979427107</v>
      </c>
      <c r="BU44" s="72">
        <f t="shared" ca="1" si="142"/>
        <v>3.9399672061287023</v>
      </c>
      <c r="BV44" s="72">
        <f t="shared" ca="1" si="143"/>
        <v>3.385042247519026</v>
      </c>
      <c r="BW44" s="72">
        <f t="shared" ca="1" si="144"/>
        <v>5.725141222067645</v>
      </c>
      <c r="BX44" s="72">
        <f t="shared" ca="1" si="145"/>
        <v>2.9574459488915092</v>
      </c>
      <c r="BY44" s="72">
        <f t="shared" ca="1" si="146"/>
        <v>0.72122234685580267</v>
      </c>
      <c r="BZ44" s="72">
        <f t="shared" ca="1" si="147"/>
        <v>3.6836883298882159</v>
      </c>
      <c r="CA44" s="72">
        <f t="shared" ca="1" si="148"/>
        <v>2.657297585891035</v>
      </c>
      <c r="CB44" s="72">
        <f t="shared" ca="1" si="149"/>
        <v>7.3527375848623908</v>
      </c>
      <c r="CC44" s="72">
        <f t="shared" ca="1" si="150"/>
        <v>2.657297585891035</v>
      </c>
      <c r="CD44" s="72">
        <f t="shared" ca="1" si="151"/>
        <v>3.4319379234671956</v>
      </c>
      <c r="CE44" s="72">
        <f t="shared" ca="1" si="152"/>
        <v>9.8713067084161743</v>
      </c>
      <c r="CF44" s="72">
        <f t="shared" ca="1" si="153"/>
        <v>3.4319379234671956</v>
      </c>
      <c r="CG44" s="72">
        <f t="shared" ca="1" si="154"/>
        <v>2.2682809913104776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213</v>
      </c>
      <c r="D45" t="str">
        <f t="shared" si="74"/>
        <v>RAP</v>
      </c>
      <c r="E45" s="206">
        <f t="shared" si="74"/>
        <v>43739</v>
      </c>
      <c r="F45" s="152">
        <f t="shared" ca="1" si="75"/>
        <v>1</v>
      </c>
      <c r="G45" s="153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7.3</v>
      </c>
      <c r="K45" s="49">
        <f t="shared" si="80"/>
        <v>3</v>
      </c>
      <c r="L45" s="49">
        <f t="shared" si="81"/>
        <v>3</v>
      </c>
      <c r="M45" s="49">
        <f t="shared" si="82"/>
        <v>5.25</v>
      </c>
      <c r="N45" s="49">
        <f t="shared" si="83"/>
        <v>15.666666666666666</v>
      </c>
      <c r="O45" s="153">
        <f t="shared" si="84"/>
        <v>2.625</v>
      </c>
      <c r="P45" s="153">
        <f t="shared" ca="1" si="85"/>
        <v>13.922115021383911</v>
      </c>
      <c r="Q45" s="153">
        <f t="shared" si="86"/>
        <v>0.73249999999999993</v>
      </c>
      <c r="R45" s="153">
        <f t="shared" si="87"/>
        <v>0.95</v>
      </c>
      <c r="S45" s="153">
        <f t="shared" ca="1" si="88"/>
        <v>17.562797143914288</v>
      </c>
      <c r="T45" s="72">
        <f t="shared" ca="1" si="89"/>
        <v>4.9673219066371761</v>
      </c>
      <c r="U45" s="72">
        <f t="shared" ca="1" si="90"/>
        <v>7.5479044461266813</v>
      </c>
      <c r="V45" s="72">
        <f t="shared" ca="1" si="91"/>
        <v>4.9673219066371761</v>
      </c>
      <c r="W45" s="72">
        <f t="shared" ca="1" si="92"/>
        <v>7.1704033262597742</v>
      </c>
      <c r="X45" s="72">
        <f t="shared" ca="1" si="93"/>
        <v>13.896130477247624</v>
      </c>
      <c r="Y45" s="72">
        <f t="shared" ca="1" si="94"/>
        <v>3.5852016631298871</v>
      </c>
      <c r="Z45" s="72">
        <f t="shared" ca="1" si="95"/>
        <v>2.1886790535849348</v>
      </c>
      <c r="AA45" s="72">
        <f t="shared" ca="1" si="96"/>
        <v>5.2527373203996017</v>
      </c>
      <c r="AB45" s="72">
        <f t="shared" ca="1" si="97"/>
        <v>10.046902335050031</v>
      </c>
      <c r="AC45" s="72">
        <f t="shared" ca="1" si="98"/>
        <v>2.6263686601998009</v>
      </c>
      <c r="AD45" s="72">
        <f t="shared" ca="1" si="99"/>
        <v>3.5405102337403358</v>
      </c>
      <c r="AE45" s="244">
        <f t="shared" ca="1" si="100"/>
        <v>12.784440039067814</v>
      </c>
      <c r="AF45" s="72">
        <f t="shared" ca="1" si="101"/>
        <v>5.7529980175805164</v>
      </c>
      <c r="AG45" s="72">
        <f t="shared" ca="1" si="102"/>
        <v>1.5357537897003535</v>
      </c>
      <c r="AH45" s="244">
        <f t="shared" ca="1" si="103"/>
        <v>2.878924720621602</v>
      </c>
      <c r="AI45" s="72">
        <f t="shared" ca="1" si="104"/>
        <v>10.477682379844708</v>
      </c>
      <c r="AJ45" s="72">
        <f t="shared" ca="1" si="105"/>
        <v>9.8384603778913178</v>
      </c>
      <c r="AK45" s="72">
        <f t="shared" ca="1" si="106"/>
        <v>2.9329871230336861</v>
      </c>
      <c r="AL45" s="72">
        <f t="shared" ca="1" si="107"/>
        <v>1.3020855774473155</v>
      </c>
      <c r="AM45" s="72">
        <f t="shared" ca="1" si="108"/>
        <v>3.7519552288568585</v>
      </c>
      <c r="AN45" s="72">
        <f t="shared" ca="1" si="109"/>
        <v>8.2543015034850882</v>
      </c>
      <c r="AO45" s="72">
        <f t="shared" ca="1" si="110"/>
        <v>1.8759776144284293</v>
      </c>
      <c r="AP45" s="72">
        <f t="shared" ca="1" si="111"/>
        <v>8.6811471705217578</v>
      </c>
      <c r="AQ45" s="72">
        <f t="shared" ca="1" si="112"/>
        <v>0.63649696204219097</v>
      </c>
      <c r="AR45" s="72">
        <f t="shared" ca="1" si="113"/>
        <v>1.8238162298335534</v>
      </c>
      <c r="AS45" s="72">
        <f t="shared" ca="1" si="114"/>
        <v>0.31824848102109549</v>
      </c>
      <c r="AT45" s="72">
        <f t="shared" ca="1" si="115"/>
        <v>2.6263686601998009</v>
      </c>
      <c r="AU45" s="72">
        <f t="shared" ca="1" si="116"/>
        <v>5.5584521908990503</v>
      </c>
      <c r="AV45" s="72">
        <f t="shared" ca="1" si="117"/>
        <v>1.3131843300999004</v>
      </c>
      <c r="AW45" s="72">
        <f t="shared" ca="1" si="118"/>
        <v>9.1961304772476247</v>
      </c>
      <c r="AX45" s="72">
        <f t="shared" ca="1" si="119"/>
        <v>1.2387210107436486</v>
      </c>
      <c r="AY45" s="72">
        <f t="shared" ca="1" si="120"/>
        <v>3.17026789296344</v>
      </c>
      <c r="AZ45" s="72">
        <f t="shared" ca="1" si="121"/>
        <v>0.6193605053718243</v>
      </c>
      <c r="BA45" s="72">
        <f t="shared" ca="1" si="122"/>
        <v>4.0437739688790586</v>
      </c>
      <c r="BB45" s="72">
        <f t="shared" ca="1" si="123"/>
        <v>4.8358534060821725</v>
      </c>
      <c r="BC45" s="72">
        <f t="shared" ca="1" si="124"/>
        <v>8.1017909504551575</v>
      </c>
      <c r="BD45" s="72">
        <f t="shared" ca="1" si="125"/>
        <v>4.3526599942731368</v>
      </c>
      <c r="BE45" s="72">
        <f t="shared" ca="1" si="126"/>
        <v>1.1799674450166771</v>
      </c>
      <c r="BF45" s="72">
        <f t="shared" ca="1" si="127"/>
        <v>6.7396232814650974</v>
      </c>
      <c r="BG45" s="72">
        <f t="shared" ca="1" si="128"/>
        <v>3.668578445993373</v>
      </c>
      <c r="BH45" s="72">
        <f t="shared" ca="1" si="129"/>
        <v>3.5037257118313452</v>
      </c>
      <c r="BI45" s="72">
        <f t="shared" ca="1" si="130"/>
        <v>4.2792180371144228</v>
      </c>
      <c r="BJ45" s="72">
        <f t="shared" ca="1" si="131"/>
        <v>0.25459878481687637</v>
      </c>
      <c r="BK45" s="72">
        <f t="shared" ca="1" si="132"/>
        <v>2.5013034859045722</v>
      </c>
      <c r="BL45" s="72">
        <f t="shared" ca="1" si="133"/>
        <v>0.94493687245283853</v>
      </c>
      <c r="BM45" s="72">
        <f t="shared" ca="1" si="134"/>
        <v>2.8048197955605256</v>
      </c>
      <c r="BN45" s="72">
        <f t="shared" ca="1" si="135"/>
        <v>6.296423793740443</v>
      </c>
      <c r="BO45" s="72">
        <f t="shared" ca="1" si="136"/>
        <v>0.66097761442842917</v>
      </c>
      <c r="BP45" s="72">
        <f t="shared" ca="1" si="137"/>
        <v>3.9465010555383246</v>
      </c>
      <c r="BQ45" s="72">
        <f t="shared" ca="1" si="138"/>
        <v>3.3906558364484201</v>
      </c>
      <c r="BR45" s="72">
        <f t="shared" ca="1" si="139"/>
        <v>4.1842393671476694</v>
      </c>
      <c r="BS45" s="72">
        <f t="shared" ca="1" si="140"/>
        <v>5.4249125687903659</v>
      </c>
      <c r="BT45" s="72">
        <f t="shared" ca="1" si="141"/>
        <v>0.59243178774696237</v>
      </c>
      <c r="BU45" s="72">
        <f t="shared" ca="1" si="142"/>
        <v>3.9465010555383246</v>
      </c>
      <c r="BV45" s="72">
        <f t="shared" ca="1" si="143"/>
        <v>3.3906558364484201</v>
      </c>
      <c r="BW45" s="72">
        <f t="shared" ca="1" si="144"/>
        <v>5.8027583311432513</v>
      </c>
      <c r="BX45" s="72">
        <f t="shared" ca="1" si="145"/>
        <v>4.3820367771366229</v>
      </c>
      <c r="BY45" s="72">
        <f t="shared" ca="1" si="146"/>
        <v>0.72462731063264818</v>
      </c>
      <c r="BZ45" s="72">
        <f t="shared" ca="1" si="147"/>
        <v>3.7336289737625359</v>
      </c>
      <c r="CA45" s="72">
        <f t="shared" ca="1" si="148"/>
        <v>2.8366339786460113</v>
      </c>
      <c r="CB45" s="72">
        <f t="shared" ca="1" si="149"/>
        <v>6.8247929173808233</v>
      </c>
      <c r="CC45" s="72">
        <f t="shared" ca="1" si="150"/>
        <v>2.8366339786460113</v>
      </c>
      <c r="CD45" s="72">
        <f t="shared" ca="1" si="151"/>
        <v>3.6352892873252691</v>
      </c>
      <c r="CE45" s="72">
        <f t="shared" ca="1" si="152"/>
        <v>8.9528026233519959</v>
      </c>
      <c r="CF45" s="72">
        <f t="shared" ca="1" si="153"/>
        <v>3.6352892873252691</v>
      </c>
      <c r="CG45" s="72">
        <f t="shared" ca="1" si="154"/>
        <v>2.2990326193119062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202</v>
      </c>
      <c r="D46">
        <f t="shared" si="74"/>
        <v>0</v>
      </c>
      <c r="E46" s="206">
        <f t="shared" si="74"/>
        <v>43756</v>
      </c>
      <c r="F46" s="152">
        <f t="shared" ca="1" si="75"/>
        <v>1</v>
      </c>
      <c r="G46" s="153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6.125</v>
      </c>
      <c r="K46" s="49">
        <f t="shared" si="80"/>
        <v>3</v>
      </c>
      <c r="L46" s="49">
        <f t="shared" si="81"/>
        <v>5</v>
      </c>
      <c r="M46" s="49">
        <f t="shared" si="82"/>
        <v>6.2</v>
      </c>
      <c r="N46" s="49">
        <f t="shared" si="83"/>
        <v>17.25</v>
      </c>
      <c r="O46" s="153">
        <f t="shared" si="84"/>
        <v>3.125</v>
      </c>
      <c r="P46" s="153">
        <f t="shared" ca="1" si="85"/>
        <v>16.063801080250748</v>
      </c>
      <c r="Q46" s="153">
        <f t="shared" si="86"/>
        <v>0.82750000000000001</v>
      </c>
      <c r="R46" s="153">
        <f t="shared" si="87"/>
        <v>0.99750000000000016</v>
      </c>
      <c r="S46" s="153">
        <f t="shared" ca="1" si="88"/>
        <v>19.007602298755994</v>
      </c>
      <c r="T46" s="72">
        <f t="shared" ca="1" si="89"/>
        <v>4.8463868068139817</v>
      </c>
      <c r="U46" s="72">
        <f t="shared" ca="1" si="90"/>
        <v>7.3690645676939877</v>
      </c>
      <c r="V46" s="72">
        <f t="shared" ca="1" si="91"/>
        <v>4.8463868068139817</v>
      </c>
      <c r="W46" s="72">
        <f t="shared" ca="1" si="92"/>
        <v>7.0989227861580924</v>
      </c>
      <c r="X46" s="72">
        <f t="shared" ca="1" si="93"/>
        <v>13.757602298755993</v>
      </c>
      <c r="Y46" s="72">
        <f t="shared" ca="1" si="94"/>
        <v>3.5494613930790462</v>
      </c>
      <c r="Z46" s="72">
        <f t="shared" ca="1" si="95"/>
        <v>1.8760593471039264</v>
      </c>
      <c r="AA46" s="72">
        <f t="shared" ca="1" si="96"/>
        <v>5.2003736689297657</v>
      </c>
      <c r="AB46" s="72">
        <f t="shared" ca="1" si="97"/>
        <v>9.9467464620005828</v>
      </c>
      <c r="AC46" s="72">
        <f t="shared" ca="1" si="98"/>
        <v>2.6001868344648829</v>
      </c>
      <c r="AD46" s="72">
        <f t="shared" ca="1" si="99"/>
        <v>3.0348018850210576</v>
      </c>
      <c r="AE46" s="244">
        <f t="shared" ca="1" si="100"/>
        <v>12.656994114855515</v>
      </c>
      <c r="AF46" s="72">
        <f t="shared" ca="1" si="101"/>
        <v>5.6956473516849808</v>
      </c>
      <c r="AG46" s="72">
        <f t="shared" ca="1" si="102"/>
        <v>1.3163945838922511</v>
      </c>
      <c r="AH46" s="244">
        <f t="shared" ca="1" si="103"/>
        <v>2.7974701516685241</v>
      </c>
      <c r="AI46" s="72">
        <f t="shared" ca="1" si="104"/>
        <v>10.373232133262018</v>
      </c>
      <c r="AJ46" s="72">
        <f t="shared" ca="1" si="105"/>
        <v>9.7403824275192417</v>
      </c>
      <c r="AK46" s="72">
        <f t="shared" ca="1" si="106"/>
        <v>3.1742695838922512</v>
      </c>
      <c r="AL46" s="72">
        <f t="shared" ca="1" si="107"/>
        <v>1.4061894620417261</v>
      </c>
      <c r="AM46" s="72">
        <f t="shared" ca="1" si="108"/>
        <v>3.7145526206641182</v>
      </c>
      <c r="AN46" s="72">
        <f t="shared" ca="1" si="109"/>
        <v>8.1720157654610599</v>
      </c>
      <c r="AO46" s="72">
        <f t="shared" ca="1" si="110"/>
        <v>1.8572763103320591</v>
      </c>
      <c r="AP46" s="72">
        <f t="shared" ca="1" si="111"/>
        <v>7.4411765700256574</v>
      </c>
      <c r="AQ46" s="72">
        <f t="shared" ca="1" si="112"/>
        <v>0.87848829883827917</v>
      </c>
      <c r="AR46" s="72">
        <f t="shared" ca="1" si="113"/>
        <v>2.187577473535506</v>
      </c>
      <c r="AS46" s="72">
        <f t="shared" ca="1" si="114"/>
        <v>0.43924414941913958</v>
      </c>
      <c r="AT46" s="72">
        <f t="shared" ca="1" si="115"/>
        <v>2.6001868344648829</v>
      </c>
      <c r="AU46" s="72">
        <f t="shared" ca="1" si="116"/>
        <v>5.5030409195023973</v>
      </c>
      <c r="AV46" s="72">
        <f t="shared" ca="1" si="117"/>
        <v>1.3000934172324414</v>
      </c>
      <c r="AW46" s="72">
        <f t="shared" ca="1" si="118"/>
        <v>7.8826022987559936</v>
      </c>
      <c r="AX46" s="72">
        <f t="shared" ca="1" si="119"/>
        <v>1.7096733815852665</v>
      </c>
      <c r="AY46" s="72">
        <f t="shared" ca="1" si="120"/>
        <v>3.9754388666145526</v>
      </c>
      <c r="AZ46" s="72">
        <f t="shared" ca="1" si="121"/>
        <v>0.85483669079263325</v>
      </c>
      <c r="BA46" s="72">
        <f t="shared" ca="1" si="122"/>
        <v>4.0034622689379935</v>
      </c>
      <c r="BB46" s="72">
        <f t="shared" ca="1" si="123"/>
        <v>4.7876455999670853</v>
      </c>
      <c r="BC46" s="72">
        <f t="shared" ca="1" si="124"/>
        <v>6.9445726252040307</v>
      </c>
      <c r="BD46" s="72">
        <f t="shared" ca="1" si="125"/>
        <v>4.8595084435940779</v>
      </c>
      <c r="BE46" s="72">
        <f t="shared" ca="1" si="126"/>
        <v>1.6285821540001943</v>
      </c>
      <c r="BF46" s="72">
        <f t="shared" ca="1" si="127"/>
        <v>6.6724371148966561</v>
      </c>
      <c r="BG46" s="72">
        <f t="shared" ca="1" si="128"/>
        <v>3.6320070068715822</v>
      </c>
      <c r="BH46" s="72">
        <f t="shared" ca="1" si="129"/>
        <v>3.0032714758260335</v>
      </c>
      <c r="BI46" s="72">
        <f t="shared" ca="1" si="130"/>
        <v>4.5601444091127386</v>
      </c>
      <c r="BJ46" s="72">
        <f t="shared" ca="1" si="131"/>
        <v>0.35139531953531167</v>
      </c>
      <c r="BK46" s="72">
        <f t="shared" ca="1" si="132"/>
        <v>2.4763684137760786</v>
      </c>
      <c r="BL46" s="72">
        <f t="shared" ca="1" si="133"/>
        <v>0.93551695631540754</v>
      </c>
      <c r="BM46" s="72">
        <f t="shared" ca="1" si="134"/>
        <v>2.4041937011205778</v>
      </c>
      <c r="BN46" s="72">
        <f t="shared" ca="1" si="135"/>
        <v>6.6902765562002076</v>
      </c>
      <c r="BO46" s="72">
        <f t="shared" ca="1" si="136"/>
        <v>0.91227631033205925</v>
      </c>
      <c r="BP46" s="72">
        <f t="shared" ca="1" si="137"/>
        <v>3.9071590528467017</v>
      </c>
      <c r="BQ46" s="72">
        <f t="shared" ca="1" si="138"/>
        <v>3.3568549608964622</v>
      </c>
      <c r="BR46" s="72">
        <f t="shared" ca="1" si="139"/>
        <v>3.5865840459339773</v>
      </c>
      <c r="BS46" s="72">
        <f t="shared" ca="1" si="140"/>
        <v>5.7594233470216416</v>
      </c>
      <c r="BT46" s="72">
        <f t="shared" ca="1" si="141"/>
        <v>0.81766987814947523</v>
      </c>
      <c r="BU46" s="72">
        <f t="shared" ca="1" si="142"/>
        <v>3.9071590528467017</v>
      </c>
      <c r="BV46" s="72">
        <f t="shared" ca="1" si="143"/>
        <v>3.3568549608964622</v>
      </c>
      <c r="BW46" s="72">
        <f t="shared" ca="1" si="144"/>
        <v>4.9739220505150321</v>
      </c>
      <c r="BX46" s="72">
        <f t="shared" ca="1" si="145"/>
        <v>4.6440540573866143</v>
      </c>
      <c r="BY46" s="72">
        <f t="shared" ca="1" si="146"/>
        <v>1.0001251402158871</v>
      </c>
      <c r="BZ46" s="72">
        <f t="shared" ca="1" si="147"/>
        <v>3.2003365332949336</v>
      </c>
      <c r="CA46" s="72">
        <f t="shared" ca="1" si="148"/>
        <v>3.3851107976518726</v>
      </c>
      <c r="CB46" s="72">
        <f t="shared" ca="1" si="149"/>
        <v>8.3086601883992497</v>
      </c>
      <c r="CC46" s="72">
        <f t="shared" ca="1" si="150"/>
        <v>3.3851107976518726</v>
      </c>
      <c r="CD46" s="72">
        <f t="shared" ca="1" si="151"/>
        <v>4.079986232124984</v>
      </c>
      <c r="CE46" s="72">
        <f t="shared" ca="1" si="152"/>
        <v>10.451157546996956</v>
      </c>
      <c r="CF46" s="72">
        <f t="shared" ca="1" si="153"/>
        <v>4.079986232124984</v>
      </c>
      <c r="CG46" s="72">
        <f t="shared" ca="1" si="154"/>
        <v>1.9706505746889984</v>
      </c>
    </row>
    <row r="47" spans="1:85" x14ac:dyDescent="0.25">
      <c r="A47" t="str">
        <f t="shared" ref="A47:E56" si="155">A13</f>
        <v>S. Embe</v>
      </c>
      <c r="B47">
        <f t="shared" si="155"/>
        <v>23</v>
      </c>
      <c r="C47" s="50">
        <f t="shared" ca="1" si="155"/>
        <v>146</v>
      </c>
      <c r="D47">
        <f t="shared" si="155"/>
        <v>0</v>
      </c>
      <c r="E47" s="206">
        <f t="shared" si="155"/>
        <v>43920</v>
      </c>
      <c r="F47" s="152">
        <f t="shared" ca="1" si="75"/>
        <v>0.90605394289764585</v>
      </c>
      <c r="G47" s="153">
        <f t="shared" si="76"/>
        <v>3</v>
      </c>
      <c r="H47" s="49">
        <f t="shared" si="77"/>
        <v>0</v>
      </c>
      <c r="I47" s="49">
        <f t="shared" si="78"/>
        <v>11</v>
      </c>
      <c r="J47" s="49">
        <f t="shared" si="79"/>
        <v>5.083333333333333</v>
      </c>
      <c r="K47" s="49">
        <f t="shared" si="80"/>
        <v>1</v>
      </c>
      <c r="L47" s="49">
        <f t="shared" si="81"/>
        <v>5</v>
      </c>
      <c r="M47" s="49">
        <f t="shared" si="82"/>
        <v>6.2</v>
      </c>
      <c r="N47" s="49">
        <f t="shared" si="83"/>
        <v>18.2</v>
      </c>
      <c r="O47" s="153">
        <f t="shared" si="84"/>
        <v>3</v>
      </c>
      <c r="P47" s="153">
        <f t="shared" ca="1" si="85"/>
        <v>16.110296511044403</v>
      </c>
      <c r="Q47" s="153">
        <f t="shared" si="86"/>
        <v>0.85600000000000009</v>
      </c>
      <c r="R47" s="153">
        <f t="shared" si="87"/>
        <v>0.98599999999999999</v>
      </c>
      <c r="S47" s="153">
        <f t="shared" ca="1" si="88"/>
        <v>19.761981772732099</v>
      </c>
      <c r="T47" s="72">
        <f t="shared" ca="1" si="89"/>
        <v>4.3823542326433325</v>
      </c>
      <c r="U47" s="72">
        <f t="shared" ca="1" si="90"/>
        <v>6.6660003600716404</v>
      </c>
      <c r="V47" s="72">
        <f t="shared" ca="1" si="91"/>
        <v>4.3823542326433325</v>
      </c>
      <c r="W47" s="72">
        <f t="shared" ca="1" si="92"/>
        <v>6.471783257782314</v>
      </c>
      <c r="X47" s="72">
        <f t="shared" ca="1" si="93"/>
        <v>12.542215615857197</v>
      </c>
      <c r="Y47" s="72">
        <f t="shared" ca="1" si="94"/>
        <v>3.235891628891157</v>
      </c>
      <c r="Z47" s="72">
        <f t="shared" ca="1" si="95"/>
        <v>1.5768806499073458</v>
      </c>
      <c r="AA47" s="72">
        <f t="shared" ca="1" si="96"/>
        <v>4.7409575027940205</v>
      </c>
      <c r="AB47" s="72">
        <f t="shared" ca="1" si="97"/>
        <v>9.0680218902647525</v>
      </c>
      <c r="AC47" s="72">
        <f t="shared" ca="1" si="98"/>
        <v>2.3704787513970103</v>
      </c>
      <c r="AD47" s="72">
        <f t="shared" ca="1" si="99"/>
        <v>2.5508363454383538</v>
      </c>
      <c r="AE47" s="244">
        <f t="shared" ca="1" si="100"/>
        <v>11.538838366588621</v>
      </c>
      <c r="AF47" s="72">
        <f t="shared" ca="1" si="101"/>
        <v>5.1924772649648796</v>
      </c>
      <c r="AG47" s="72">
        <f t="shared" ca="1" si="102"/>
        <v>1.1064666745148184</v>
      </c>
      <c r="AH47" s="244">
        <f t="shared" ca="1" si="103"/>
        <v>1.494822782124031</v>
      </c>
      <c r="AI47" s="72">
        <f t="shared" ca="1" si="104"/>
        <v>9.4568305743563261</v>
      </c>
      <c r="AJ47" s="72">
        <f t="shared" ca="1" si="105"/>
        <v>8.8798886560268944</v>
      </c>
      <c r="AK47" s="72">
        <f t="shared" ca="1" si="106"/>
        <v>3.2969500078481517</v>
      </c>
      <c r="AL47" s="72">
        <f t="shared" ca="1" si="107"/>
        <v>1.3081580973668723</v>
      </c>
      <c r="AM47" s="72">
        <f t="shared" ca="1" si="108"/>
        <v>3.3863982162814432</v>
      </c>
      <c r="AN47" s="72">
        <f t="shared" ca="1" si="109"/>
        <v>7.4500760758191742</v>
      </c>
      <c r="AO47" s="72">
        <f t="shared" ca="1" si="110"/>
        <v>1.6931991081407216</v>
      </c>
      <c r="AP47" s="72">
        <f t="shared" ca="1" si="111"/>
        <v>6.2545182080358588</v>
      </c>
      <c r="AQ47" s="72">
        <f t="shared" ca="1" si="112"/>
        <v>0.85048803006143547</v>
      </c>
      <c r="AR47" s="72">
        <f t="shared" ca="1" si="113"/>
        <v>2.1244691754461584</v>
      </c>
      <c r="AS47" s="72">
        <f t="shared" ca="1" si="114"/>
        <v>0.42524401503071774</v>
      </c>
      <c r="AT47" s="72">
        <f t="shared" ca="1" si="115"/>
        <v>2.3704787513970103</v>
      </c>
      <c r="AU47" s="72">
        <f t="shared" ca="1" si="116"/>
        <v>5.0168862463428789</v>
      </c>
      <c r="AV47" s="72">
        <f t="shared" ca="1" si="117"/>
        <v>1.1852393756985051</v>
      </c>
      <c r="AW47" s="72">
        <f t="shared" ca="1" si="118"/>
        <v>6.6255489491905291</v>
      </c>
      <c r="AX47" s="72">
        <f t="shared" ca="1" si="119"/>
        <v>1.6551805508118707</v>
      </c>
      <c r="AY47" s="72">
        <f t="shared" ca="1" si="120"/>
        <v>3.8567608043373154</v>
      </c>
      <c r="AZ47" s="72">
        <f t="shared" ca="1" si="121"/>
        <v>0.82759027540593533</v>
      </c>
      <c r="BA47" s="72">
        <f t="shared" ca="1" si="122"/>
        <v>3.6497847442144442</v>
      </c>
      <c r="BB47" s="72">
        <f t="shared" ca="1" si="123"/>
        <v>4.3646910343183043</v>
      </c>
      <c r="BC47" s="72">
        <f t="shared" ca="1" si="124"/>
        <v>5.8371086242368557</v>
      </c>
      <c r="BD47" s="72">
        <f t="shared" ca="1" si="125"/>
        <v>3.5200296824970474</v>
      </c>
      <c r="BE47" s="72">
        <f t="shared" ca="1" si="126"/>
        <v>1.5766739634215843</v>
      </c>
      <c r="BF47" s="72">
        <f t="shared" ca="1" si="127"/>
        <v>6.0829745736907403</v>
      </c>
      <c r="BG47" s="72">
        <f t="shared" ca="1" si="128"/>
        <v>3.3111449225863003</v>
      </c>
      <c r="BH47" s="72">
        <f t="shared" ca="1" si="129"/>
        <v>2.5243341496415916</v>
      </c>
      <c r="BI47" s="72">
        <f t="shared" ca="1" si="130"/>
        <v>3.0258964482591892</v>
      </c>
      <c r="BJ47" s="72">
        <f t="shared" ca="1" si="131"/>
        <v>0.3401952120245742</v>
      </c>
      <c r="BK47" s="72">
        <f t="shared" ca="1" si="132"/>
        <v>2.2575988108542955</v>
      </c>
      <c r="BL47" s="72">
        <f t="shared" ca="1" si="133"/>
        <v>0.85287066187828942</v>
      </c>
      <c r="BM47" s="72">
        <f t="shared" ca="1" si="134"/>
        <v>2.0207924295031114</v>
      </c>
      <c r="BN47" s="72">
        <f t="shared" ca="1" si="135"/>
        <v>4.4132892819923537</v>
      </c>
      <c r="BO47" s="72">
        <f t="shared" ca="1" si="136"/>
        <v>0.88319910814072156</v>
      </c>
      <c r="BP47" s="72">
        <f t="shared" ca="1" si="137"/>
        <v>3.5619892349034434</v>
      </c>
      <c r="BQ47" s="72">
        <f t="shared" ca="1" si="138"/>
        <v>3.0603006102691559</v>
      </c>
      <c r="BR47" s="72">
        <f t="shared" ca="1" si="139"/>
        <v>3.014624771881691</v>
      </c>
      <c r="BS47" s="72">
        <f t="shared" ca="1" si="140"/>
        <v>3.7927749023697723</v>
      </c>
      <c r="BT47" s="72">
        <f t="shared" ca="1" si="141"/>
        <v>0.79160808951872075</v>
      </c>
      <c r="BU47" s="72">
        <f t="shared" ca="1" si="142"/>
        <v>3.5619892349034434</v>
      </c>
      <c r="BV47" s="72">
        <f t="shared" ca="1" si="143"/>
        <v>3.0603006102691559</v>
      </c>
      <c r="BW47" s="72">
        <f t="shared" ca="1" si="144"/>
        <v>4.1807213869392239</v>
      </c>
      <c r="BX47" s="72">
        <f t="shared" ca="1" si="145"/>
        <v>3.0472829761921902</v>
      </c>
      <c r="BY47" s="72">
        <f t="shared" ca="1" si="146"/>
        <v>0.96824791114686493</v>
      </c>
      <c r="BZ47" s="72">
        <f t="shared" ca="1" si="147"/>
        <v>2.6899728733713548</v>
      </c>
      <c r="CA47" s="72">
        <f t="shared" ca="1" si="148"/>
        <v>2.9848943358615991</v>
      </c>
      <c r="CB47" s="72">
        <f t="shared" ca="1" si="149"/>
        <v>8.0661347834552029</v>
      </c>
      <c r="CC47" s="72">
        <f t="shared" ca="1" si="150"/>
        <v>2.9848943358615991</v>
      </c>
      <c r="CD47" s="72">
        <f t="shared" ca="1" si="151"/>
        <v>3.5282263035256451</v>
      </c>
      <c r="CE47" s="72">
        <f t="shared" ca="1" si="152"/>
        <v>10.156293178108502</v>
      </c>
      <c r="CF47" s="72">
        <f t="shared" ca="1" si="153"/>
        <v>3.5282263035256451</v>
      </c>
      <c r="CG47" s="72">
        <f t="shared" ca="1" si="154"/>
        <v>1.6563872372976323</v>
      </c>
    </row>
    <row r="48" spans="1:85" x14ac:dyDescent="0.25">
      <c r="A48" t="str">
        <f t="shared" si="155"/>
        <v>E. Deus</v>
      </c>
      <c r="B48">
        <f t="shared" si="155"/>
        <v>22</v>
      </c>
      <c r="C48" s="50">
        <f t="shared" ca="1" si="155"/>
        <v>129</v>
      </c>
      <c r="D48" t="str">
        <f t="shared" si="155"/>
        <v>IMP</v>
      </c>
      <c r="E48" s="206">
        <f t="shared" si="155"/>
        <v>43898</v>
      </c>
      <c r="F48" s="152">
        <f t="shared" ca="1" si="75"/>
        <v>0.94976103133873535</v>
      </c>
      <c r="G48" s="153">
        <f t="shared" si="76"/>
        <v>4</v>
      </c>
      <c r="H48" s="49">
        <f t="shared" si="77"/>
        <v>0</v>
      </c>
      <c r="I48" s="49">
        <f t="shared" si="78"/>
        <v>11</v>
      </c>
      <c r="J48" s="49">
        <f t="shared" si="79"/>
        <v>7.2333333333333325</v>
      </c>
      <c r="K48" s="49">
        <f t="shared" si="80"/>
        <v>1</v>
      </c>
      <c r="L48" s="49">
        <f t="shared" si="81"/>
        <v>6</v>
      </c>
      <c r="M48" s="49">
        <f t="shared" si="82"/>
        <v>5.25</v>
      </c>
      <c r="N48" s="49">
        <f t="shared" si="83"/>
        <v>16.75</v>
      </c>
      <c r="O48" s="153">
        <f t="shared" si="84"/>
        <v>3.25</v>
      </c>
      <c r="P48" s="153">
        <f t="shared" ca="1" si="85"/>
        <v>14.200541987038333</v>
      </c>
      <c r="Q48" s="153">
        <f t="shared" si="86"/>
        <v>0.7649999999999999</v>
      </c>
      <c r="R48" s="153">
        <f t="shared" si="87"/>
        <v>0.94250000000000012</v>
      </c>
      <c r="S48" s="153">
        <f t="shared" ca="1" si="88"/>
        <v>18.513277262434631</v>
      </c>
      <c r="T48" s="72">
        <f t="shared" ca="1" si="89"/>
        <v>4.5659392102644638</v>
      </c>
      <c r="U48" s="72">
        <f t="shared" ca="1" si="90"/>
        <v>6.9374874231975063</v>
      </c>
      <c r="V48" s="72">
        <f t="shared" ca="1" si="91"/>
        <v>4.5659392102644638</v>
      </c>
      <c r="W48" s="72">
        <f t="shared" ca="1" si="92"/>
        <v>6.580293966204426</v>
      </c>
      <c r="X48" s="72">
        <f t="shared" ca="1" si="93"/>
        <v>12.752507686442685</v>
      </c>
      <c r="Y48" s="72">
        <f t="shared" ca="1" si="94"/>
        <v>3.290146983102213</v>
      </c>
      <c r="Z48" s="72">
        <f t="shared" ca="1" si="95"/>
        <v>2.1386301627066922</v>
      </c>
      <c r="AA48" s="72">
        <f t="shared" ca="1" si="96"/>
        <v>4.8204479054753353</v>
      </c>
      <c r="AB48" s="72">
        <f t="shared" ca="1" si="97"/>
        <v>9.2200630572980611</v>
      </c>
      <c r="AC48" s="72">
        <f t="shared" ca="1" si="98"/>
        <v>2.4102239527376677</v>
      </c>
      <c r="AD48" s="72">
        <f t="shared" ca="1" si="99"/>
        <v>3.4595487926137669</v>
      </c>
      <c r="AE48" s="244">
        <f t="shared" ca="1" si="100"/>
        <v>11.732307071527272</v>
      </c>
      <c r="AF48" s="72">
        <f t="shared" ca="1" si="101"/>
        <v>5.2795381821872711</v>
      </c>
      <c r="AG48" s="72">
        <f t="shared" ca="1" si="102"/>
        <v>1.5006354503025952</v>
      </c>
      <c r="AH48" s="244">
        <f t="shared" ca="1" si="103"/>
        <v>1.6184745196282986</v>
      </c>
      <c r="AI48" s="72">
        <f t="shared" ca="1" si="104"/>
        <v>9.6153907955777846</v>
      </c>
      <c r="AJ48" s="72">
        <f t="shared" ca="1" si="105"/>
        <v>9.0287754420014199</v>
      </c>
      <c r="AK48" s="72">
        <f t="shared" ca="1" si="106"/>
        <v>3.0899187836359285</v>
      </c>
      <c r="AL48" s="72">
        <f t="shared" ca="1" si="107"/>
        <v>1.4407222136954934</v>
      </c>
      <c r="AM48" s="72">
        <f t="shared" ca="1" si="108"/>
        <v>3.4431770753395252</v>
      </c>
      <c r="AN48" s="72">
        <f t="shared" ca="1" si="109"/>
        <v>7.5749895657469546</v>
      </c>
      <c r="AO48" s="72">
        <f t="shared" ca="1" si="110"/>
        <v>1.7215885376697626</v>
      </c>
      <c r="AP48" s="72">
        <f t="shared" ca="1" si="111"/>
        <v>8.4826339226685601</v>
      </c>
      <c r="AQ48" s="72">
        <f t="shared" ca="1" si="112"/>
        <v>1.0078259992375491</v>
      </c>
      <c r="AR48" s="72">
        <f t="shared" ca="1" si="113"/>
        <v>2.1417347521277068</v>
      </c>
      <c r="AS48" s="72">
        <f t="shared" ca="1" si="114"/>
        <v>0.50391299961877456</v>
      </c>
      <c r="AT48" s="72">
        <f t="shared" ca="1" si="115"/>
        <v>2.4102239527376677</v>
      </c>
      <c r="AU48" s="72">
        <f t="shared" ca="1" si="116"/>
        <v>5.1010030745770747</v>
      </c>
      <c r="AV48" s="72">
        <f t="shared" ca="1" si="117"/>
        <v>1.2051119763688338</v>
      </c>
      <c r="AW48" s="72">
        <f t="shared" ca="1" si="118"/>
        <v>8.9858410197760179</v>
      </c>
      <c r="AX48" s="72">
        <f t="shared" ca="1" si="119"/>
        <v>1.9613844446699995</v>
      </c>
      <c r="AY48" s="72">
        <f t="shared" ca="1" si="120"/>
        <v>4.11413173522992</v>
      </c>
      <c r="AZ48" s="72">
        <f t="shared" ca="1" si="121"/>
        <v>0.98069222233499975</v>
      </c>
      <c r="BA48" s="72">
        <f t="shared" ca="1" si="122"/>
        <v>3.7109797367548212</v>
      </c>
      <c r="BB48" s="72">
        <f t="shared" ca="1" si="123"/>
        <v>4.4378726748820538</v>
      </c>
      <c r="BC48" s="72">
        <f t="shared" ca="1" si="124"/>
        <v>7.916525938422672</v>
      </c>
      <c r="BD48" s="72">
        <f t="shared" ca="1" si="125"/>
        <v>4.0219793332475469</v>
      </c>
      <c r="BE48" s="72">
        <f t="shared" ca="1" si="126"/>
        <v>1.8683543524326871</v>
      </c>
      <c r="BF48" s="72">
        <f t="shared" ca="1" si="127"/>
        <v>6.1849662279247024</v>
      </c>
      <c r="BG48" s="72">
        <f t="shared" ca="1" si="128"/>
        <v>3.3666620292208691</v>
      </c>
      <c r="BH48" s="72">
        <f t="shared" ca="1" si="129"/>
        <v>3.4236054285346627</v>
      </c>
      <c r="BI48" s="72">
        <f t="shared" ca="1" si="130"/>
        <v>3.4106917179509066</v>
      </c>
      <c r="BJ48" s="72">
        <f t="shared" ca="1" si="131"/>
        <v>0.40313039969501963</v>
      </c>
      <c r="BK48" s="72">
        <f t="shared" ca="1" si="132"/>
        <v>2.2954513835596835</v>
      </c>
      <c r="BL48" s="72">
        <f t="shared" ca="1" si="133"/>
        <v>0.86717052267810268</v>
      </c>
      <c r="BM48" s="72">
        <f t="shared" ca="1" si="134"/>
        <v>2.7406815110316853</v>
      </c>
      <c r="BN48" s="72">
        <f t="shared" ca="1" si="135"/>
        <v>4.9697248847652933</v>
      </c>
      <c r="BO48" s="72">
        <f t="shared" ca="1" si="136"/>
        <v>1.0465885376697626</v>
      </c>
      <c r="BP48" s="72">
        <f t="shared" ca="1" si="137"/>
        <v>3.6217121829497225</v>
      </c>
      <c r="BQ48" s="72">
        <f t="shared" ca="1" si="138"/>
        <v>3.1116118754920152</v>
      </c>
      <c r="BR48" s="72">
        <f t="shared" ca="1" si="139"/>
        <v>4.0885576639980883</v>
      </c>
      <c r="BS48" s="72">
        <f t="shared" ca="1" si="140"/>
        <v>4.2697785165784952</v>
      </c>
      <c r="BT48" s="72">
        <f t="shared" ca="1" si="141"/>
        <v>0.93805343005956487</v>
      </c>
      <c r="BU48" s="72">
        <f t="shared" ca="1" si="142"/>
        <v>3.6217121829497225</v>
      </c>
      <c r="BV48" s="72">
        <f t="shared" ca="1" si="143"/>
        <v>3.1116118754920152</v>
      </c>
      <c r="BW48" s="72">
        <f t="shared" ca="1" si="144"/>
        <v>5.6700656834786676</v>
      </c>
      <c r="BX48" s="72">
        <f t="shared" ca="1" si="145"/>
        <v>3.428494379366203</v>
      </c>
      <c r="BY48" s="72">
        <f t="shared" ca="1" si="146"/>
        <v>1.1473711375935174</v>
      </c>
      <c r="BZ48" s="72">
        <f t="shared" ca="1" si="147"/>
        <v>3.6482514540290634</v>
      </c>
      <c r="CA48" s="72">
        <f t="shared" ca="1" si="148"/>
        <v>3.2238065046366393</v>
      </c>
      <c r="CB48" s="72">
        <f t="shared" ca="1" si="149"/>
        <v>8.2920736549344642</v>
      </c>
      <c r="CC48" s="72">
        <f t="shared" ca="1" si="150"/>
        <v>3.2238065046366393</v>
      </c>
      <c r="CD48" s="72">
        <f t="shared" ca="1" si="151"/>
        <v>3.5428744205057217</v>
      </c>
      <c r="CE48" s="72">
        <f t="shared" ca="1" si="152"/>
        <v>9.8631830227400368</v>
      </c>
      <c r="CF48" s="72">
        <f t="shared" ca="1" si="153"/>
        <v>3.5428744205057217</v>
      </c>
      <c r="CG48" s="72">
        <f t="shared" ca="1" si="154"/>
        <v>2.2464602549440045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189</v>
      </c>
      <c r="D49" t="str">
        <f t="shared" si="155"/>
        <v>CAB</v>
      </c>
      <c r="E49" s="206">
        <f t="shared" si="155"/>
        <v>43626</v>
      </c>
      <c r="F49" s="152">
        <f t="shared" ca="1" si="75"/>
        <v>1</v>
      </c>
      <c r="G49" s="153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13.222222222222221</v>
      </c>
      <c r="K49" s="49">
        <f t="shared" si="80"/>
        <v>3</v>
      </c>
      <c r="L49" s="49">
        <f t="shared" si="81"/>
        <v>4</v>
      </c>
      <c r="M49" s="49">
        <f t="shared" si="82"/>
        <v>7.2</v>
      </c>
      <c r="N49" s="49">
        <f t="shared" si="83"/>
        <v>17.666666666666668</v>
      </c>
      <c r="O49" s="153">
        <f t="shared" si="84"/>
        <v>1.875</v>
      </c>
      <c r="P49" s="153">
        <f t="shared" ca="1" si="85"/>
        <v>17.501454798687341</v>
      </c>
      <c r="Q49" s="153">
        <f t="shared" si="86"/>
        <v>0.89</v>
      </c>
      <c r="R49" s="153">
        <f t="shared" si="87"/>
        <v>0.69000000000000006</v>
      </c>
      <c r="S49" s="153">
        <f t="shared" ca="1" si="88"/>
        <v>19.219964463961091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3.5165737646449613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5.6885752075139084</v>
      </c>
      <c r="AE49" s="244">
        <f t="shared" ca="1" si="100"/>
        <v>5.1090339735108703</v>
      </c>
      <c r="AF49" s="72">
        <f t="shared" ca="1" si="101"/>
        <v>2.2990652880798912</v>
      </c>
      <c r="AG49" s="72">
        <f t="shared" ca="1" si="102"/>
        <v>2.4675118432592797</v>
      </c>
      <c r="AH49" s="244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3.2097340654815025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13.948090898423711</v>
      </c>
      <c r="AQ49" s="72">
        <f t="shared" ca="1" si="112"/>
        <v>0.72192871364827516</v>
      </c>
      <c r="AR49" s="72">
        <f t="shared" ca="1" si="113"/>
        <v>2.1807162546072658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14.775520019516645</v>
      </c>
      <c r="AX49" s="72">
        <f t="shared" ca="1" si="119"/>
        <v>1.4049843427154893</v>
      </c>
      <c r="AY49" s="72">
        <f t="shared" ca="1" si="120"/>
        <v>3.7318670863092276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13.017233137194165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5.6294731274358414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4.5065336059525762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6.7228616088800734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9.3233531323150025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5.9988611279237585</v>
      </c>
      <c r="CA49" s="72">
        <f t="shared" ca="1" si="148"/>
        <v>3.1556681523903944</v>
      </c>
      <c r="CB49" s="72">
        <f t="shared" ca="1" si="149"/>
        <v>8.1186133197535213</v>
      </c>
      <c r="CC49" s="72">
        <f t="shared" ca="1" si="150"/>
        <v>3.1556681523903944</v>
      </c>
      <c r="CD49" s="72">
        <f t="shared" ca="1" si="151"/>
        <v>4.070704527714426</v>
      </c>
      <c r="CE49" s="72">
        <f t="shared" ca="1" si="152"/>
        <v>10.802464684496066</v>
      </c>
      <c r="CF49" s="72">
        <f t="shared" ca="1" si="153"/>
        <v>4.070704527714426</v>
      </c>
      <c r="CG49" s="72">
        <f t="shared" ca="1" si="154"/>
        <v>3.6938800048791611</v>
      </c>
    </row>
    <row r="50" spans="1:85" x14ac:dyDescent="0.25">
      <c r="A50" t="str">
        <f t="shared" si="155"/>
        <v>I. Stone</v>
      </c>
      <c r="B50">
        <f t="shared" si="155"/>
        <v>22</v>
      </c>
      <c r="C50" s="50">
        <f t="shared" ca="1" si="155"/>
        <v>132</v>
      </c>
      <c r="D50" t="str">
        <f t="shared" si="155"/>
        <v>RAP</v>
      </c>
      <c r="E50" s="206">
        <f t="shared" si="155"/>
        <v>43633</v>
      </c>
      <c r="F50" s="152">
        <f t="shared" ca="1" si="75"/>
        <v>1</v>
      </c>
      <c r="G50" s="153">
        <f t="shared" si="76"/>
        <v>4</v>
      </c>
      <c r="H50" s="49">
        <f t="shared" si="77"/>
        <v>0</v>
      </c>
      <c r="I50" s="49">
        <f t="shared" si="78"/>
        <v>3</v>
      </c>
      <c r="J50" s="49">
        <f t="shared" si="79"/>
        <v>12.222222222222221</v>
      </c>
      <c r="K50" s="49">
        <f t="shared" si="80"/>
        <v>2</v>
      </c>
      <c r="L50" s="49">
        <f t="shared" si="81"/>
        <v>6</v>
      </c>
      <c r="M50" s="49">
        <f t="shared" si="82"/>
        <v>9.1428571428571423</v>
      </c>
      <c r="N50" s="49">
        <f t="shared" si="83"/>
        <v>16.5</v>
      </c>
      <c r="O50" s="153">
        <f t="shared" si="84"/>
        <v>2.25</v>
      </c>
      <c r="P50" s="153">
        <f t="shared" ca="1" si="85"/>
        <v>20.636212964922585</v>
      </c>
      <c r="Q50" s="153">
        <f t="shared" si="86"/>
        <v>0.95214285714285718</v>
      </c>
      <c r="R50" s="153">
        <f t="shared" si="87"/>
        <v>0.61499999999999999</v>
      </c>
      <c r="S50" s="153">
        <f t="shared" ca="1" si="88"/>
        <v>18.302746655103949</v>
      </c>
      <c r="T50" s="72">
        <f t="shared" ca="1" si="89"/>
        <v>2.4017978299057483</v>
      </c>
      <c r="U50" s="72">
        <f t="shared" ca="1" si="90"/>
        <v>3.6023459317391993</v>
      </c>
      <c r="V50" s="72">
        <f t="shared" ca="1" si="91"/>
        <v>2.4017978299057483</v>
      </c>
      <c r="W50" s="72">
        <f t="shared" ca="1" si="92"/>
        <v>2.4782172740336383</v>
      </c>
      <c r="X50" s="72">
        <f t="shared" ca="1" si="93"/>
        <v>4.8027466551039497</v>
      </c>
      <c r="Y50" s="72">
        <f t="shared" ca="1" si="94"/>
        <v>1.2391086370168192</v>
      </c>
      <c r="Z50" s="72">
        <f t="shared" ca="1" si="95"/>
        <v>3.3379425928036288</v>
      </c>
      <c r="AA50" s="72">
        <f t="shared" ca="1" si="96"/>
        <v>1.8154382356292931</v>
      </c>
      <c r="AB50" s="72">
        <f t="shared" ca="1" si="97"/>
        <v>3.4723858316401555</v>
      </c>
      <c r="AC50" s="72">
        <f t="shared" ca="1" si="98"/>
        <v>0.90771911781464654</v>
      </c>
      <c r="AD50" s="72">
        <f t="shared" ca="1" si="99"/>
        <v>5.3996130177705766</v>
      </c>
      <c r="AE50" s="244">
        <f t="shared" ca="1" si="100"/>
        <v>4.4185269226956336</v>
      </c>
      <c r="AF50" s="72">
        <f t="shared" ca="1" si="101"/>
        <v>1.9883371152130351</v>
      </c>
      <c r="AG50" s="72">
        <f t="shared" ca="1" si="102"/>
        <v>2.342169802513471</v>
      </c>
      <c r="AH50" s="244">
        <f t="shared" ca="1" si="103"/>
        <v>2.2360150332011224</v>
      </c>
      <c r="AI50" s="72">
        <f t="shared" ca="1" si="104"/>
        <v>3.6212709779483783</v>
      </c>
      <c r="AJ50" s="72">
        <f t="shared" ca="1" si="105"/>
        <v>3.4003446318135961</v>
      </c>
      <c r="AK50" s="72">
        <f t="shared" ca="1" si="106"/>
        <v>3.0565586914023597</v>
      </c>
      <c r="AL50" s="72">
        <f t="shared" ca="1" si="107"/>
        <v>1.1671910366699374</v>
      </c>
      <c r="AM50" s="72">
        <f t="shared" ca="1" si="108"/>
        <v>1.2967415968780664</v>
      </c>
      <c r="AN50" s="72">
        <f t="shared" ca="1" si="109"/>
        <v>2.8528315131317461</v>
      </c>
      <c r="AO50" s="72">
        <f t="shared" ca="1" si="110"/>
        <v>0.64837079843903322</v>
      </c>
      <c r="AP50" s="72">
        <f t="shared" ca="1" si="111"/>
        <v>13.239570620195906</v>
      </c>
      <c r="AQ50" s="72">
        <f t="shared" ca="1" si="112"/>
        <v>1.0143570651635134</v>
      </c>
      <c r="AR50" s="72">
        <f t="shared" ca="1" si="113"/>
        <v>2.8299190556597429</v>
      </c>
      <c r="AS50" s="72">
        <f t="shared" ca="1" si="114"/>
        <v>0.50717853258175671</v>
      </c>
      <c r="AT50" s="72">
        <f t="shared" ca="1" si="115"/>
        <v>0.90771911781464654</v>
      </c>
      <c r="AU50" s="72">
        <f t="shared" ca="1" si="116"/>
        <v>1.92109866204158</v>
      </c>
      <c r="AV50" s="72">
        <f t="shared" ca="1" si="117"/>
        <v>0.45385955890732327</v>
      </c>
      <c r="AW50" s="72">
        <f t="shared" ca="1" si="118"/>
        <v>14.024968877326172</v>
      </c>
      <c r="AX50" s="72">
        <f t="shared" ca="1" si="119"/>
        <v>1.9740949037412994</v>
      </c>
      <c r="AY50" s="72">
        <f t="shared" ca="1" si="120"/>
        <v>4.9593134069622771</v>
      </c>
      <c r="AZ50" s="72">
        <f t="shared" ca="1" si="121"/>
        <v>0.98704745187064968</v>
      </c>
      <c r="BA50" s="72">
        <f t="shared" ca="1" si="122"/>
        <v>1.3975992766352492</v>
      </c>
      <c r="BB50" s="72">
        <f t="shared" ca="1" si="123"/>
        <v>1.6713558359761744</v>
      </c>
      <c r="BC50" s="72">
        <f t="shared" ca="1" si="124"/>
        <v>12.355997580924358</v>
      </c>
      <c r="BD50" s="72">
        <f t="shared" ca="1" si="125"/>
        <v>4.6406417763874117</v>
      </c>
      <c r="BE50" s="72">
        <f t="shared" ca="1" si="126"/>
        <v>1.8804619438800518</v>
      </c>
      <c r="BF50" s="72">
        <f t="shared" ca="1" si="127"/>
        <v>2.3293321277254155</v>
      </c>
      <c r="BG50" s="72">
        <f t="shared" ca="1" si="128"/>
        <v>1.2679251169474428</v>
      </c>
      <c r="BH50" s="72">
        <f t="shared" ca="1" si="129"/>
        <v>5.3435131422612718</v>
      </c>
      <c r="BI50" s="72">
        <f t="shared" ca="1" si="130"/>
        <v>4.1276005765608526</v>
      </c>
      <c r="BJ50" s="72">
        <f t="shared" ca="1" si="131"/>
        <v>0.40574282606540535</v>
      </c>
      <c r="BK50" s="72">
        <f t="shared" ca="1" si="132"/>
        <v>0.86449439791871097</v>
      </c>
      <c r="BL50" s="72">
        <f t="shared" ca="1" si="133"/>
        <v>0.32658677254706858</v>
      </c>
      <c r="BM50" s="72">
        <f t="shared" ca="1" si="134"/>
        <v>4.2776155075844819</v>
      </c>
      <c r="BN50" s="72">
        <f t="shared" ca="1" si="135"/>
        <v>6.0343321984636793</v>
      </c>
      <c r="BO50" s="72">
        <f t="shared" ca="1" si="136"/>
        <v>1.0533707984390333</v>
      </c>
      <c r="BP50" s="72">
        <f t="shared" ca="1" si="137"/>
        <v>1.3639800500495216</v>
      </c>
      <c r="BQ50" s="72">
        <f t="shared" ca="1" si="138"/>
        <v>1.1718701838453638</v>
      </c>
      <c r="BR50" s="72">
        <f t="shared" ca="1" si="139"/>
        <v>6.3813608391834089</v>
      </c>
      <c r="BS50" s="72">
        <f t="shared" ca="1" si="140"/>
        <v>5.1894432938551764</v>
      </c>
      <c r="BT50" s="72">
        <f t="shared" ca="1" si="141"/>
        <v>0.94413234526757783</v>
      </c>
      <c r="BU50" s="72">
        <f t="shared" ca="1" si="142"/>
        <v>1.3639800500495216</v>
      </c>
      <c r="BV50" s="72">
        <f t="shared" ca="1" si="143"/>
        <v>1.1718701838453638</v>
      </c>
      <c r="BW50" s="72">
        <f t="shared" ca="1" si="144"/>
        <v>8.8497553615928144</v>
      </c>
      <c r="BX50" s="72">
        <f t="shared" ca="1" si="145"/>
        <v>4.1754582563180351</v>
      </c>
      <c r="BY50" s="72">
        <f t="shared" ca="1" si="146"/>
        <v>1.1548065049553844</v>
      </c>
      <c r="BZ50" s="72">
        <f t="shared" ca="1" si="147"/>
        <v>5.6941373641944262</v>
      </c>
      <c r="CA50" s="72">
        <f t="shared" ca="1" si="148"/>
        <v>3.8883738644520149</v>
      </c>
      <c r="CB50" s="72">
        <f t="shared" ca="1" si="149"/>
        <v>10.618178447932763</v>
      </c>
      <c r="CC50" s="72">
        <f t="shared" ca="1" si="150"/>
        <v>3.8883738644520149</v>
      </c>
      <c r="CD50" s="72">
        <f t="shared" ca="1" si="151"/>
        <v>4.7942540232726181</v>
      </c>
      <c r="CE50" s="72">
        <f t="shared" ca="1" si="152"/>
        <v>13.824817313694449</v>
      </c>
      <c r="CF50" s="72">
        <f t="shared" ca="1" si="153"/>
        <v>4.7942540232726181</v>
      </c>
      <c r="CG50" s="72">
        <f t="shared" ca="1" si="154"/>
        <v>3.506242219331543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205</v>
      </c>
      <c r="D51" t="str">
        <f t="shared" si="155"/>
        <v>IMP</v>
      </c>
      <c r="E51" s="206">
        <f t="shared" si="155"/>
        <v>43630</v>
      </c>
      <c r="F51" s="152">
        <f t="shared" ca="1" si="75"/>
        <v>1</v>
      </c>
      <c r="G51" s="153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13.666666666666666</v>
      </c>
      <c r="K51" s="49">
        <f t="shared" si="80"/>
        <v>3</v>
      </c>
      <c r="L51" s="49">
        <f t="shared" si="81"/>
        <v>2</v>
      </c>
      <c r="M51" s="49">
        <f t="shared" si="82"/>
        <v>8.1666666666666661</v>
      </c>
      <c r="N51" s="49">
        <f t="shared" si="83"/>
        <v>15.666666666666666</v>
      </c>
      <c r="O51" s="153">
        <f t="shared" si="84"/>
        <v>1.375</v>
      </c>
      <c r="P51" s="153">
        <f t="shared" ca="1" si="85"/>
        <v>18.457634413584074</v>
      </c>
      <c r="Q51" s="153">
        <f t="shared" si="86"/>
        <v>0.87833333333333319</v>
      </c>
      <c r="R51" s="153">
        <f t="shared" si="87"/>
        <v>0.62999999999999989</v>
      </c>
      <c r="S51" s="153">
        <f t="shared" ca="1" si="88"/>
        <v>17.424268965422659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3.6709760137705927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5.9383435516877237</v>
      </c>
      <c r="AE51" s="244">
        <f t="shared" ca="1" si="100"/>
        <v>5.2969941148555142</v>
      </c>
      <c r="AF51" s="72">
        <f t="shared" ca="1" si="101"/>
        <v>2.3836473516849814</v>
      </c>
      <c r="AG51" s="72">
        <f t="shared" ca="1" si="102"/>
        <v>2.5758529172255842</v>
      </c>
      <c r="AH51" s="244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2.9098529172255843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14.560509903358989</v>
      </c>
      <c r="AQ51" s="72">
        <f t="shared" ca="1" si="112"/>
        <v>0.48848829883827916</v>
      </c>
      <c r="AR51" s="72">
        <f t="shared" ca="1" si="113"/>
        <v>2.1678108068688386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15.424268965422659</v>
      </c>
      <c r="AX51" s="72">
        <f t="shared" ca="1" si="119"/>
        <v>0.95067338158526626</v>
      </c>
      <c r="AY51" s="72">
        <f t="shared" ca="1" si="120"/>
        <v>3.3654388666145523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13.588780958537363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5.8766464758260328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4.7044020344539108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7.0180423792673103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9.7327137171816975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6.2622531999615996</v>
      </c>
      <c r="CA51" s="72">
        <f t="shared" ca="1" si="148"/>
        <v>2.8848774643185391</v>
      </c>
      <c r="CB51" s="72">
        <f t="shared" ca="1" si="149"/>
        <v>7.8262268550659133</v>
      </c>
      <c r="CC51" s="72">
        <f t="shared" ca="1" si="150"/>
        <v>2.8848774643185391</v>
      </c>
      <c r="CD51" s="72">
        <f t="shared" ca="1" si="151"/>
        <v>4.1653195654583168</v>
      </c>
      <c r="CE51" s="72">
        <f t="shared" ca="1" si="152"/>
        <v>11.31082421366362</v>
      </c>
      <c r="CF51" s="72">
        <f t="shared" ca="1" si="153"/>
        <v>4.1653195654583168</v>
      </c>
      <c r="CG51" s="72">
        <f t="shared" ca="1" si="154"/>
        <v>3.8560672413556647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205</v>
      </c>
      <c r="D52" t="str">
        <f t="shared" si="155"/>
        <v>RAP</v>
      </c>
      <c r="E52" s="206">
        <f t="shared" si="155"/>
        <v>43627</v>
      </c>
      <c r="F52" s="152">
        <f t="shared" ca="1" si="75"/>
        <v>1</v>
      </c>
      <c r="G52" s="153">
        <f t="shared" si="76"/>
        <v>4</v>
      </c>
      <c r="H52" s="49">
        <f t="shared" si="77"/>
        <v>0</v>
      </c>
      <c r="I52" s="49">
        <f t="shared" si="78"/>
        <v>2</v>
      </c>
      <c r="J52" s="49">
        <f t="shared" si="79"/>
        <v>13.666666666666666</v>
      </c>
      <c r="K52" s="49">
        <f t="shared" si="80"/>
        <v>5</v>
      </c>
      <c r="L52" s="49">
        <f t="shared" si="81"/>
        <v>4</v>
      </c>
      <c r="M52" s="49">
        <f t="shared" si="82"/>
        <v>8.1666666666666661</v>
      </c>
      <c r="N52" s="49">
        <f t="shared" si="83"/>
        <v>18.166666666666668</v>
      </c>
      <c r="O52" s="153">
        <f t="shared" si="84"/>
        <v>1.625</v>
      </c>
      <c r="P52" s="153">
        <f t="shared" ca="1" si="85"/>
        <v>19.93240344111306</v>
      </c>
      <c r="Q52" s="153">
        <f t="shared" si="86"/>
        <v>0.95333333333333337</v>
      </c>
      <c r="R52" s="153">
        <f t="shared" si="87"/>
        <v>0.625</v>
      </c>
      <c r="S52" s="153">
        <f t="shared" ca="1" si="88"/>
        <v>19.969413321770617</v>
      </c>
      <c r="T52" s="72">
        <f t="shared" ca="1" si="89"/>
        <v>2.1257978299057481</v>
      </c>
      <c r="U52" s="72">
        <f t="shared" ca="1" si="90"/>
        <v>3.177345931739199</v>
      </c>
      <c r="V52" s="72">
        <f t="shared" ca="1" si="91"/>
        <v>2.1257978299057481</v>
      </c>
      <c r="W52" s="72">
        <f t="shared" ca="1" si="92"/>
        <v>1.9622172740336381</v>
      </c>
      <c r="X52" s="72">
        <f t="shared" ca="1" si="93"/>
        <v>3.8027466551039497</v>
      </c>
      <c r="Y52" s="72">
        <f t="shared" ca="1" si="94"/>
        <v>0.98110863701681905</v>
      </c>
      <c r="Z52" s="72">
        <f t="shared" ca="1" si="95"/>
        <v>3.6817203705814068</v>
      </c>
      <c r="AA52" s="72">
        <f t="shared" ca="1" si="96"/>
        <v>1.437438235629293</v>
      </c>
      <c r="AB52" s="72">
        <f t="shared" ca="1" si="97"/>
        <v>2.7493858316401556</v>
      </c>
      <c r="AC52" s="72">
        <f t="shared" ca="1" si="98"/>
        <v>0.71871911781464648</v>
      </c>
      <c r="AD52" s="72">
        <f t="shared" ca="1" si="99"/>
        <v>5.9557241288816876</v>
      </c>
      <c r="AE52" s="244">
        <f t="shared" ca="1" si="100"/>
        <v>3.4985269226956337</v>
      </c>
      <c r="AF52" s="72">
        <f t="shared" ca="1" si="101"/>
        <v>1.5743371152130352</v>
      </c>
      <c r="AG52" s="72">
        <f t="shared" ca="1" si="102"/>
        <v>2.583392024735693</v>
      </c>
      <c r="AH52" s="244">
        <f t="shared" ca="1" si="103"/>
        <v>4.0000150332011222</v>
      </c>
      <c r="AI52" s="72">
        <f t="shared" ca="1" si="104"/>
        <v>2.8672709779483783</v>
      </c>
      <c r="AJ52" s="72">
        <f t="shared" ca="1" si="105"/>
        <v>2.6923446318135964</v>
      </c>
      <c r="AK52" s="72">
        <f t="shared" ca="1" si="106"/>
        <v>3.334892024735693</v>
      </c>
      <c r="AL52" s="72">
        <f t="shared" ca="1" si="107"/>
        <v>0.98719103666993746</v>
      </c>
      <c r="AM52" s="72">
        <f t="shared" ca="1" si="108"/>
        <v>1.0267415968780664</v>
      </c>
      <c r="AN52" s="72">
        <f t="shared" ca="1" si="109"/>
        <v>2.2588315131317462</v>
      </c>
      <c r="AO52" s="72">
        <f t="shared" ca="1" si="110"/>
        <v>0.51337079843903322</v>
      </c>
      <c r="AP52" s="72">
        <f t="shared" ca="1" si="111"/>
        <v>14.603126175751461</v>
      </c>
      <c r="AQ52" s="72">
        <f t="shared" ca="1" si="112"/>
        <v>0.75435706516351353</v>
      </c>
      <c r="AR52" s="72">
        <f t="shared" ca="1" si="113"/>
        <v>2.4210381032787907</v>
      </c>
      <c r="AS52" s="72">
        <f t="shared" ca="1" si="114"/>
        <v>0.37717853258175676</v>
      </c>
      <c r="AT52" s="72">
        <f t="shared" ca="1" si="115"/>
        <v>0.71871911781464648</v>
      </c>
      <c r="AU52" s="72">
        <f t="shared" ca="1" si="116"/>
        <v>1.5210986620415801</v>
      </c>
      <c r="AV52" s="72">
        <f t="shared" ca="1" si="117"/>
        <v>0.35935955890732324</v>
      </c>
      <c r="AW52" s="72">
        <f t="shared" ca="1" si="118"/>
        <v>15.469413321770617</v>
      </c>
      <c r="AX52" s="72">
        <f t="shared" ca="1" si="119"/>
        <v>1.4680949037412994</v>
      </c>
      <c r="AY52" s="72">
        <f t="shared" ca="1" si="120"/>
        <v>4.0723134069622766</v>
      </c>
      <c r="AZ52" s="72">
        <f t="shared" ca="1" si="121"/>
        <v>0.73404745187064968</v>
      </c>
      <c r="BA52" s="72">
        <f t="shared" ca="1" si="122"/>
        <v>1.1065992766352493</v>
      </c>
      <c r="BB52" s="72">
        <f t="shared" ca="1" si="123"/>
        <v>1.3233558359761743</v>
      </c>
      <c r="BC52" s="72">
        <f t="shared" ca="1" si="124"/>
        <v>13.628553136479914</v>
      </c>
      <c r="BD52" s="72">
        <f t="shared" ca="1" si="125"/>
        <v>5.7326417763874113</v>
      </c>
      <c r="BE52" s="72">
        <f t="shared" ca="1" si="126"/>
        <v>1.3984619438800518</v>
      </c>
      <c r="BF52" s="72">
        <f t="shared" ca="1" si="127"/>
        <v>1.8443321277254157</v>
      </c>
      <c r="BG52" s="72">
        <f t="shared" ca="1" si="128"/>
        <v>1.0039251169474428</v>
      </c>
      <c r="BH52" s="72">
        <f t="shared" ca="1" si="129"/>
        <v>5.8938464755946054</v>
      </c>
      <c r="BI52" s="72">
        <f t="shared" ca="1" si="130"/>
        <v>5.7446005765608525</v>
      </c>
      <c r="BJ52" s="72">
        <f t="shared" ca="1" si="131"/>
        <v>0.30174282606540537</v>
      </c>
      <c r="BK52" s="72">
        <f t="shared" ca="1" si="132"/>
        <v>0.68449439791871092</v>
      </c>
      <c r="BL52" s="72">
        <f t="shared" ca="1" si="133"/>
        <v>0.25858677254706858</v>
      </c>
      <c r="BM52" s="72">
        <f t="shared" ca="1" si="134"/>
        <v>4.718171063140038</v>
      </c>
      <c r="BN52" s="72">
        <f t="shared" ca="1" si="135"/>
        <v>8.4623321984636792</v>
      </c>
      <c r="BO52" s="72">
        <f t="shared" ca="1" si="136"/>
        <v>0.78337079843903323</v>
      </c>
      <c r="BP52" s="72">
        <f t="shared" ca="1" si="137"/>
        <v>1.0799800500495216</v>
      </c>
      <c r="BQ52" s="72">
        <f t="shared" ca="1" si="138"/>
        <v>0.92787018384536368</v>
      </c>
      <c r="BR52" s="72">
        <f t="shared" ca="1" si="139"/>
        <v>7.0385830614056308</v>
      </c>
      <c r="BS52" s="72">
        <f t="shared" ca="1" si="140"/>
        <v>7.2934432938551765</v>
      </c>
      <c r="BT52" s="72">
        <f t="shared" ca="1" si="141"/>
        <v>0.70213234526757784</v>
      </c>
      <c r="BU52" s="72">
        <f t="shared" ca="1" si="142"/>
        <v>1.0799800500495216</v>
      </c>
      <c r="BV52" s="72">
        <f t="shared" ca="1" si="143"/>
        <v>0.92787018384536368</v>
      </c>
      <c r="BW52" s="72">
        <f t="shared" ca="1" si="144"/>
        <v>9.7611998060372596</v>
      </c>
      <c r="BX52" s="72">
        <f t="shared" ca="1" si="145"/>
        <v>5.8954582563180349</v>
      </c>
      <c r="BY52" s="72">
        <f t="shared" ca="1" si="146"/>
        <v>0.85880650495538446</v>
      </c>
      <c r="BZ52" s="72">
        <f t="shared" ca="1" si="147"/>
        <v>6.2805818086388712</v>
      </c>
      <c r="CA52" s="72">
        <f t="shared" ca="1" si="148"/>
        <v>3.6963976739758246</v>
      </c>
      <c r="CB52" s="72">
        <f t="shared" ca="1" si="149"/>
        <v>8.9630594003137141</v>
      </c>
      <c r="CC52" s="72">
        <f t="shared" ca="1" si="150"/>
        <v>3.6963976739758246</v>
      </c>
      <c r="CD52" s="72">
        <f t="shared" ca="1" si="151"/>
        <v>4.9194444994630944</v>
      </c>
      <c r="CE52" s="72">
        <f t="shared" ca="1" si="152"/>
        <v>12.110626837503974</v>
      </c>
      <c r="CF52" s="72">
        <f t="shared" ca="1" si="153"/>
        <v>4.9194444994630944</v>
      </c>
      <c r="CG52" s="72">
        <f t="shared" ca="1" si="154"/>
        <v>3.8673533304426542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191</v>
      </c>
      <c r="D53" t="str">
        <f t="shared" si="155"/>
        <v>CAB</v>
      </c>
      <c r="E53" s="206">
        <f t="shared" si="155"/>
        <v>43626</v>
      </c>
      <c r="F53" s="152">
        <f t="shared" ca="1" si="75"/>
        <v>1</v>
      </c>
      <c r="G53" s="153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12.444444444444445</v>
      </c>
      <c r="K53" s="49">
        <f t="shared" si="80"/>
        <v>2</v>
      </c>
      <c r="L53" s="49">
        <f t="shared" si="81"/>
        <v>3</v>
      </c>
      <c r="M53" s="49">
        <f t="shared" si="82"/>
        <v>6.2</v>
      </c>
      <c r="N53" s="49">
        <f t="shared" si="83"/>
        <v>18.399999999999999</v>
      </c>
      <c r="O53" s="153">
        <f t="shared" si="84"/>
        <v>1.875</v>
      </c>
      <c r="P53" s="153">
        <f t="shared" ca="1" si="85"/>
        <v>16.427917297240604</v>
      </c>
      <c r="Q53" s="153">
        <f t="shared" si="86"/>
        <v>0.86199999999999988</v>
      </c>
      <c r="R53" s="153">
        <f t="shared" si="87"/>
        <v>0.79200000000000004</v>
      </c>
      <c r="S53" s="153">
        <f t="shared" ca="1" si="88"/>
        <v>20.036161672959548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3.351184255942151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5.4210333552005388</v>
      </c>
      <c r="AE53" s="244">
        <f t="shared" ca="1" si="100"/>
        <v>7.0252687391227866</v>
      </c>
      <c r="AF53" s="72">
        <f t="shared" ca="1" si="101"/>
        <v>3.1613709326052533</v>
      </c>
      <c r="AG53" s="72">
        <f t="shared" ca="1" si="102"/>
        <v>2.3514612216064674</v>
      </c>
      <c r="AH53" s="244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3.3460389993842448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13.292092174829371</v>
      </c>
      <c r="AQ53" s="72">
        <f t="shared" ca="1" si="112"/>
        <v>0.60270101748474147</v>
      </c>
      <c r="AR53" s="72">
        <f t="shared" ca="1" si="113"/>
        <v>1.9119953701771482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14.080606117403995</v>
      </c>
      <c r="AX53" s="72">
        <f t="shared" ca="1" si="119"/>
        <v>1.1729489032587661</v>
      </c>
      <c r="AY53" s="72">
        <f t="shared" ca="1" si="120"/>
        <v>3.2265250818007121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12.40501398943292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5.3647109307309222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4.2945848658082184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6.4066757834188177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8.884862460081921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5.7167260836660221</v>
      </c>
      <c r="CA53" s="72">
        <f t="shared" ca="1" si="148"/>
        <v>2.6778402316119254</v>
      </c>
      <c r="CB53" s="72">
        <f t="shared" ca="1" si="149"/>
        <v>7.0859180437524527</v>
      </c>
      <c r="CC53" s="72">
        <f t="shared" ca="1" si="150"/>
        <v>2.6778402316119254</v>
      </c>
      <c r="CD53" s="72">
        <f t="shared" ca="1" si="151"/>
        <v>3.4993287222537997</v>
      </c>
      <c r="CE53" s="72">
        <f t="shared" ca="1" si="152"/>
        <v>9.5469053302816231</v>
      </c>
      <c r="CF53" s="72">
        <f t="shared" ca="1" si="153"/>
        <v>3.4993287222537997</v>
      </c>
      <c r="CG53" s="72">
        <f t="shared" ca="1" si="154"/>
        <v>3.5201515293509988</v>
      </c>
    </row>
    <row r="54" spans="1:85" x14ac:dyDescent="0.25">
      <c r="A54" t="str">
        <f t="shared" si="155"/>
        <v>R. Forsyth</v>
      </c>
      <c r="B54">
        <f t="shared" si="155"/>
        <v>23</v>
      </c>
      <c r="C54" s="50">
        <f t="shared" ca="1" si="155"/>
        <v>134</v>
      </c>
      <c r="D54" t="str">
        <f t="shared" si="155"/>
        <v>POT</v>
      </c>
      <c r="E54" s="206">
        <f t="shared" si="155"/>
        <v>43626</v>
      </c>
      <c r="F54" s="152">
        <f t="shared" ca="1" si="75"/>
        <v>1</v>
      </c>
      <c r="G54" s="153">
        <f t="shared" si="76"/>
        <v>4</v>
      </c>
      <c r="H54" s="49">
        <f t="shared" si="77"/>
        <v>0</v>
      </c>
      <c r="I54" s="49">
        <f t="shared" si="78"/>
        <v>7</v>
      </c>
      <c r="J54" s="49">
        <f t="shared" si="79"/>
        <v>13.222222222222221</v>
      </c>
      <c r="K54" s="49">
        <f t="shared" si="80"/>
        <v>3</v>
      </c>
      <c r="L54" s="49">
        <f t="shared" si="81"/>
        <v>4</v>
      </c>
      <c r="M54" s="49">
        <f t="shared" si="82"/>
        <v>6.2</v>
      </c>
      <c r="N54" s="49">
        <f t="shared" si="83"/>
        <v>16.25</v>
      </c>
      <c r="O54" s="153">
        <f t="shared" si="84"/>
        <v>2.25</v>
      </c>
      <c r="P54" s="153">
        <f t="shared" ca="1" si="85"/>
        <v>15.613570107779731</v>
      </c>
      <c r="Q54" s="153">
        <f t="shared" si="86"/>
        <v>0.79749999999999999</v>
      </c>
      <c r="R54" s="153">
        <f t="shared" si="87"/>
        <v>0.76750000000000007</v>
      </c>
      <c r="S54" s="153">
        <f t="shared" ca="1" si="88"/>
        <v>18.052746655103949</v>
      </c>
      <c r="T54" s="72">
        <f t="shared" ca="1" si="89"/>
        <v>3.5057978299057488</v>
      </c>
      <c r="U54" s="72">
        <f t="shared" ca="1" si="90"/>
        <v>5.3023459317391994</v>
      </c>
      <c r="V54" s="72">
        <f t="shared" ca="1" si="91"/>
        <v>3.5057978299057488</v>
      </c>
      <c r="W54" s="72">
        <f t="shared" ca="1" si="92"/>
        <v>4.5422172740336384</v>
      </c>
      <c r="X54" s="72">
        <f t="shared" ca="1" si="93"/>
        <v>8.8027466551039506</v>
      </c>
      <c r="Y54" s="72">
        <f t="shared" ca="1" si="94"/>
        <v>2.2711086370168192</v>
      </c>
      <c r="Z54" s="72">
        <f t="shared" ca="1" si="95"/>
        <v>3.5759425928036288</v>
      </c>
      <c r="AA54" s="72">
        <f t="shared" ca="1" si="96"/>
        <v>3.3274382356292933</v>
      </c>
      <c r="AB54" s="72">
        <f t="shared" ca="1" si="97"/>
        <v>6.3643858316401563</v>
      </c>
      <c r="AC54" s="72">
        <f t="shared" ca="1" si="98"/>
        <v>1.6637191178146467</v>
      </c>
      <c r="AD54" s="72">
        <f t="shared" ca="1" si="99"/>
        <v>5.7846130177705763</v>
      </c>
      <c r="AE54" s="244">
        <f t="shared" ca="1" si="100"/>
        <v>8.0985269226956351</v>
      </c>
      <c r="AF54" s="72">
        <f t="shared" ca="1" si="101"/>
        <v>3.6443371152130353</v>
      </c>
      <c r="AG54" s="72">
        <f t="shared" ca="1" si="102"/>
        <v>2.5091698025134708</v>
      </c>
      <c r="AH54" s="244">
        <f t="shared" ca="1" si="103"/>
        <v>2.8240150332011225</v>
      </c>
      <c r="AI54" s="72">
        <f t="shared" ca="1" si="104"/>
        <v>6.6372709779483792</v>
      </c>
      <c r="AJ54" s="72">
        <f t="shared" ca="1" si="105"/>
        <v>6.2323446318135964</v>
      </c>
      <c r="AK54" s="72">
        <f t="shared" ca="1" si="106"/>
        <v>3.0148086914023597</v>
      </c>
      <c r="AL54" s="72">
        <f t="shared" ca="1" si="107"/>
        <v>1.1671910366699374</v>
      </c>
      <c r="AM54" s="72">
        <f t="shared" ca="1" si="108"/>
        <v>2.376741596878067</v>
      </c>
      <c r="AN54" s="72">
        <f t="shared" ca="1" si="109"/>
        <v>5.2288315131317464</v>
      </c>
      <c r="AO54" s="72">
        <f t="shared" ca="1" si="110"/>
        <v>1.1883707984390335</v>
      </c>
      <c r="AP54" s="72">
        <f t="shared" ca="1" si="111"/>
        <v>14.183570620195905</v>
      </c>
      <c r="AQ54" s="72">
        <f t="shared" ca="1" si="112"/>
        <v>0.75435706516351353</v>
      </c>
      <c r="AR54" s="72">
        <f t="shared" ca="1" si="113"/>
        <v>2.0808047699454573</v>
      </c>
      <c r="AS54" s="72">
        <f t="shared" ca="1" si="114"/>
        <v>0.37717853258175676</v>
      </c>
      <c r="AT54" s="72">
        <f t="shared" ca="1" si="115"/>
        <v>1.6637191178146467</v>
      </c>
      <c r="AU54" s="72">
        <f t="shared" ca="1" si="116"/>
        <v>3.5210986620415805</v>
      </c>
      <c r="AV54" s="72">
        <f t="shared" ca="1" si="117"/>
        <v>0.83185955890732333</v>
      </c>
      <c r="AW54" s="72">
        <f t="shared" ca="1" si="118"/>
        <v>15.024968877326172</v>
      </c>
      <c r="AX54" s="72">
        <f t="shared" ca="1" si="119"/>
        <v>1.4680949037412994</v>
      </c>
      <c r="AY54" s="72">
        <f t="shared" ca="1" si="120"/>
        <v>3.6593134069622764</v>
      </c>
      <c r="AZ54" s="72">
        <f t="shared" ca="1" si="121"/>
        <v>0.73404745187064968</v>
      </c>
      <c r="BA54" s="72">
        <f t="shared" ca="1" si="122"/>
        <v>2.5615992766352496</v>
      </c>
      <c r="BB54" s="72">
        <f t="shared" ca="1" si="123"/>
        <v>3.0633558359761746</v>
      </c>
      <c r="BC54" s="72">
        <f t="shared" ca="1" si="124"/>
        <v>13.236997580924358</v>
      </c>
      <c r="BD54" s="72">
        <f t="shared" ca="1" si="125"/>
        <v>4.5846417763874108</v>
      </c>
      <c r="BE54" s="72">
        <f t="shared" ca="1" si="126"/>
        <v>1.3984619438800518</v>
      </c>
      <c r="BF54" s="72">
        <f t="shared" ca="1" si="127"/>
        <v>4.2693321277254155</v>
      </c>
      <c r="BG54" s="72">
        <f t="shared" ca="1" si="128"/>
        <v>2.3239251169474429</v>
      </c>
      <c r="BH54" s="72">
        <f t="shared" ca="1" si="129"/>
        <v>5.7245131422612721</v>
      </c>
      <c r="BI54" s="72">
        <f t="shared" ca="1" si="130"/>
        <v>4.3986005765608525</v>
      </c>
      <c r="BJ54" s="72">
        <f t="shared" ca="1" si="131"/>
        <v>0.30174282606540537</v>
      </c>
      <c r="BK54" s="72">
        <f t="shared" ca="1" si="132"/>
        <v>1.5844943979187109</v>
      </c>
      <c r="BL54" s="72">
        <f t="shared" ca="1" si="133"/>
        <v>0.59858677254706871</v>
      </c>
      <c r="BM54" s="72">
        <f t="shared" ca="1" si="134"/>
        <v>4.5826155075844826</v>
      </c>
      <c r="BN54" s="72">
        <f t="shared" ca="1" si="135"/>
        <v>6.4623321984636792</v>
      </c>
      <c r="BO54" s="72">
        <f t="shared" ca="1" si="136"/>
        <v>0.78337079843903323</v>
      </c>
      <c r="BP54" s="72">
        <f t="shared" ca="1" si="137"/>
        <v>2.4999800500495217</v>
      </c>
      <c r="BQ54" s="72">
        <f t="shared" ca="1" si="138"/>
        <v>2.147870183845364</v>
      </c>
      <c r="BR54" s="72">
        <f t="shared" ca="1" si="139"/>
        <v>6.8363608391834081</v>
      </c>
      <c r="BS54" s="72">
        <f t="shared" ca="1" si="140"/>
        <v>5.5654432938551759</v>
      </c>
      <c r="BT54" s="72">
        <f t="shared" ca="1" si="141"/>
        <v>0.70213234526757784</v>
      </c>
      <c r="BU54" s="72">
        <f t="shared" ca="1" si="142"/>
        <v>2.4999800500495217</v>
      </c>
      <c r="BV54" s="72">
        <f t="shared" ca="1" si="143"/>
        <v>2.147870183845364</v>
      </c>
      <c r="BW54" s="72">
        <f t="shared" ca="1" si="144"/>
        <v>9.4807553615928146</v>
      </c>
      <c r="BX54" s="72">
        <f t="shared" ca="1" si="145"/>
        <v>4.491458256318035</v>
      </c>
      <c r="BY54" s="72">
        <f t="shared" ca="1" si="146"/>
        <v>0.85880650495538446</v>
      </c>
      <c r="BZ54" s="72">
        <f t="shared" ca="1" si="147"/>
        <v>6.1001373641944259</v>
      </c>
      <c r="CA54" s="72">
        <f t="shared" ca="1" si="148"/>
        <v>3.1586310073091579</v>
      </c>
      <c r="CB54" s="72">
        <f t="shared" ca="1" si="149"/>
        <v>7.8164927336470473</v>
      </c>
      <c r="CC54" s="72">
        <f t="shared" ca="1" si="150"/>
        <v>3.1586310073091579</v>
      </c>
      <c r="CD54" s="72">
        <f t="shared" ca="1" si="151"/>
        <v>3.9661111661297608</v>
      </c>
      <c r="CE54" s="72">
        <f t="shared" ca="1" si="152"/>
        <v>10.143960170837307</v>
      </c>
      <c r="CF54" s="72">
        <f t="shared" ca="1" si="153"/>
        <v>3.9661111661297608</v>
      </c>
      <c r="CG54" s="72">
        <f t="shared" ca="1" si="154"/>
        <v>3.756242219331543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167</v>
      </c>
      <c r="D55" t="str">
        <f t="shared" si="155"/>
        <v>CAB</v>
      </c>
      <c r="E55" s="206">
        <f t="shared" si="155"/>
        <v>43982</v>
      </c>
      <c r="F55" s="152">
        <f t="shared" ca="1" si="75"/>
        <v>0.77584017284391016</v>
      </c>
      <c r="G55" s="153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13.95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3">
        <f t="shared" si="84"/>
        <v>3.125</v>
      </c>
      <c r="P55" s="153">
        <f t="shared" ca="1" si="85"/>
        <v>20.715070833905777</v>
      </c>
      <c r="Q55" s="153">
        <f t="shared" si="86"/>
        <v>0.98499999999999999</v>
      </c>
      <c r="R55" s="153">
        <f t="shared" si="87"/>
        <v>0.74499999999999988</v>
      </c>
      <c r="S55" s="153">
        <f t="shared" ca="1" si="88"/>
        <v>21.494551677786284</v>
      </c>
      <c r="T55" s="72">
        <f t="shared" ca="1" si="89"/>
        <v>2.8065754923075747</v>
      </c>
      <c r="U55" s="72">
        <f t="shared" ca="1" si="90"/>
        <v>4.2177834599874906</v>
      </c>
      <c r="V55" s="72">
        <f t="shared" ca="1" si="91"/>
        <v>2.8065754923075747</v>
      </c>
      <c r="W55" s="72">
        <f t="shared" ca="1" si="92"/>
        <v>3.0703332806766421</v>
      </c>
      <c r="X55" s="72">
        <f t="shared" ca="1" si="93"/>
        <v>5.9502582958849652</v>
      </c>
      <c r="Y55" s="72">
        <f t="shared" ca="1" si="94"/>
        <v>1.5351666403383211</v>
      </c>
      <c r="Z55" s="72">
        <f t="shared" ca="1" si="95"/>
        <v>3.7842614744206218</v>
      </c>
      <c r="AA55" s="72">
        <f t="shared" ca="1" si="96"/>
        <v>2.2491976358445167</v>
      </c>
      <c r="AB55" s="72">
        <f t="shared" ca="1" si="97"/>
        <v>4.3020367479248298</v>
      </c>
      <c r="AC55" s="72">
        <f t="shared" ca="1" si="98"/>
        <v>1.1245988179222584</v>
      </c>
      <c r="AD55" s="72">
        <f t="shared" ca="1" si="99"/>
        <v>6.121599443915712</v>
      </c>
      <c r="AE55" s="244">
        <f t="shared" ca="1" si="100"/>
        <v>5.4742376322141686</v>
      </c>
      <c r="AF55" s="72">
        <f t="shared" ca="1" si="101"/>
        <v>2.4634069344963754</v>
      </c>
      <c r="AG55" s="72">
        <f t="shared" ca="1" si="102"/>
        <v>2.6553431354127892</v>
      </c>
      <c r="AH55" s="244">
        <f t="shared" ca="1" si="103"/>
        <v>3.4987518779803595</v>
      </c>
      <c r="AI55" s="72">
        <f t="shared" ca="1" si="104"/>
        <v>4.4864947550972643</v>
      </c>
      <c r="AJ55" s="72">
        <f t="shared" ca="1" si="105"/>
        <v>4.2127828734865549</v>
      </c>
      <c r="AK55" s="72">
        <f t="shared" ca="1" si="106"/>
        <v>3.5821931354127892</v>
      </c>
      <c r="AL55" s="72">
        <f t="shared" ca="1" si="107"/>
        <v>1.4616743892148698</v>
      </c>
      <c r="AM55" s="72">
        <f t="shared" ca="1" si="108"/>
        <v>1.6065697398889407</v>
      </c>
      <c r="AN55" s="72">
        <f t="shared" ca="1" si="109"/>
        <v>3.5344534277556692</v>
      </c>
      <c r="AO55" s="72">
        <f t="shared" ca="1" si="110"/>
        <v>0.80328486994447035</v>
      </c>
      <c r="AP55" s="72">
        <f t="shared" ca="1" si="111"/>
        <v>15.009843831315406</v>
      </c>
      <c r="AQ55" s="72">
        <f t="shared" ca="1" si="112"/>
        <v>1.4235335784650456</v>
      </c>
      <c r="AR55" s="72">
        <f t="shared" ca="1" si="113"/>
        <v>3.0354256806942947</v>
      </c>
      <c r="AS55" s="72">
        <f t="shared" ca="1" si="114"/>
        <v>0.71176678923252279</v>
      </c>
      <c r="AT55" s="72">
        <f t="shared" ca="1" si="115"/>
        <v>1.1245988179222584</v>
      </c>
      <c r="AU55" s="72">
        <f t="shared" ca="1" si="116"/>
        <v>2.3801033183539864</v>
      </c>
      <c r="AV55" s="72">
        <f t="shared" ca="1" si="117"/>
        <v>0.56229940896112918</v>
      </c>
      <c r="AW55" s="72">
        <f t="shared" ca="1" si="118"/>
        <v>15.900258295884965</v>
      </c>
      <c r="AX55" s="72">
        <f t="shared" ca="1" si="119"/>
        <v>2.7704153488588963</v>
      </c>
      <c r="AY55" s="72">
        <f t="shared" ca="1" si="120"/>
        <v>5.8235923210326161</v>
      </c>
      <c r="AZ55" s="72">
        <f t="shared" ca="1" si="121"/>
        <v>1.3852076744294481</v>
      </c>
      <c r="BA55" s="72">
        <f t="shared" ca="1" si="122"/>
        <v>1.7315251641025249</v>
      </c>
      <c r="BB55" s="72">
        <f t="shared" ca="1" si="123"/>
        <v>2.0706898869679677</v>
      </c>
      <c r="BC55" s="72">
        <f t="shared" ca="1" si="124"/>
        <v>14.008127558674655</v>
      </c>
      <c r="BD55" s="72">
        <f t="shared" ca="1" si="125"/>
        <v>6.8647796250417343</v>
      </c>
      <c r="BE55" s="72">
        <f t="shared" ca="1" si="126"/>
        <v>2.6390122493082768</v>
      </c>
      <c r="BF55" s="72">
        <f t="shared" ca="1" si="127"/>
        <v>2.8858752735042081</v>
      </c>
      <c r="BG55" s="72">
        <f t="shared" ca="1" si="128"/>
        <v>1.570868190113631</v>
      </c>
      <c r="BH55" s="72">
        <f t="shared" ca="1" si="129"/>
        <v>6.0579984107321723</v>
      </c>
      <c r="BI55" s="72">
        <f t="shared" ca="1" si="130"/>
        <v>6.20552575060346</v>
      </c>
      <c r="BJ55" s="72">
        <f t="shared" ca="1" si="131"/>
        <v>0.56941343138601819</v>
      </c>
      <c r="BK55" s="72">
        <f t="shared" ca="1" si="132"/>
        <v>1.0710464932592938</v>
      </c>
      <c r="BL55" s="72">
        <f t="shared" ca="1" si="133"/>
        <v>0.40461756412017769</v>
      </c>
      <c r="BM55" s="72">
        <f t="shared" ca="1" si="134"/>
        <v>4.8495787802449142</v>
      </c>
      <c r="BN55" s="72">
        <f t="shared" ca="1" si="135"/>
        <v>9.0820321685080643</v>
      </c>
      <c r="BO55" s="72">
        <f t="shared" ca="1" si="136"/>
        <v>1.4782848699444706</v>
      </c>
      <c r="BP55" s="72">
        <f t="shared" ca="1" si="137"/>
        <v>1.6898733560313299</v>
      </c>
      <c r="BQ55" s="72">
        <f t="shared" ca="1" si="138"/>
        <v>1.4518630241959314</v>
      </c>
      <c r="BR55" s="72">
        <f t="shared" ca="1" si="139"/>
        <v>7.2346175246276596</v>
      </c>
      <c r="BS55" s="72">
        <f t="shared" ca="1" si="140"/>
        <v>7.8128861918405414</v>
      </c>
      <c r="BT55" s="72">
        <f t="shared" ca="1" si="141"/>
        <v>1.3249812538020809</v>
      </c>
      <c r="BU55" s="72">
        <f t="shared" ca="1" si="142"/>
        <v>1.6898733560313299</v>
      </c>
      <c r="BV55" s="72">
        <f t="shared" ca="1" si="143"/>
        <v>1.4518630241959314</v>
      </c>
      <c r="BW55" s="72">
        <f t="shared" ca="1" si="144"/>
        <v>10.033062984703413</v>
      </c>
      <c r="BX55" s="72">
        <f t="shared" ca="1" si="145"/>
        <v>6.2904811748170442</v>
      </c>
      <c r="BY55" s="72">
        <f t="shared" ca="1" si="146"/>
        <v>1.620638227790975</v>
      </c>
      <c r="BZ55" s="72">
        <f t="shared" ca="1" si="147"/>
        <v>6.4555048681292968</v>
      </c>
      <c r="CA55" s="72">
        <f t="shared" ca="1" si="148"/>
        <v>4.8580845721560673</v>
      </c>
      <c r="CB55" s="72">
        <f t="shared" ca="1" si="149"/>
        <v>11.746990841166472</v>
      </c>
      <c r="CC55" s="72">
        <f t="shared" ca="1" si="150"/>
        <v>4.8580845721560673</v>
      </c>
      <c r="CD55" s="72">
        <f t="shared" ca="1" si="151"/>
        <v>5.5152924733969169</v>
      </c>
      <c r="CE55" s="72">
        <f t="shared" ca="1" si="152"/>
        <v>13.990903607066517</v>
      </c>
      <c r="CF55" s="72">
        <f t="shared" ca="1" si="153"/>
        <v>5.5152924733969169</v>
      </c>
      <c r="CG55" s="72">
        <f t="shared" ca="1" si="154"/>
        <v>3.9750645739712414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169</v>
      </c>
      <c r="D56" t="str">
        <f t="shared" si="155"/>
        <v>CAB</v>
      </c>
      <c r="E56" s="206" t="str">
        <f t="shared" si="155"/>
        <v>Cantera</v>
      </c>
      <c r="F56" s="152">
        <f t="shared" si="75"/>
        <v>1.5</v>
      </c>
      <c r="G56" s="153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8.9499999999999993</v>
      </c>
      <c r="M56" s="49">
        <f t="shared" si="82"/>
        <v>4.95</v>
      </c>
      <c r="N56" s="49">
        <f t="shared" si="83"/>
        <v>18</v>
      </c>
      <c r="O56" s="153">
        <f t="shared" si="84"/>
        <v>3.6062499999999997</v>
      </c>
      <c r="P56" s="153">
        <f t="shared" si="85"/>
        <v>17.297548910017404</v>
      </c>
      <c r="Q56" s="153">
        <f t="shared" si="86"/>
        <v>0.78749999999999998</v>
      </c>
      <c r="R56" s="153">
        <f t="shared" si="87"/>
        <v>0.85799999999999998</v>
      </c>
      <c r="S56" s="153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4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4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1.9222190434773814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1.562355818236318</v>
      </c>
      <c r="AR56" s="72">
        <f t="shared" si="113"/>
        <v>2.8293096518710859</v>
      </c>
      <c r="AS56" s="72">
        <f t="shared" si="114"/>
        <v>0.78117790911815899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3.0405847847214496</v>
      </c>
      <c r="AY56" s="72">
        <f t="shared" si="120"/>
        <v>5.7819850449862411</v>
      </c>
      <c r="AZ56" s="72">
        <f t="shared" si="121"/>
        <v>1.5202923923607248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12.406110172400666</v>
      </c>
      <c r="BE56" s="72">
        <f t="shared" si="126"/>
        <v>2.8963673245765587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12.522838347219555</v>
      </c>
      <c r="BJ56" s="72">
        <f t="shared" si="131"/>
        <v>0.62494232729452714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18.455304478860807</v>
      </c>
      <c r="BO56" s="72">
        <f t="shared" si="136"/>
        <v>1.6224464266300227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15.908078820044924</v>
      </c>
      <c r="BT56" s="72">
        <f t="shared" si="141"/>
        <v>1.4541927231276497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12.862218902473112</v>
      </c>
      <c r="BY56" s="72">
        <f t="shared" si="146"/>
        <v>1.7786820084536543</v>
      </c>
      <c r="BZ56" s="72">
        <f t="shared" si="147"/>
        <v>6.097357401568809</v>
      </c>
      <c r="CA56" s="72">
        <f t="shared" si="148"/>
        <v>6.1854413946240125</v>
      </c>
      <c r="CB56" s="72">
        <f t="shared" si="149"/>
        <v>11.200405010262262</v>
      </c>
      <c r="CC56" s="72">
        <f t="shared" si="150"/>
        <v>6.1854413946240125</v>
      </c>
      <c r="CD56" s="72">
        <f t="shared" si="151"/>
        <v>6.9802898058555849</v>
      </c>
      <c r="CE56" s="72">
        <f t="shared" si="152"/>
        <v>12.452808578196302</v>
      </c>
      <c r="CF56" s="72">
        <f t="shared" si="153"/>
        <v>6.9802898058555849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237</v>
      </c>
      <c r="D57">
        <f t="shared" si="156"/>
        <v>0</v>
      </c>
      <c r="E57" s="206" t="str">
        <f t="shared" si="156"/>
        <v>Cantera</v>
      </c>
      <c r="F57" s="152">
        <f t="shared" si="75"/>
        <v>1.5</v>
      </c>
      <c r="G57" s="153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3.95</v>
      </c>
      <c r="L57" s="49">
        <f t="shared" si="81"/>
        <v>9.9499999999999993</v>
      </c>
      <c r="M57" s="49">
        <f t="shared" si="82"/>
        <v>5.95</v>
      </c>
      <c r="N57" s="49">
        <f t="shared" si="83"/>
        <v>15.95</v>
      </c>
      <c r="O57" s="153">
        <f t="shared" si="84"/>
        <v>3.3562499999999997</v>
      </c>
      <c r="P57" s="153">
        <f t="shared" si="85"/>
        <v>16.719890152389887</v>
      </c>
      <c r="Q57" s="153">
        <f t="shared" si="86"/>
        <v>0.77600000000000002</v>
      </c>
      <c r="R57" s="153">
        <f t="shared" si="87"/>
        <v>0.63649999999999995</v>
      </c>
      <c r="S57" s="153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4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4">
        <f t="shared" si="103"/>
        <v>3.8312829907716077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3.0921364956783308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7.6825349979523114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6.9007981869632413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10.095302595463075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8.6834924383927579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6.9896297223479404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5.1487252350204216</v>
      </c>
      <c r="CB57" s="72">
        <f t="shared" si="149"/>
        <v>11.760776611579644</v>
      </c>
      <c r="CC57" s="72">
        <f t="shared" si="150"/>
        <v>5.1487252350204216</v>
      </c>
      <c r="CD57" s="72">
        <f t="shared" si="151"/>
        <v>5.3013355497461081</v>
      </c>
      <c r="CE57" s="72">
        <f t="shared" si="152"/>
        <v>13.134112949602605</v>
      </c>
      <c r="CF57" s="72">
        <f t="shared" si="153"/>
        <v>5.3013355497461081</v>
      </c>
      <c r="CG57" s="72">
        <f t="shared" si="154"/>
        <v>2.1289468498178605</v>
      </c>
    </row>
    <row r="58" spans="1:85" x14ac:dyDescent="0.25">
      <c r="C58" s="50"/>
      <c r="E58" s="206"/>
      <c r="F58" s="152"/>
      <c r="G58" s="153"/>
      <c r="H58" s="49"/>
      <c r="I58" s="49"/>
      <c r="J58" s="49"/>
      <c r="K58" s="49"/>
      <c r="L58" s="49"/>
      <c r="M58" s="49"/>
      <c r="N58" s="49"/>
      <c r="O58" s="153"/>
      <c r="P58" s="153"/>
      <c r="Q58" s="153"/>
      <c r="R58" s="153"/>
      <c r="S58" s="153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4"/>
      <c r="AF58" s="72"/>
      <c r="AG58" s="72"/>
      <c r="AH58" s="244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6"/>
      <c r="F59" s="152"/>
      <c r="G59" s="153"/>
      <c r="H59" s="49"/>
      <c r="I59" s="49"/>
      <c r="J59" s="49"/>
      <c r="K59" s="49"/>
      <c r="L59" s="49"/>
      <c r="M59" s="49"/>
      <c r="N59" s="49"/>
      <c r="O59" s="153"/>
      <c r="P59" s="153"/>
      <c r="Q59" s="153"/>
      <c r="R59" s="153"/>
      <c r="S59" s="153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4"/>
      <c r="AF59" s="72"/>
      <c r="AG59" s="72"/>
      <c r="AH59" s="244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6"/>
      <c r="F60" s="152"/>
      <c r="G60" s="153"/>
      <c r="H60" s="49"/>
      <c r="I60" s="49"/>
      <c r="J60" s="49"/>
      <c r="K60" s="49"/>
      <c r="L60" s="49"/>
      <c r="M60" s="49"/>
      <c r="N60" s="49"/>
      <c r="O60" s="153"/>
      <c r="P60" s="153"/>
      <c r="Q60" s="153"/>
      <c r="R60" s="153"/>
      <c r="S60" s="153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4"/>
      <c r="AF60" s="72"/>
      <c r="AG60" s="72"/>
      <c r="AH60" s="244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33" priority="1" operator="greaterThan">
      <formula>12</formula>
    </cfRule>
  </conditionalFormatting>
  <conditionalFormatting sqref="G37:G60">
    <cfRule type="cellIs" dxfId="32" priority="2" operator="greaterThan">
      <formula>7</formula>
    </cfRule>
  </conditionalFormatting>
  <conditionalFormatting sqref="T37:W60 Y37:AD60 AF37:AF60 AH37:AJ60 AL37:AO60 AQ37:AV60 AX37:BA60 BD37:BG60 BI37:CG60">
    <cfRule type="cellIs" dxfId="31" priority="3" operator="greaterThan">
      <formula>12.5</formula>
    </cfRule>
  </conditionalFormatting>
  <conditionalFormatting sqref="Q37:R60">
    <cfRule type="cellIs" dxfId="30" priority="4" operator="greaterThan">
      <formula>0.6</formula>
    </cfRule>
  </conditionalFormatting>
  <conditionalFormatting sqref="O37:O60">
    <cfRule type="cellIs" dxfId="29" priority="5" operator="greaterThan">
      <formula>3.2</formula>
    </cfRule>
  </conditionalFormatting>
  <conditionalFormatting sqref="S37:S60">
    <cfRule type="cellIs" dxfId="28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7" priority="9" operator="greaterThan">
      <formula>12</formula>
    </cfRule>
  </conditionalFormatting>
  <conditionalFormatting sqref="J3:J26">
    <cfRule type="cellIs" dxfId="26" priority="10" operator="greaterThan">
      <formula>7</formula>
    </cfRule>
  </conditionalFormatting>
  <conditionalFormatting sqref="X3:AA26 AC3:AH26 AJ3:AJ26 AL3:AN26 AP3:AS26 AU3:AZ26 BB3:BE26 BH3:BK26 BM3:CK26">
    <cfRule type="cellIs" dxfId="25" priority="11" operator="greaterThan">
      <formula>12.5</formula>
    </cfRule>
  </conditionalFormatting>
  <conditionalFormatting sqref="T3:U26">
    <cfRule type="cellIs" dxfId="24" priority="12" operator="greaterThan">
      <formula>0.6</formula>
    </cfRule>
  </conditionalFormatting>
  <conditionalFormatting sqref="R3:R26">
    <cfRule type="cellIs" dxfId="23" priority="13" operator="greaterThan">
      <formula>3.2</formula>
    </cfRule>
  </conditionalFormatting>
  <conditionalFormatting sqref="V3:W26">
    <cfRule type="cellIs" dxfId="22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Hall_of_Fame</vt:lpstr>
      <vt:lpstr>PLANTILLA</vt:lpstr>
      <vt:lpstr>Juveniles</vt:lpstr>
      <vt:lpstr>Planning</vt:lpstr>
      <vt:lpstr>Planning_v2</vt:lpstr>
      <vt:lpstr>Planning_v3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2021-01-12T11:28:56Z</dcterms:modified>
</cp:coreProperties>
</file>