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filterPrivacy="1" codeName="ThisWorkbook" defaultThemeVersion="124226"/>
  <xr:revisionPtr revIDLastSave="0" documentId="13_ncr:1_{790F3A62-195F-425D-92C3-C0D36F718BDE}" xr6:coauthVersionLast="33" xr6:coauthVersionMax="33" xr10:uidLastSave="{00000000-0000-0000-0000-000000000000}"/>
  <bookViews>
    <workbookView xWindow="240" yWindow="105" windowWidth="14805" windowHeight="8010" activeTab="5" xr2:uid="{00000000-000D-0000-FFFF-FFFF00000000}"/>
  </bookViews>
  <sheets>
    <sheet name="Resistencia" sheetId="6" r:id="rId1"/>
    <sheet name="CambioENTRENADOR" sheetId="9" r:id="rId2"/>
    <sheet name="Hall_of_Fame" sheetId="22" r:id="rId3"/>
    <sheet name="CA_Calcutator" sheetId="25" r:id="rId4"/>
    <sheet name="PLANNING" sheetId="24" r:id="rId5"/>
    <sheet name="PLANTILLA" sheetId="1" r:id="rId6"/>
    <sheet name="CAPITAN" sheetId="12" r:id="rId7"/>
    <sheet name="Evaluacion Jugadores" sheetId="3" r:id="rId8"/>
    <sheet name="Rendimiento_ENTRENAMIENTO" sheetId="10" r:id="rId9"/>
    <sheet name="Calculador de Sueldo" sheetId="2" r:id="rId10"/>
    <sheet name="Empleados" sheetId="4" r:id="rId11"/>
  </sheets>
  <calcPr calcId="179017"/>
</workbook>
</file>

<file path=xl/calcChain.xml><?xml version="1.0" encoding="utf-8"?>
<calcChain xmlns="http://schemas.openxmlformats.org/spreadsheetml/2006/main">
  <c r="G30" i="24" l="1"/>
  <c r="Y33" i="24"/>
  <c r="Y31" i="24"/>
  <c r="Y28" i="24"/>
  <c r="Y27" i="24"/>
  <c r="Y22" i="24"/>
  <c r="Y14" i="24"/>
  <c r="Y4" i="24"/>
  <c r="Y5" i="24"/>
  <c r="Y6" i="24"/>
  <c r="Y7" i="24"/>
  <c r="Y9" i="24"/>
  <c r="Y10" i="24"/>
  <c r="Y13" i="24"/>
  <c r="Y15" i="24"/>
  <c r="Y3" i="24"/>
  <c r="H14" i="25"/>
  <c r="H15" i="25"/>
  <c r="H16" i="25"/>
  <c r="H17" i="25"/>
  <c r="H13" i="25"/>
  <c r="O16" i="25"/>
  <c r="O15" i="25"/>
  <c r="M15" i="25"/>
  <c r="L15" i="25"/>
  <c r="O14" i="25"/>
  <c r="O13" i="25"/>
  <c r="K12" i="25"/>
  <c r="R12" i="25" s="1"/>
  <c r="H6" i="25"/>
  <c r="H5" i="25"/>
  <c r="H4" i="25"/>
  <c r="H3" i="25"/>
  <c r="A3" i="25"/>
  <c r="A4" i="25"/>
  <c r="A5" i="25"/>
  <c r="A6" i="25"/>
  <c r="H2" i="25" s="1"/>
  <c r="A7" i="25"/>
  <c r="A8" i="25"/>
  <c r="A9" i="25"/>
  <c r="A10" i="25"/>
  <c r="A11" i="25"/>
  <c r="A12" i="25"/>
  <c r="A13" i="25"/>
  <c r="A14" i="25"/>
  <c r="A15" i="25"/>
  <c r="A16" i="25"/>
  <c r="A17" i="25"/>
  <c r="A18" i="25"/>
  <c r="A19" i="25"/>
  <c r="A2" i="25"/>
  <c r="K1" i="25"/>
  <c r="R1" i="25" s="1"/>
  <c r="O5" i="25" l="1"/>
  <c r="O4" i="25"/>
  <c r="O2" i="25"/>
  <c r="O3" i="25"/>
  <c r="AE19" i="1"/>
  <c r="AE21" i="1"/>
  <c r="AE20" i="1"/>
  <c r="AE18" i="1"/>
  <c r="AE16" i="1"/>
  <c r="Y15" i="1"/>
  <c r="Y14" i="1"/>
  <c r="Y9" i="1"/>
  <c r="P6" i="24"/>
  <c r="Y7" i="1"/>
  <c r="Y8" i="1"/>
  <c r="P4" i="24"/>
  <c r="Y6" i="1"/>
  <c r="P9" i="24"/>
  <c r="Y11" i="1"/>
  <c r="Y13" i="1"/>
  <c r="Y12" i="1"/>
  <c r="AE5" i="1"/>
  <c r="AR8" i="24"/>
  <c r="Y4" i="1"/>
  <c r="AS8" i="24" l="1"/>
  <c r="AS26" i="24"/>
  <c r="AE10" i="1" l="1"/>
  <c r="AB22" i="24" l="1"/>
  <c r="AB23" i="24"/>
  <c r="AB24" i="24"/>
  <c r="AB25" i="24"/>
  <c r="AB26" i="24"/>
  <c r="AB27" i="24"/>
  <c r="AB28" i="24"/>
  <c r="AB29" i="24"/>
  <c r="AB30" i="24"/>
  <c r="AB31" i="24"/>
  <c r="AB32" i="24"/>
  <c r="AB33" i="24"/>
  <c r="AB21" i="24"/>
  <c r="AJ26" i="24"/>
  <c r="AJ29" i="24"/>
  <c r="AJ30" i="24"/>
  <c r="AH36" i="24"/>
  <c r="AH35" i="24"/>
  <c r="AH34" i="24"/>
  <c r="AH33" i="24"/>
  <c r="AH32" i="24"/>
  <c r="AH31" i="24"/>
  <c r="AH30" i="24"/>
  <c r="AH29" i="24"/>
  <c r="AH28" i="24"/>
  <c r="AH27" i="24"/>
  <c r="AH26" i="24"/>
  <c r="AH25" i="24"/>
  <c r="AH24" i="24"/>
  <c r="AH23" i="24"/>
  <c r="AH22" i="24"/>
  <c r="AE33" i="24"/>
  <c r="AE32" i="24"/>
  <c r="AE31" i="24"/>
  <c r="AE30" i="24"/>
  <c r="AE29" i="24"/>
  <c r="AE28" i="24"/>
  <c r="AE27" i="24"/>
  <c r="AE26" i="24"/>
  <c r="AE25" i="24"/>
  <c r="AE24" i="24"/>
  <c r="AE22" i="24"/>
  <c r="AM23" i="24"/>
  <c r="AM24" i="24"/>
  <c r="AM25" i="24"/>
  <c r="AM26" i="24"/>
  <c r="AM27" i="24"/>
  <c r="AM28" i="24"/>
  <c r="AM29" i="24"/>
  <c r="AM30" i="24"/>
  <c r="AM31" i="24"/>
  <c r="AM32" i="24"/>
  <c r="AM33" i="24"/>
  <c r="AM34" i="24"/>
  <c r="AM35" i="24"/>
  <c r="AM36" i="24"/>
  <c r="AM22" i="24"/>
  <c r="AH21" i="24"/>
  <c r="N26" i="24"/>
  <c r="Y26" i="24"/>
  <c r="Z26" i="24"/>
  <c r="AO22" i="24"/>
  <c r="AO23" i="24"/>
  <c r="AO24" i="24"/>
  <c r="AO25" i="24"/>
  <c r="AO26" i="24"/>
  <c r="AO27" i="24"/>
  <c r="AO28" i="24"/>
  <c r="AO31" i="24"/>
  <c r="AO32" i="24"/>
  <c r="AO33" i="24"/>
  <c r="AO34" i="24"/>
  <c r="AO35" i="24"/>
  <c r="AO36" i="24"/>
  <c r="AO21" i="24"/>
  <c r="Y35" i="24"/>
  <c r="Z35" i="24"/>
  <c r="Y36" i="24"/>
  <c r="Z36" i="24"/>
  <c r="Y34" i="24"/>
  <c r="Z34" i="24"/>
  <c r="Y30" i="24"/>
  <c r="Z30" i="24"/>
  <c r="Y29" i="24"/>
  <c r="Z29" i="24"/>
  <c r="N35" i="24"/>
  <c r="N36" i="24"/>
  <c r="N34" i="24"/>
  <c r="P36" i="24"/>
  <c r="O36" i="24"/>
  <c r="H36" i="24"/>
  <c r="G36" i="24"/>
  <c r="P35" i="24"/>
  <c r="O35" i="24"/>
  <c r="H35" i="24"/>
  <c r="G35" i="24"/>
  <c r="N30" i="24"/>
  <c r="AH13" i="24"/>
  <c r="AH9" i="24"/>
  <c r="AH7" i="24"/>
  <c r="AH3" i="24"/>
  <c r="N29" i="24"/>
  <c r="O22" i="24" l="1"/>
  <c r="Q22" i="24"/>
  <c r="R22" i="24"/>
  <c r="S22" i="24"/>
  <c r="T22" i="24"/>
  <c r="U22" i="24"/>
  <c r="O23" i="24"/>
  <c r="Q23" i="24"/>
  <c r="R23" i="24"/>
  <c r="S23" i="24"/>
  <c r="T23" i="24"/>
  <c r="U23" i="24"/>
  <c r="O24" i="24"/>
  <c r="Q24" i="24"/>
  <c r="R24" i="24"/>
  <c r="S24" i="24"/>
  <c r="T24" i="24"/>
  <c r="U24" i="24"/>
  <c r="O25" i="24"/>
  <c r="Q25" i="24"/>
  <c r="R25" i="24"/>
  <c r="S25" i="24"/>
  <c r="T25" i="24"/>
  <c r="U25" i="24"/>
  <c r="O26" i="24"/>
  <c r="R26" i="24"/>
  <c r="T26" i="24"/>
  <c r="U26" i="24"/>
  <c r="O27" i="24"/>
  <c r="Q27" i="24"/>
  <c r="R27" i="24"/>
  <c r="S27" i="24"/>
  <c r="T27" i="24"/>
  <c r="U27" i="24"/>
  <c r="O28" i="24"/>
  <c r="Q28" i="24"/>
  <c r="R28" i="24"/>
  <c r="S28" i="24"/>
  <c r="T28" i="24"/>
  <c r="U28" i="24"/>
  <c r="O29" i="24"/>
  <c r="O30" i="24"/>
  <c r="O31" i="24"/>
  <c r="Q31" i="24"/>
  <c r="R31" i="24"/>
  <c r="S31" i="24"/>
  <c r="T31" i="24"/>
  <c r="U31" i="24"/>
  <c r="O32" i="24"/>
  <c r="Q32" i="24"/>
  <c r="R32" i="24"/>
  <c r="S32" i="24"/>
  <c r="T32" i="24"/>
  <c r="U32" i="24"/>
  <c r="O33" i="24"/>
  <c r="Q33" i="24"/>
  <c r="R33" i="24"/>
  <c r="S33" i="24"/>
  <c r="T33" i="24"/>
  <c r="U33" i="24"/>
  <c r="Q21" i="24"/>
  <c r="R21" i="24"/>
  <c r="S21" i="24"/>
  <c r="T21" i="24"/>
  <c r="U21" i="24"/>
  <c r="O21" i="24"/>
  <c r="N22" i="24"/>
  <c r="N23" i="24"/>
  <c r="N24" i="24"/>
  <c r="N25" i="24"/>
  <c r="N27" i="24"/>
  <c r="N28" i="24"/>
  <c r="N31" i="24"/>
  <c r="N32" i="24"/>
  <c r="N33" i="24"/>
  <c r="N21" i="24"/>
  <c r="H22" i="24"/>
  <c r="J22" i="24"/>
  <c r="H23" i="24"/>
  <c r="J23" i="24"/>
  <c r="H24" i="24"/>
  <c r="H25" i="24"/>
  <c r="G26" i="24"/>
  <c r="J26" i="24"/>
  <c r="L26" i="24"/>
  <c r="M26" i="24"/>
  <c r="H27" i="24"/>
  <c r="J27" i="24"/>
  <c r="H28" i="24"/>
  <c r="J28" i="24"/>
  <c r="G29" i="24"/>
  <c r="H31" i="24"/>
  <c r="J31" i="24"/>
  <c r="H32" i="24"/>
  <c r="J32" i="24"/>
  <c r="H33" i="24"/>
  <c r="J33" i="24"/>
  <c r="G34" i="24"/>
  <c r="H34" i="24"/>
  <c r="H21" i="24"/>
  <c r="AS25" i="24"/>
  <c r="D21" i="24"/>
  <c r="AH15" i="24" l="1"/>
  <c r="AH14" i="24"/>
  <c r="AH10" i="24"/>
  <c r="AH6" i="24"/>
  <c r="AH5" i="24"/>
  <c r="AH4" i="24"/>
  <c r="AB15" i="24"/>
  <c r="AB14" i="24"/>
  <c r="AB13" i="24"/>
  <c r="AB9" i="24"/>
  <c r="AB7" i="24"/>
  <c r="AB6" i="24"/>
  <c r="AB5" i="24"/>
  <c r="AB4" i="24"/>
  <c r="AB3" i="24"/>
  <c r="AJ4" i="24" l="1"/>
  <c r="P22" i="24" s="1"/>
  <c r="AJ22" i="24" s="1"/>
  <c r="AJ5" i="24"/>
  <c r="P23" i="24" s="1"/>
  <c r="AJ23" i="24" s="1"/>
  <c r="AJ6" i="24"/>
  <c r="P24" i="24" s="1"/>
  <c r="AJ24" i="24" s="1"/>
  <c r="AJ7" i="24"/>
  <c r="P25" i="24" s="1"/>
  <c r="AJ25" i="24" s="1"/>
  <c r="AJ9" i="24"/>
  <c r="P27" i="24" s="1"/>
  <c r="AJ27" i="24" s="1"/>
  <c r="AJ10" i="24"/>
  <c r="P28" i="24" s="1"/>
  <c r="AJ28" i="24" s="1"/>
  <c r="AJ13" i="24"/>
  <c r="P31" i="24" s="1"/>
  <c r="AJ31" i="24" s="1"/>
  <c r="AJ14" i="24"/>
  <c r="P32" i="24" s="1"/>
  <c r="AJ32" i="24" s="1"/>
  <c r="AJ15" i="24"/>
  <c r="P33" i="24" s="1"/>
  <c r="AJ33" i="24" s="1"/>
  <c r="AJ3" i="24"/>
  <c r="P21" i="24" s="1"/>
  <c r="AJ21" i="24" s="1"/>
  <c r="AI4" i="24"/>
  <c r="AK4" i="24"/>
  <c r="AL4" i="24"/>
  <c r="AM4" i="24"/>
  <c r="AN4" i="24"/>
  <c r="AO4" i="24"/>
  <c r="AI5" i="24"/>
  <c r="AK5" i="24"/>
  <c r="AL5" i="24"/>
  <c r="AM5" i="24"/>
  <c r="AN5" i="24"/>
  <c r="AO5" i="24"/>
  <c r="AI6" i="24"/>
  <c r="AK6" i="24"/>
  <c r="AL6" i="24"/>
  <c r="AM6" i="24"/>
  <c r="AN6" i="24"/>
  <c r="AO6" i="24"/>
  <c r="AI7" i="24"/>
  <c r="AK7" i="24"/>
  <c r="AL7" i="24"/>
  <c r="AM7" i="24"/>
  <c r="AN7" i="24"/>
  <c r="AO7" i="24"/>
  <c r="AI8" i="24"/>
  <c r="AK8" i="24"/>
  <c r="AL8" i="24"/>
  <c r="AM8" i="24"/>
  <c r="AN8" i="24"/>
  <c r="AO8" i="24"/>
  <c r="AI9" i="24"/>
  <c r="AK9" i="24"/>
  <c r="AL9" i="24"/>
  <c r="AM9" i="24"/>
  <c r="AN9" i="24"/>
  <c r="AO9" i="24"/>
  <c r="AI10" i="24"/>
  <c r="AK10" i="24"/>
  <c r="AL10" i="24"/>
  <c r="AM10" i="24"/>
  <c r="AN10" i="24"/>
  <c r="AO10" i="24"/>
  <c r="AI11" i="24"/>
  <c r="AK11" i="24"/>
  <c r="AL11" i="24"/>
  <c r="AM11" i="24"/>
  <c r="AN11" i="24"/>
  <c r="AO11" i="24"/>
  <c r="AI12" i="24"/>
  <c r="AK12" i="24"/>
  <c r="AL12" i="24"/>
  <c r="AM12" i="24"/>
  <c r="AN12" i="24"/>
  <c r="AO12" i="24"/>
  <c r="AI13" i="24"/>
  <c r="AK13" i="24"/>
  <c r="AL13" i="24"/>
  <c r="AM13" i="24"/>
  <c r="AN13" i="24"/>
  <c r="AO13" i="24"/>
  <c r="AI14" i="24"/>
  <c r="AK14" i="24"/>
  <c r="AL14" i="24"/>
  <c r="AM14" i="24"/>
  <c r="AN14" i="24"/>
  <c r="AO14" i="24"/>
  <c r="AI15" i="24"/>
  <c r="AK15" i="24"/>
  <c r="AL15" i="24"/>
  <c r="AM15" i="24"/>
  <c r="AN15" i="24"/>
  <c r="AO15" i="24"/>
  <c r="AI16" i="24"/>
  <c r="AK16" i="24"/>
  <c r="AL16" i="24"/>
  <c r="AM16" i="24"/>
  <c r="AN16" i="24"/>
  <c r="AO16" i="24"/>
  <c r="AI17" i="24"/>
  <c r="AK17" i="24"/>
  <c r="AL17" i="24"/>
  <c r="AM17" i="24"/>
  <c r="AN17" i="24"/>
  <c r="AO17" i="24"/>
  <c r="AI18" i="24"/>
  <c r="AK18" i="24"/>
  <c r="AL18" i="24"/>
  <c r="AM18" i="24"/>
  <c r="AN18" i="24"/>
  <c r="AO18" i="24"/>
  <c r="AA8" i="1" l="1"/>
  <c r="AA15" i="1"/>
  <c r="AA11" i="1"/>
  <c r="AA14" i="1"/>
  <c r="AA6" i="1" l="1"/>
  <c r="N19" i="1" l="1"/>
  <c r="N3" i="24" l="1"/>
  <c r="H3" i="24"/>
  <c r="I3" i="24"/>
  <c r="J3" i="24"/>
  <c r="K3" i="24"/>
  <c r="L3" i="24"/>
  <c r="M3" i="24"/>
  <c r="G3" i="24"/>
  <c r="E3" i="24"/>
  <c r="E21" i="24" s="1"/>
  <c r="Y21" i="24" s="1"/>
  <c r="I2" i="1"/>
  <c r="O2" i="1"/>
  <c r="Q2" i="1"/>
  <c r="V2" i="1"/>
  <c r="T2" i="1"/>
  <c r="N4" i="1"/>
  <c r="D24" i="24" l="1"/>
  <c r="D25" i="24"/>
  <c r="N7" i="24"/>
  <c r="H7" i="24"/>
  <c r="I7" i="24"/>
  <c r="J7" i="24"/>
  <c r="K7" i="24"/>
  <c r="L7" i="24"/>
  <c r="M7" i="24"/>
  <c r="G7" i="24"/>
  <c r="E7" i="24"/>
  <c r="E25" i="24" s="1"/>
  <c r="Y25" i="24" s="1"/>
  <c r="N20" i="1" l="1"/>
  <c r="N21" i="1" l="1"/>
  <c r="AE17" i="1" l="1"/>
  <c r="N6" i="24" l="1"/>
  <c r="H6" i="24"/>
  <c r="I6" i="24"/>
  <c r="J6" i="24"/>
  <c r="AD6" i="24" s="1"/>
  <c r="J24" i="24" s="1"/>
  <c r="K6" i="24"/>
  <c r="L6" i="24"/>
  <c r="M6" i="24"/>
  <c r="G6" i="24"/>
  <c r="E6" i="24"/>
  <c r="E24" i="24" s="1"/>
  <c r="Y24" i="24" s="1"/>
  <c r="N7" i="1"/>
  <c r="N9" i="1" l="1"/>
  <c r="AA10" i="1" l="1"/>
  <c r="AC26" i="24" l="1"/>
  <c r="AF26" i="24"/>
  <c r="D22" i="24"/>
  <c r="D23" i="24"/>
  <c r="AD4" i="24" l="1"/>
  <c r="AD5" i="24"/>
  <c r="AD23" i="24" s="1"/>
  <c r="AD15" i="24"/>
  <c r="AD14" i="24"/>
  <c r="U21" i="1"/>
  <c r="AP21" i="1"/>
  <c r="AO21" i="1"/>
  <c r="AN21" i="1"/>
  <c r="AM21" i="1"/>
  <c r="AL21" i="1"/>
  <c r="AK21" i="1"/>
  <c r="AJ21" i="1"/>
  <c r="AI21" i="1"/>
  <c r="AH21" i="1"/>
  <c r="AG21" i="1"/>
  <c r="W21" i="1"/>
  <c r="R21" i="1"/>
  <c r="S21" i="1"/>
  <c r="P21" i="1"/>
  <c r="K21" i="1"/>
  <c r="L21" i="1"/>
  <c r="J21" i="1"/>
  <c r="C19" i="25" l="1"/>
  <c r="B19" i="25"/>
  <c r="N15" i="24"/>
  <c r="N14" i="24"/>
  <c r="N13" i="24"/>
  <c r="N10" i="24"/>
  <c r="N9" i="24"/>
  <c r="N5" i="24"/>
  <c r="N4" i="24"/>
  <c r="H5" i="24"/>
  <c r="I5" i="24"/>
  <c r="AC5" i="24" s="1"/>
  <c r="J5" i="24"/>
  <c r="K5" i="24"/>
  <c r="AE5" i="24" s="1"/>
  <c r="K23" i="24" s="1"/>
  <c r="L5" i="24"/>
  <c r="AF5" i="24" s="1"/>
  <c r="M5" i="24"/>
  <c r="G5" i="24"/>
  <c r="AA5" i="24" s="1"/>
  <c r="G23" i="24" s="1"/>
  <c r="E5" i="24"/>
  <c r="E23" i="24" s="1"/>
  <c r="Y23" i="24" s="1"/>
  <c r="H4" i="24"/>
  <c r="I4" i="24"/>
  <c r="AC4" i="24" s="1"/>
  <c r="I22" i="24" s="1"/>
  <c r="J4" i="24"/>
  <c r="K4" i="24"/>
  <c r="AE4" i="24" s="1"/>
  <c r="K22" i="24" s="1"/>
  <c r="L4" i="24"/>
  <c r="AF4" i="24" s="1"/>
  <c r="L22" i="24" s="1"/>
  <c r="M4" i="24"/>
  <c r="AG4" i="24" s="1"/>
  <c r="M22" i="24" s="1"/>
  <c r="G4" i="24"/>
  <c r="AA4" i="24" s="1"/>
  <c r="G22" i="24" s="1"/>
  <c r="E4" i="24"/>
  <c r="E22" i="24" s="1"/>
  <c r="H13" i="24"/>
  <c r="I13" i="24"/>
  <c r="AC13" i="24" s="1"/>
  <c r="I31" i="24" s="1"/>
  <c r="J13" i="24"/>
  <c r="K13" i="24"/>
  <c r="AE13" i="24" s="1"/>
  <c r="K31" i="24" s="1"/>
  <c r="M13" i="24"/>
  <c r="AG13" i="24" s="1"/>
  <c r="M31" i="24" s="1"/>
  <c r="H14" i="24"/>
  <c r="I14" i="24"/>
  <c r="AC14" i="24" s="1"/>
  <c r="I32" i="24" s="1"/>
  <c r="J14" i="24"/>
  <c r="K14" i="24"/>
  <c r="AE14" i="24" s="1"/>
  <c r="K32" i="24" s="1"/>
  <c r="M14" i="24"/>
  <c r="AG14" i="24" s="1"/>
  <c r="M32" i="24" s="1"/>
  <c r="H15" i="24"/>
  <c r="I15" i="24"/>
  <c r="AC15" i="24" s="1"/>
  <c r="I33" i="24" s="1"/>
  <c r="J15" i="24"/>
  <c r="M15" i="24"/>
  <c r="AG15" i="24" s="1"/>
  <c r="M33" i="24" s="1"/>
  <c r="H9" i="24"/>
  <c r="I9" i="24"/>
  <c r="AC9" i="24" s="1"/>
  <c r="I27" i="24" s="1"/>
  <c r="J9" i="24"/>
  <c r="M9" i="24"/>
  <c r="AG9" i="24" s="1"/>
  <c r="M27" i="24" s="1"/>
  <c r="H10" i="24"/>
  <c r="I10" i="24"/>
  <c r="AC10" i="24" s="1"/>
  <c r="I28" i="24" s="1"/>
  <c r="J10" i="24"/>
  <c r="M10" i="24"/>
  <c r="AG10" i="24" s="1"/>
  <c r="M28" i="24" s="1"/>
  <c r="G15" i="24"/>
  <c r="AA15" i="24" s="1"/>
  <c r="G33" i="24" s="1"/>
  <c r="G14" i="24"/>
  <c r="AA14" i="24" s="1"/>
  <c r="G32" i="24" s="1"/>
  <c r="G13" i="24"/>
  <c r="AA13" i="24" s="1"/>
  <c r="G31" i="24" s="1"/>
  <c r="G10" i="24"/>
  <c r="AA10" i="24" s="1"/>
  <c r="G28" i="24" s="1"/>
  <c r="G9" i="24"/>
  <c r="AA9" i="24" s="1"/>
  <c r="G27" i="24" s="1"/>
  <c r="E15" i="24"/>
  <c r="E33" i="24" s="1"/>
  <c r="E14" i="24"/>
  <c r="E32" i="24" s="1"/>
  <c r="Y32" i="24" s="1"/>
  <c r="E13" i="24"/>
  <c r="E31" i="24" s="1"/>
  <c r="E10" i="24"/>
  <c r="E28" i="24" s="1"/>
  <c r="E9" i="24"/>
  <c r="E27" i="24" s="1"/>
  <c r="AL36" i="24"/>
  <c r="AN34" i="24"/>
  <c r="AN33" i="24"/>
  <c r="AL33" i="24"/>
  <c r="AK33" i="24"/>
  <c r="AL32" i="24"/>
  <c r="AL28" i="24"/>
  <c r="AD28" i="24"/>
  <c r="AN27" i="24"/>
  <c r="AL27" i="24"/>
  <c r="AD27" i="24"/>
  <c r="AN26" i="24"/>
  <c r="AK26" i="24"/>
  <c r="AL26" i="24"/>
  <c r="AN25" i="24"/>
  <c r="AK25" i="24"/>
  <c r="AN24" i="24"/>
  <c r="AK24" i="24"/>
  <c r="AI24" i="24"/>
  <c r="AN23" i="24"/>
  <c r="AK23" i="24"/>
  <c r="AN22" i="24"/>
  <c r="AL22" i="24"/>
  <c r="AI21" i="24"/>
  <c r="AH19" i="24"/>
  <c r="AN21" i="24"/>
  <c r="Z20" i="24"/>
  <c r="Y20" i="24"/>
  <c r="F20" i="24"/>
  <c r="E20" i="24"/>
  <c r="D20" i="24"/>
  <c r="AN36" i="24"/>
  <c r="AK36" i="24"/>
  <c r="AJ36" i="24"/>
  <c r="AG18" i="24"/>
  <c r="AF18" i="24"/>
  <c r="AF36" i="24" s="1"/>
  <c r="AE18" i="24"/>
  <c r="AD18" i="24"/>
  <c r="AD36" i="24" s="1"/>
  <c r="AC18" i="24"/>
  <c r="AC36" i="24" s="1"/>
  <c r="AB18" i="24"/>
  <c r="AB36" i="24" s="1"/>
  <c r="AA18" i="24"/>
  <c r="AA36" i="24" s="1"/>
  <c r="V18" i="24"/>
  <c r="AP17" i="24"/>
  <c r="AN35" i="24"/>
  <c r="AL35" i="24"/>
  <c r="AK35" i="24"/>
  <c r="AJ35" i="24"/>
  <c r="AI35" i="24"/>
  <c r="AG17" i="24"/>
  <c r="AF17" i="24"/>
  <c r="AF35" i="24" s="1"/>
  <c r="AE17" i="24"/>
  <c r="AD17" i="24"/>
  <c r="AD35" i="24" s="1"/>
  <c r="AC17" i="24"/>
  <c r="AC35" i="24" s="1"/>
  <c r="AB17" i="24"/>
  <c r="AB35" i="24" s="1"/>
  <c r="AA17" i="24"/>
  <c r="AA35" i="24" s="1"/>
  <c r="V17" i="24"/>
  <c r="AL34" i="24"/>
  <c r="AK34" i="24"/>
  <c r="P34" i="24"/>
  <c r="AJ34" i="24" s="1"/>
  <c r="O34" i="24"/>
  <c r="AI34" i="24" s="1"/>
  <c r="AG16" i="24"/>
  <c r="AF16" i="24"/>
  <c r="AF34" i="24" s="1"/>
  <c r="AE16" i="24"/>
  <c r="AD16" i="24"/>
  <c r="AD34" i="24" s="1"/>
  <c r="AC16" i="24"/>
  <c r="AC34" i="24" s="1"/>
  <c r="AB16" i="24"/>
  <c r="AB34" i="24" s="1"/>
  <c r="AA16" i="24"/>
  <c r="AA34" i="24" s="1"/>
  <c r="V16" i="24"/>
  <c r="AI33" i="24"/>
  <c r="AD33" i="24"/>
  <c r="V15" i="24"/>
  <c r="AE15" i="1" s="1"/>
  <c r="AN32" i="24"/>
  <c r="AK32" i="24"/>
  <c r="AD32" i="24"/>
  <c r="V14" i="24"/>
  <c r="AE12" i="1" s="1"/>
  <c r="AN31" i="24"/>
  <c r="AL31" i="24"/>
  <c r="AK31" i="24"/>
  <c r="AD31" i="24"/>
  <c r="V13" i="24"/>
  <c r="AE14" i="1" s="1"/>
  <c r="AN30" i="24"/>
  <c r="AL30" i="24"/>
  <c r="AK30" i="24"/>
  <c r="AG12" i="24"/>
  <c r="AF12" i="24"/>
  <c r="AF30" i="24" s="1"/>
  <c r="AE12" i="24"/>
  <c r="AD12" i="24"/>
  <c r="AD30" i="24" s="1"/>
  <c r="AC12" i="24"/>
  <c r="AC30" i="24" s="1"/>
  <c r="AB12" i="24"/>
  <c r="AA12" i="24"/>
  <c r="AA30" i="24" s="1"/>
  <c r="V12" i="24"/>
  <c r="AN29" i="24"/>
  <c r="AL29" i="24"/>
  <c r="AK29" i="24"/>
  <c r="AI29" i="24"/>
  <c r="AG11" i="24"/>
  <c r="AF11" i="24"/>
  <c r="AF29" i="24" s="1"/>
  <c r="AE11" i="24"/>
  <c r="AD11" i="24"/>
  <c r="AD29" i="24" s="1"/>
  <c r="AC11" i="24"/>
  <c r="AC29" i="24" s="1"/>
  <c r="AB11" i="24"/>
  <c r="AA11" i="24"/>
  <c r="AA29" i="24" s="1"/>
  <c r="V11" i="24"/>
  <c r="AN28" i="24"/>
  <c r="AI28" i="24"/>
  <c r="V10" i="24"/>
  <c r="AE13" i="1" s="1"/>
  <c r="AK27" i="24"/>
  <c r="AI27" i="24"/>
  <c r="V9" i="24"/>
  <c r="AE11" i="1" s="1"/>
  <c r="AG8" i="24"/>
  <c r="AF8" i="24"/>
  <c r="AE8" i="24"/>
  <c r="AD8" i="24"/>
  <c r="AD26" i="24" s="1"/>
  <c r="AC8" i="24"/>
  <c r="AB8" i="24"/>
  <c r="AA8" i="24"/>
  <c r="AA26" i="24" s="1"/>
  <c r="V8" i="24"/>
  <c r="AL25" i="24"/>
  <c r="AG7" i="24"/>
  <c r="M25" i="24" s="1"/>
  <c r="AF7" i="24"/>
  <c r="AE7" i="24"/>
  <c r="K25" i="24" s="1"/>
  <c r="AD7" i="24"/>
  <c r="J25" i="24" s="1"/>
  <c r="AC7" i="24"/>
  <c r="AA7" i="24"/>
  <c r="G25" i="24" s="1"/>
  <c r="V7" i="24"/>
  <c r="AE9" i="1" s="1"/>
  <c r="AL24" i="24"/>
  <c r="AG6" i="24"/>
  <c r="M24" i="24" s="1"/>
  <c r="AF6" i="24"/>
  <c r="AE6" i="24"/>
  <c r="K24" i="24" s="1"/>
  <c r="AC6" i="24"/>
  <c r="AA6" i="24"/>
  <c r="G24" i="24" s="1"/>
  <c r="V6" i="24"/>
  <c r="AE7" i="1" s="1"/>
  <c r="AL23" i="24"/>
  <c r="AG5" i="24"/>
  <c r="M23" i="24" s="1"/>
  <c r="V5" i="24"/>
  <c r="AE8" i="1" s="1"/>
  <c r="AK22" i="24"/>
  <c r="AD22" i="24"/>
  <c r="V4" i="24"/>
  <c r="AE6" i="1" s="1"/>
  <c r="AO3" i="24"/>
  <c r="AN3" i="24"/>
  <c r="AM3" i="24"/>
  <c r="AM21" i="24" s="1"/>
  <c r="AL3" i="24"/>
  <c r="AL21" i="24" s="1"/>
  <c r="AK3" i="24"/>
  <c r="AI3" i="24"/>
  <c r="AP3" i="24" s="1"/>
  <c r="AG3" i="24"/>
  <c r="M21" i="24" s="1"/>
  <c r="AF3" i="24"/>
  <c r="AE3" i="24"/>
  <c r="AD3" i="24"/>
  <c r="AC3" i="24"/>
  <c r="AA3" i="24"/>
  <c r="G21" i="24" s="1"/>
  <c r="AA21" i="24" s="1"/>
  <c r="V3" i="24"/>
  <c r="AE4" i="1" s="1"/>
  <c r="AH1" i="24"/>
  <c r="D19" i="25" l="1"/>
  <c r="F19" i="25" s="1"/>
  <c r="L24" i="24"/>
  <c r="AF24" i="24" s="1"/>
  <c r="L23" i="24"/>
  <c r="AF23" i="24" s="1"/>
  <c r="L25" i="24"/>
  <c r="AF25" i="24" s="1"/>
  <c r="I21" i="24"/>
  <c r="AC21" i="24" s="1"/>
  <c r="J21" i="24"/>
  <c r="AD21" i="24" s="1"/>
  <c r="L21" i="24"/>
  <c r="AF21" i="24" s="1"/>
  <c r="I25" i="24"/>
  <c r="AC25" i="24" s="1"/>
  <c r="K21" i="24"/>
  <c r="AE21" i="24" s="1"/>
  <c r="I24" i="24"/>
  <c r="AC24" i="24" s="1"/>
  <c r="I23" i="24"/>
  <c r="AC23" i="24" s="1"/>
  <c r="AP15" i="24"/>
  <c r="AP14" i="24"/>
  <c r="AP7" i="24"/>
  <c r="AA25" i="24"/>
  <c r="AD25" i="24"/>
  <c r="AD24" i="24"/>
  <c r="AA24" i="24"/>
  <c r="AA22" i="24"/>
  <c r="AA32" i="24"/>
  <c r="AA33" i="24"/>
  <c r="AC22" i="24"/>
  <c r="AC28" i="24"/>
  <c r="AC33" i="24"/>
  <c r="AC27" i="24"/>
  <c r="AA27" i="24"/>
  <c r="AC32" i="24"/>
  <c r="AA28" i="24"/>
  <c r="AC31" i="24"/>
  <c r="AA23" i="24"/>
  <c r="AF22" i="24"/>
  <c r="AA31" i="24"/>
  <c r="N1" i="24"/>
  <c r="N19" i="24"/>
  <c r="AP35" i="24"/>
  <c r="AP24" i="24"/>
  <c r="AI23" i="24"/>
  <c r="V23" i="24"/>
  <c r="AK21" i="24"/>
  <c r="V21" i="24"/>
  <c r="AI31" i="24"/>
  <c r="V31" i="24"/>
  <c r="AP34" i="24"/>
  <c r="AI22" i="24"/>
  <c r="V22" i="24"/>
  <c r="V29" i="24"/>
  <c r="AI25" i="24"/>
  <c r="AK28" i="24"/>
  <c r="V28" i="24"/>
  <c r="AP9" i="24"/>
  <c r="V34" i="24"/>
  <c r="AP11" i="24"/>
  <c r="AP12" i="24"/>
  <c r="V24" i="24"/>
  <c r="AP5" i="24"/>
  <c r="AP27" i="24"/>
  <c r="AP6" i="24"/>
  <c r="AP8" i="24"/>
  <c r="V27" i="24"/>
  <c r="V33" i="24"/>
  <c r="V35" i="24"/>
  <c r="AI30" i="24"/>
  <c r="AP30" i="24" s="1"/>
  <c r="V30" i="24"/>
  <c r="AP13" i="24"/>
  <c r="AP16" i="24"/>
  <c r="AP18" i="24"/>
  <c r="AP4" i="24"/>
  <c r="AI36" i="24"/>
  <c r="AP36" i="24" s="1"/>
  <c r="V36" i="24"/>
  <c r="AP29" i="24"/>
  <c r="V26" i="24"/>
  <c r="AI26" i="24"/>
  <c r="AP10" i="24"/>
  <c r="AP33" i="24"/>
  <c r="E19" i="25" l="1"/>
  <c r="AP28" i="24"/>
  <c r="V25" i="24"/>
  <c r="V32" i="24"/>
  <c r="AI32" i="24"/>
  <c r="AP21" i="24"/>
  <c r="AP26" i="24"/>
  <c r="AP22" i="24"/>
  <c r="AP23" i="24"/>
  <c r="AP25" i="24"/>
  <c r="AP31" i="24"/>
  <c r="AP32" i="24" l="1"/>
  <c r="AP6" i="1" l="1"/>
  <c r="W6" i="1"/>
  <c r="U6" i="1"/>
  <c r="S6" i="1"/>
  <c r="R6" i="1"/>
  <c r="P6" i="1"/>
  <c r="N6" i="1"/>
  <c r="J6" i="1"/>
  <c r="K6" i="1"/>
  <c r="L6" i="1"/>
  <c r="AH6" i="1" l="1"/>
  <c r="B4" i="25"/>
  <c r="I6" i="25" s="1"/>
  <c r="I17" i="25" s="1"/>
  <c r="C4" i="25"/>
  <c r="J6" i="25" s="1"/>
  <c r="J17" i="25" s="1"/>
  <c r="AK6" i="1"/>
  <c r="AN6" i="1"/>
  <c r="AI6" i="1"/>
  <c r="AL6" i="1"/>
  <c r="AJ6" i="1"/>
  <c r="AM6" i="1"/>
  <c r="AG6" i="1"/>
  <c r="AO6" i="1"/>
  <c r="K17" i="25" l="1"/>
  <c r="D4" i="25"/>
  <c r="W8" i="1"/>
  <c r="U8" i="1"/>
  <c r="AP8" i="1"/>
  <c r="R8" i="1"/>
  <c r="S8" i="1"/>
  <c r="P8" i="1"/>
  <c r="N8" i="1"/>
  <c r="J8" i="1"/>
  <c r="K8" i="1"/>
  <c r="L8" i="1"/>
  <c r="E4" i="25" l="1"/>
  <c r="L6" i="25" s="1"/>
  <c r="K6" i="25"/>
  <c r="R4" i="25"/>
  <c r="F4" i="25"/>
  <c r="M6" i="25" s="1"/>
  <c r="AG8" i="1"/>
  <c r="C6" i="25"/>
  <c r="J2" i="25" s="1"/>
  <c r="B6" i="25"/>
  <c r="I2" i="25" s="1"/>
  <c r="AM8" i="1"/>
  <c r="AK8" i="1"/>
  <c r="AJ8" i="1"/>
  <c r="AN8" i="1"/>
  <c r="AI8" i="1"/>
  <c r="AH8" i="1"/>
  <c r="AL8" i="1"/>
  <c r="AO8" i="1"/>
  <c r="S4" i="25" l="1"/>
  <c r="Q2" i="25"/>
  <c r="J13" i="25"/>
  <c r="P2" i="25"/>
  <c r="I13" i="25"/>
  <c r="T4" i="25"/>
  <c r="D6" i="25"/>
  <c r="K2" i="25" s="1"/>
  <c r="AF2" i="1"/>
  <c r="AE2" i="1"/>
  <c r="AD2" i="1"/>
  <c r="K13" i="25" l="1"/>
  <c r="E6" i="25"/>
  <c r="L2" i="25" s="1"/>
  <c r="F6" i="25"/>
  <c r="M2" i="25" s="1"/>
  <c r="AP7" i="1"/>
  <c r="AG7" i="1"/>
  <c r="AH7" i="1"/>
  <c r="AI7" i="1"/>
  <c r="AJ7" i="1"/>
  <c r="AK7" i="1"/>
  <c r="AL7" i="1"/>
  <c r="AM7" i="1"/>
  <c r="AN7" i="1"/>
  <c r="AO7" i="1"/>
  <c r="U7" i="1"/>
  <c r="W7" i="1"/>
  <c r="R7" i="1"/>
  <c r="S7" i="1"/>
  <c r="P7" i="1"/>
  <c r="J7" i="1"/>
  <c r="K7" i="1"/>
  <c r="L7" i="1"/>
  <c r="B5" i="25" l="1"/>
  <c r="I5" i="25" s="1"/>
  <c r="C5" i="25"/>
  <c r="J5" i="25" s="1"/>
  <c r="AG13" i="10"/>
  <c r="AG12" i="10"/>
  <c r="AG7" i="10"/>
  <c r="AG20" i="10"/>
  <c r="AG21" i="10"/>
  <c r="AG11" i="10"/>
  <c r="A7" i="10"/>
  <c r="B7" i="10"/>
  <c r="D7" i="10"/>
  <c r="E7" i="10"/>
  <c r="AA7" i="10" s="1"/>
  <c r="H7" i="10"/>
  <c r="I7" i="10"/>
  <c r="J7" i="10"/>
  <c r="M7" i="10"/>
  <c r="AD7" i="10" s="1"/>
  <c r="N7" i="10"/>
  <c r="AE7" i="10" s="1"/>
  <c r="O7" i="10"/>
  <c r="AF7" i="10" s="1"/>
  <c r="P7" i="10"/>
  <c r="Q7" i="10"/>
  <c r="AH7" i="10" s="1"/>
  <c r="R7" i="10"/>
  <c r="AI7" i="10" s="1"/>
  <c r="S7" i="10"/>
  <c r="AJ7" i="10" s="1"/>
  <c r="A8" i="10"/>
  <c r="B8" i="10"/>
  <c r="D8" i="10"/>
  <c r="E8" i="10"/>
  <c r="H8" i="10"/>
  <c r="I8" i="10"/>
  <c r="J8" i="10"/>
  <c r="M8" i="10"/>
  <c r="AD8" i="10" s="1"/>
  <c r="N8" i="10"/>
  <c r="AE8" i="10" s="1"/>
  <c r="O8" i="10"/>
  <c r="AF8" i="10" s="1"/>
  <c r="P8" i="10"/>
  <c r="AG8" i="10" s="1"/>
  <c r="Q8" i="10"/>
  <c r="AH8" i="10" s="1"/>
  <c r="R8" i="10"/>
  <c r="AI8" i="10" s="1"/>
  <c r="S8" i="10"/>
  <c r="AJ8" i="10" s="1"/>
  <c r="A9" i="10"/>
  <c r="B9" i="10"/>
  <c r="D9" i="10"/>
  <c r="E9" i="10"/>
  <c r="H9" i="10"/>
  <c r="I9" i="10"/>
  <c r="J9" i="10"/>
  <c r="M9" i="10"/>
  <c r="AD9" i="10" s="1"/>
  <c r="N9" i="10"/>
  <c r="AE9" i="10" s="1"/>
  <c r="O9" i="10"/>
  <c r="AF9" i="10" s="1"/>
  <c r="P9" i="10"/>
  <c r="S9" i="10"/>
  <c r="AJ9" i="10" s="1"/>
  <c r="A10" i="10"/>
  <c r="B10" i="10"/>
  <c r="D10" i="10"/>
  <c r="E10" i="10"/>
  <c r="H10" i="10"/>
  <c r="I10" i="10"/>
  <c r="J10" i="10"/>
  <c r="M10" i="10"/>
  <c r="AD10" i="10" s="1"/>
  <c r="N10" i="10"/>
  <c r="AE10" i="10" s="1"/>
  <c r="O10" i="10"/>
  <c r="AF10" i="10" s="1"/>
  <c r="P10" i="10"/>
  <c r="S10" i="10"/>
  <c r="AJ10" i="10" s="1"/>
  <c r="A11" i="10"/>
  <c r="B11" i="10"/>
  <c r="D11" i="10"/>
  <c r="E11" i="10"/>
  <c r="H11" i="10"/>
  <c r="I11" i="10"/>
  <c r="J11" i="10"/>
  <c r="M11" i="10"/>
  <c r="AD11" i="10" s="1"/>
  <c r="N11" i="10"/>
  <c r="AE11" i="10" s="1"/>
  <c r="O11" i="10"/>
  <c r="AF11" i="10" s="1"/>
  <c r="P11" i="10"/>
  <c r="Q11" i="10"/>
  <c r="AH11" i="10" s="1"/>
  <c r="S11" i="10"/>
  <c r="AJ11" i="10" s="1"/>
  <c r="A12" i="10"/>
  <c r="B12" i="10"/>
  <c r="D12" i="10"/>
  <c r="E12" i="10"/>
  <c r="H12" i="10"/>
  <c r="I12" i="10"/>
  <c r="J12" i="10"/>
  <c r="M12" i="10"/>
  <c r="AD12" i="10" s="1"/>
  <c r="N12" i="10"/>
  <c r="AE12" i="10" s="1"/>
  <c r="O12" i="10"/>
  <c r="AF12" i="10" s="1"/>
  <c r="P12" i="10"/>
  <c r="S12" i="10"/>
  <c r="AJ12" i="10" s="1"/>
  <c r="A13" i="10"/>
  <c r="B13" i="10"/>
  <c r="D13" i="10"/>
  <c r="E13" i="10"/>
  <c r="H13" i="10"/>
  <c r="I13" i="10"/>
  <c r="J13" i="10"/>
  <c r="M13" i="10"/>
  <c r="AD13" i="10" s="1"/>
  <c r="N13" i="10"/>
  <c r="AE13" i="10" s="1"/>
  <c r="O13" i="10"/>
  <c r="AF13" i="10" s="1"/>
  <c r="P13" i="10"/>
  <c r="S13" i="10"/>
  <c r="AJ13" i="10" s="1"/>
  <c r="A14" i="10"/>
  <c r="B14" i="10"/>
  <c r="D14" i="10"/>
  <c r="E14" i="10"/>
  <c r="H14" i="10"/>
  <c r="I14" i="10"/>
  <c r="J14" i="10"/>
  <c r="M14" i="10"/>
  <c r="AD14" i="10" s="1"/>
  <c r="N14" i="10"/>
  <c r="AE14" i="10" s="1"/>
  <c r="O14" i="10"/>
  <c r="AF14" i="10" s="1"/>
  <c r="P14" i="10"/>
  <c r="AG14" i="10" s="1"/>
  <c r="S14" i="10"/>
  <c r="AJ14" i="10" s="1"/>
  <c r="A15" i="10"/>
  <c r="B15" i="10"/>
  <c r="D15" i="10"/>
  <c r="E15" i="10"/>
  <c r="H15" i="10"/>
  <c r="I15" i="10"/>
  <c r="J15" i="10"/>
  <c r="M15" i="10"/>
  <c r="AD15" i="10" s="1"/>
  <c r="N15" i="10"/>
  <c r="AE15" i="10" s="1"/>
  <c r="O15" i="10"/>
  <c r="AF15" i="10" s="1"/>
  <c r="P15" i="10"/>
  <c r="AG15" i="10" s="1"/>
  <c r="Q15" i="10"/>
  <c r="AH15" i="10" s="1"/>
  <c r="S15" i="10"/>
  <c r="AJ15" i="10" s="1"/>
  <c r="A16" i="10"/>
  <c r="B16" i="10"/>
  <c r="D16" i="10"/>
  <c r="E16" i="10"/>
  <c r="H16" i="10"/>
  <c r="I16" i="10"/>
  <c r="J16" i="10"/>
  <c r="M16" i="10"/>
  <c r="AD16" i="10" s="1"/>
  <c r="N16" i="10"/>
  <c r="AE16" i="10" s="1"/>
  <c r="O16" i="10"/>
  <c r="AF16" i="10" s="1"/>
  <c r="P16" i="10"/>
  <c r="AG16" i="10" s="1"/>
  <c r="S16" i="10"/>
  <c r="AJ16" i="10" s="1"/>
  <c r="A17" i="10"/>
  <c r="B17" i="10"/>
  <c r="D17" i="10"/>
  <c r="E17" i="10"/>
  <c r="H17" i="10"/>
  <c r="I17" i="10"/>
  <c r="J17" i="10"/>
  <c r="M17" i="10"/>
  <c r="AD17" i="10" s="1"/>
  <c r="N17" i="10"/>
  <c r="AE17" i="10" s="1"/>
  <c r="O17" i="10"/>
  <c r="AF17" i="10" s="1"/>
  <c r="P17" i="10"/>
  <c r="AG17" i="10" s="1"/>
  <c r="S17" i="10"/>
  <c r="AJ17" i="10" s="1"/>
  <c r="A18" i="10"/>
  <c r="B18" i="10"/>
  <c r="D18" i="10"/>
  <c r="E18" i="10"/>
  <c r="H18" i="10"/>
  <c r="I18" i="10"/>
  <c r="J18" i="10"/>
  <c r="M18" i="10"/>
  <c r="AD18" i="10" s="1"/>
  <c r="N18" i="10"/>
  <c r="AE18" i="10" s="1"/>
  <c r="O18" i="10"/>
  <c r="AF18" i="10" s="1"/>
  <c r="P18" i="10"/>
  <c r="AG18" i="10" s="1"/>
  <c r="S18" i="10"/>
  <c r="AJ18" i="10" s="1"/>
  <c r="A19" i="10"/>
  <c r="B19" i="10"/>
  <c r="D19" i="10"/>
  <c r="E19" i="10"/>
  <c r="H19" i="10"/>
  <c r="I19" i="10"/>
  <c r="J19" i="10"/>
  <c r="M19" i="10"/>
  <c r="AD19" i="10" s="1"/>
  <c r="N19" i="10"/>
  <c r="AE19" i="10" s="1"/>
  <c r="O19" i="10"/>
  <c r="AF19" i="10" s="1"/>
  <c r="P19" i="10"/>
  <c r="AG19" i="10" s="1"/>
  <c r="Q19" i="10"/>
  <c r="AH19" i="10" s="1"/>
  <c r="S19" i="10"/>
  <c r="AJ19" i="10" s="1"/>
  <c r="A20" i="10"/>
  <c r="B20" i="10"/>
  <c r="D20" i="10"/>
  <c r="E20" i="10"/>
  <c r="H20" i="10"/>
  <c r="I20" i="10"/>
  <c r="J20" i="10"/>
  <c r="M20" i="10"/>
  <c r="AD20" i="10" s="1"/>
  <c r="N20" i="10"/>
  <c r="AE20" i="10" s="1"/>
  <c r="O20" i="10"/>
  <c r="AF20" i="10" s="1"/>
  <c r="P20" i="10"/>
  <c r="Q20" i="10"/>
  <c r="AH20" i="10" s="1"/>
  <c r="S20" i="10"/>
  <c r="AJ20" i="10" s="1"/>
  <c r="A21" i="10"/>
  <c r="B21" i="10"/>
  <c r="D21" i="10"/>
  <c r="E21" i="10"/>
  <c r="H21" i="10"/>
  <c r="I21" i="10"/>
  <c r="J21" i="10"/>
  <c r="M21" i="10"/>
  <c r="AD21" i="10" s="1"/>
  <c r="N21" i="10"/>
  <c r="AE21" i="10" s="1"/>
  <c r="O21" i="10"/>
  <c r="AF21" i="10" s="1"/>
  <c r="P21" i="10"/>
  <c r="S21" i="10"/>
  <c r="AJ21" i="10" s="1"/>
  <c r="A22" i="10"/>
  <c r="B22" i="10"/>
  <c r="D22" i="10"/>
  <c r="E22" i="10"/>
  <c r="AA22" i="10" s="1"/>
  <c r="H22" i="10"/>
  <c r="I22" i="10"/>
  <c r="J22" i="10"/>
  <c r="M22" i="10"/>
  <c r="AD22" i="10" s="1"/>
  <c r="N22" i="10"/>
  <c r="AE22" i="10" s="1"/>
  <c r="O22" i="10"/>
  <c r="AF22" i="10" s="1"/>
  <c r="P22" i="10"/>
  <c r="AG22" i="10" s="1"/>
  <c r="Q22" i="10"/>
  <c r="AH22" i="10" s="1"/>
  <c r="R22" i="10"/>
  <c r="AI22" i="10" s="1"/>
  <c r="S22" i="10"/>
  <c r="AJ22" i="10" s="1"/>
  <c r="A23" i="10"/>
  <c r="B23" i="10"/>
  <c r="C23" i="10"/>
  <c r="D23" i="10"/>
  <c r="E23" i="10"/>
  <c r="AA23" i="10" s="1"/>
  <c r="F23" i="10"/>
  <c r="AB23" i="10" s="1"/>
  <c r="H23" i="10"/>
  <c r="I23" i="10"/>
  <c r="J23" i="10"/>
  <c r="M23" i="10"/>
  <c r="AD23" i="10" s="1"/>
  <c r="N23" i="10"/>
  <c r="AE23" i="10" s="1"/>
  <c r="O23" i="10"/>
  <c r="AF23" i="10" s="1"/>
  <c r="P23" i="10"/>
  <c r="AG23" i="10" s="1"/>
  <c r="Q23" i="10"/>
  <c r="AH23" i="10" s="1"/>
  <c r="R23" i="10"/>
  <c r="AI23" i="10" s="1"/>
  <c r="S23" i="10"/>
  <c r="AJ23" i="10" s="1"/>
  <c r="A4" i="10"/>
  <c r="B4" i="10"/>
  <c r="D4" i="10"/>
  <c r="E4" i="10"/>
  <c r="H4" i="10"/>
  <c r="I4" i="10"/>
  <c r="J4" i="10"/>
  <c r="M4" i="10"/>
  <c r="AD4" i="10" s="1"/>
  <c r="N4" i="10"/>
  <c r="AE4" i="10" s="1"/>
  <c r="O4" i="10"/>
  <c r="AF4" i="10" s="1"/>
  <c r="P4" i="10"/>
  <c r="AG4" i="10" s="1"/>
  <c r="Q4" i="10"/>
  <c r="AH4" i="10" s="1"/>
  <c r="R4" i="10"/>
  <c r="AI4" i="10" s="1"/>
  <c r="S4" i="10"/>
  <c r="AJ4" i="10" s="1"/>
  <c r="A5" i="10"/>
  <c r="B5" i="10"/>
  <c r="D5" i="10"/>
  <c r="E5" i="10"/>
  <c r="H5" i="10"/>
  <c r="I5" i="10"/>
  <c r="AC5" i="10" s="1"/>
  <c r="J5" i="10"/>
  <c r="M5" i="10"/>
  <c r="AD5" i="10" s="1"/>
  <c r="N5" i="10"/>
  <c r="AE5" i="10" s="1"/>
  <c r="O5" i="10"/>
  <c r="AF5" i="10" s="1"/>
  <c r="P5" i="10"/>
  <c r="AG5" i="10" s="1"/>
  <c r="Q5" i="10"/>
  <c r="AH5" i="10" s="1"/>
  <c r="R5" i="10"/>
  <c r="AI5" i="10" s="1"/>
  <c r="S5" i="10"/>
  <c r="AJ5" i="10" s="1"/>
  <c r="A3" i="3"/>
  <c r="B3" i="3"/>
  <c r="E3" i="3"/>
  <c r="I3" i="3" s="1"/>
  <c r="F3" i="3"/>
  <c r="G3" i="3" s="1"/>
  <c r="J3" i="3"/>
  <c r="K3" i="3"/>
  <c r="L3" i="3"/>
  <c r="M3" i="3"/>
  <c r="N3" i="3"/>
  <c r="O3" i="3"/>
  <c r="P3" i="3"/>
  <c r="Q3" i="3"/>
  <c r="A4" i="3"/>
  <c r="B4" i="3"/>
  <c r="E4" i="3"/>
  <c r="F4" i="3"/>
  <c r="G4" i="3" s="1"/>
  <c r="J4" i="3"/>
  <c r="K4" i="3"/>
  <c r="L4" i="3"/>
  <c r="M4" i="3"/>
  <c r="N4" i="3"/>
  <c r="O4" i="3"/>
  <c r="P4" i="3"/>
  <c r="Q4" i="3"/>
  <c r="A6" i="3"/>
  <c r="B6" i="3"/>
  <c r="E6" i="3"/>
  <c r="I6" i="3" s="1"/>
  <c r="F6" i="3"/>
  <c r="G6" i="3" s="1"/>
  <c r="J6" i="3"/>
  <c r="K6" i="3"/>
  <c r="L6" i="3"/>
  <c r="M6" i="3"/>
  <c r="N6" i="3"/>
  <c r="O6" i="3"/>
  <c r="P6" i="3"/>
  <c r="Q6" i="3"/>
  <c r="A7" i="3"/>
  <c r="B7" i="3"/>
  <c r="E7" i="3"/>
  <c r="F7" i="3"/>
  <c r="H7" i="3" s="1"/>
  <c r="J7" i="3"/>
  <c r="K7" i="3"/>
  <c r="L7" i="3"/>
  <c r="M7" i="3"/>
  <c r="N7" i="3"/>
  <c r="O7" i="3"/>
  <c r="P7" i="3"/>
  <c r="Q7" i="3"/>
  <c r="A8" i="3"/>
  <c r="B8" i="3"/>
  <c r="D8" i="3"/>
  <c r="E8" i="3"/>
  <c r="I8" i="3" s="1"/>
  <c r="F8" i="3"/>
  <c r="G8" i="3" s="1"/>
  <c r="J8" i="3"/>
  <c r="K8" i="3"/>
  <c r="L8" i="3"/>
  <c r="M8" i="3"/>
  <c r="N8" i="3"/>
  <c r="Q8" i="3"/>
  <c r="A9" i="3"/>
  <c r="B9" i="3"/>
  <c r="D9" i="3"/>
  <c r="E9" i="3"/>
  <c r="F9" i="3"/>
  <c r="G9" i="3" s="1"/>
  <c r="J9" i="3"/>
  <c r="K9" i="3"/>
  <c r="L9" i="3"/>
  <c r="M9" i="3"/>
  <c r="N9" i="3"/>
  <c r="O9" i="3"/>
  <c r="Q9" i="3"/>
  <c r="A10" i="3"/>
  <c r="B10" i="3"/>
  <c r="D10" i="3"/>
  <c r="E10" i="3"/>
  <c r="F10" i="3"/>
  <c r="G10" i="3" s="1"/>
  <c r="J10" i="3"/>
  <c r="K10" i="3"/>
  <c r="L10" i="3"/>
  <c r="M10" i="3"/>
  <c r="N10" i="3"/>
  <c r="Q10" i="3"/>
  <c r="A11" i="3"/>
  <c r="B11" i="3"/>
  <c r="D11" i="3"/>
  <c r="E11" i="3"/>
  <c r="F11" i="3"/>
  <c r="G11" i="3" s="1"/>
  <c r="J11" i="3"/>
  <c r="K11" i="3"/>
  <c r="L11" i="3"/>
  <c r="M11" i="3"/>
  <c r="N11" i="3"/>
  <c r="Q11" i="3"/>
  <c r="A12" i="3"/>
  <c r="B12" i="3"/>
  <c r="D12" i="3"/>
  <c r="E12" i="3"/>
  <c r="F12" i="3"/>
  <c r="G12" i="3" s="1"/>
  <c r="J12" i="3"/>
  <c r="K12" i="3"/>
  <c r="L12" i="3"/>
  <c r="M12" i="3"/>
  <c r="N12" i="3"/>
  <c r="O12" i="3"/>
  <c r="Q12" i="3"/>
  <c r="A13" i="3"/>
  <c r="B13" i="3"/>
  <c r="D13" i="3"/>
  <c r="E13" i="3"/>
  <c r="F13" i="3"/>
  <c r="H13" i="3" s="1"/>
  <c r="J13" i="3"/>
  <c r="K13" i="3"/>
  <c r="L13" i="3"/>
  <c r="M13" i="3"/>
  <c r="N13" i="3"/>
  <c r="Q13" i="3"/>
  <c r="A14" i="3"/>
  <c r="B14" i="3"/>
  <c r="D14" i="3"/>
  <c r="E14" i="3"/>
  <c r="I14" i="3" s="1"/>
  <c r="F14" i="3"/>
  <c r="H14" i="3" s="1"/>
  <c r="J14" i="3"/>
  <c r="K14" i="3"/>
  <c r="L14" i="3"/>
  <c r="M14" i="3"/>
  <c r="N14" i="3"/>
  <c r="Q14" i="3"/>
  <c r="A15" i="3"/>
  <c r="B15" i="3"/>
  <c r="E15" i="3"/>
  <c r="F15" i="3"/>
  <c r="G15" i="3" s="1"/>
  <c r="J15" i="3"/>
  <c r="K15" i="3"/>
  <c r="L15" i="3"/>
  <c r="M15" i="3"/>
  <c r="N15" i="3"/>
  <c r="Q15" i="3"/>
  <c r="A16" i="3"/>
  <c r="B16" i="3"/>
  <c r="D16" i="3"/>
  <c r="E16" i="3"/>
  <c r="F16" i="3"/>
  <c r="H16" i="3" s="1"/>
  <c r="J16" i="3"/>
  <c r="K16" i="3"/>
  <c r="L16" i="3"/>
  <c r="M16" i="3"/>
  <c r="N16" i="3"/>
  <c r="O16" i="3"/>
  <c r="Q16" i="3"/>
  <c r="A17" i="3"/>
  <c r="B17" i="3"/>
  <c r="D17" i="3"/>
  <c r="E17" i="3"/>
  <c r="F17" i="3"/>
  <c r="G17" i="3" s="1"/>
  <c r="J17" i="3"/>
  <c r="K17" i="3"/>
  <c r="L17" i="3"/>
  <c r="M17" i="3"/>
  <c r="N17" i="3"/>
  <c r="O17" i="3"/>
  <c r="Q17" i="3"/>
  <c r="A18" i="3"/>
  <c r="B18" i="3"/>
  <c r="D18" i="3"/>
  <c r="E18" i="3"/>
  <c r="I18" i="3" s="1"/>
  <c r="F18" i="3"/>
  <c r="H18" i="3" s="1"/>
  <c r="J18" i="3"/>
  <c r="K18" i="3"/>
  <c r="L18" i="3"/>
  <c r="M18" i="3"/>
  <c r="N18" i="3"/>
  <c r="Q18" i="3"/>
  <c r="Q5" i="25" l="1"/>
  <c r="J16" i="25"/>
  <c r="P5" i="25"/>
  <c r="I16" i="25"/>
  <c r="D5" i="25"/>
  <c r="K10" i="10"/>
  <c r="K7" i="10"/>
  <c r="T6" i="3"/>
  <c r="G14" i="3"/>
  <c r="AS17" i="3"/>
  <c r="R4" i="3"/>
  <c r="AI17" i="3"/>
  <c r="K13" i="10"/>
  <c r="K17" i="10"/>
  <c r="BV17" i="3"/>
  <c r="K18" i="10"/>
  <c r="T10" i="3"/>
  <c r="R7" i="3"/>
  <c r="Z6" i="3"/>
  <c r="AB6" i="3" s="1"/>
  <c r="K4" i="10"/>
  <c r="K5" i="10"/>
  <c r="K21" i="10"/>
  <c r="T3" i="3"/>
  <c r="T12" i="3"/>
  <c r="R3" i="3"/>
  <c r="AO3" i="3" s="1"/>
  <c r="BD17" i="3"/>
  <c r="Z14" i="3"/>
  <c r="AB14" i="3" s="1"/>
  <c r="R12" i="3"/>
  <c r="T4" i="3"/>
  <c r="H4" i="3"/>
  <c r="K23" i="10"/>
  <c r="K22" i="10"/>
  <c r="K9" i="10"/>
  <c r="R6" i="3"/>
  <c r="AO6" i="3" s="1"/>
  <c r="R17" i="3"/>
  <c r="AO17" i="3" s="1"/>
  <c r="S7" i="3"/>
  <c r="H3" i="3"/>
  <c r="BN17" i="3"/>
  <c r="Z8" i="3"/>
  <c r="AB8" i="3" s="1"/>
  <c r="S4" i="3"/>
  <c r="H8" i="3"/>
  <c r="L4" i="10"/>
  <c r="K15" i="10"/>
  <c r="K11" i="10"/>
  <c r="X17" i="3"/>
  <c r="K20" i="10"/>
  <c r="K16" i="10"/>
  <c r="K8" i="10"/>
  <c r="G18" i="3"/>
  <c r="L5" i="10"/>
  <c r="Z18" i="3"/>
  <c r="AB18" i="3" s="1"/>
  <c r="AG17" i="3"/>
  <c r="AP17" i="3"/>
  <c r="AR17" i="3" s="1"/>
  <c r="BA17" i="3"/>
  <c r="BC17" i="3" s="1"/>
  <c r="BK17" i="3"/>
  <c r="BT17" i="3"/>
  <c r="AJ17" i="3"/>
  <c r="BW17" i="3"/>
  <c r="AH17" i="3"/>
  <c r="AQ17" i="3"/>
  <c r="BM17" i="3"/>
  <c r="BU17" i="3"/>
  <c r="CE17" i="3"/>
  <c r="AT17" i="3"/>
  <c r="AV17" i="3" s="1"/>
  <c r="BO17" i="3"/>
  <c r="AA17" i="3"/>
  <c r="AL17" i="3"/>
  <c r="BF17" i="3"/>
  <c r="BP17" i="3"/>
  <c r="BX17" i="3"/>
  <c r="AC17" i="3"/>
  <c r="AM17" i="3"/>
  <c r="AW17" i="3"/>
  <c r="AY17" i="3" s="1"/>
  <c r="BH17" i="3"/>
  <c r="BQ17" i="3"/>
  <c r="AD17" i="3"/>
  <c r="AF17" i="3" s="1"/>
  <c r="AN17" i="3"/>
  <c r="AX17" i="3"/>
  <c r="BI17" i="3"/>
  <c r="BR17" i="3"/>
  <c r="Z17" i="3"/>
  <c r="AB17" i="3" s="1"/>
  <c r="BE17" i="3"/>
  <c r="BG17" i="3"/>
  <c r="AE17" i="3"/>
  <c r="AZ17" i="3"/>
  <c r="BJ17" i="3"/>
  <c r="BS17" i="3"/>
  <c r="AC4" i="10"/>
  <c r="AA3" i="3"/>
  <c r="G7" i="3"/>
  <c r="H6" i="3"/>
  <c r="BL17" i="3"/>
  <c r="AK17" i="3"/>
  <c r="U17" i="3"/>
  <c r="V17" i="3" s="1"/>
  <c r="H11" i="3"/>
  <c r="K12" i="10"/>
  <c r="K19" i="10"/>
  <c r="K14" i="10"/>
  <c r="AC23" i="10"/>
  <c r="L23" i="10"/>
  <c r="AC22" i="10"/>
  <c r="L22" i="10"/>
  <c r="AC21" i="10"/>
  <c r="L21" i="10"/>
  <c r="AC20" i="10"/>
  <c r="L20" i="10"/>
  <c r="AC19" i="10"/>
  <c r="L19" i="10"/>
  <c r="AC18" i="10"/>
  <c r="L18" i="10"/>
  <c r="AC17" i="10"/>
  <c r="L17" i="10"/>
  <c r="AC16" i="10"/>
  <c r="L16" i="10"/>
  <c r="AC15" i="10"/>
  <c r="L15" i="10"/>
  <c r="AC14" i="10"/>
  <c r="L14" i="10"/>
  <c r="AC13" i="10"/>
  <c r="L13" i="10"/>
  <c r="AC12" i="10"/>
  <c r="L12" i="10"/>
  <c r="AC11" i="10"/>
  <c r="L11" i="10"/>
  <c r="AC10" i="10"/>
  <c r="L10" i="10"/>
  <c r="AC9" i="10"/>
  <c r="L9" i="10"/>
  <c r="AC8" i="10"/>
  <c r="L8" i="10"/>
  <c r="AC7" i="10"/>
  <c r="L7" i="10"/>
  <c r="CE18" i="3"/>
  <c r="CE8" i="3"/>
  <c r="CE14" i="3"/>
  <c r="CE3" i="3"/>
  <c r="CE6" i="3"/>
  <c r="CC3" i="3"/>
  <c r="CC6" i="3"/>
  <c r="CB6" i="3"/>
  <c r="CD6" i="3" s="1"/>
  <c r="CB3" i="3"/>
  <c r="CD3" i="3" s="1"/>
  <c r="BY6" i="3"/>
  <c r="CA6" i="3" s="1"/>
  <c r="BZ3" i="3"/>
  <c r="BZ6" i="3"/>
  <c r="BY3" i="3"/>
  <c r="CA3" i="3" s="1"/>
  <c r="BX8" i="3"/>
  <c r="BX14" i="3"/>
  <c r="BX18" i="3"/>
  <c r="BX3" i="3"/>
  <c r="BX6" i="3"/>
  <c r="BW6" i="3"/>
  <c r="BW3" i="3"/>
  <c r="BV6" i="3"/>
  <c r="BV3" i="3"/>
  <c r="BU8" i="3"/>
  <c r="BU14" i="3"/>
  <c r="BU6" i="3"/>
  <c r="BU18" i="3"/>
  <c r="BU3" i="3"/>
  <c r="BT8" i="3"/>
  <c r="BT14" i="3"/>
  <c r="BT6" i="3"/>
  <c r="BT18" i="3"/>
  <c r="BT3" i="3"/>
  <c r="BS8" i="3"/>
  <c r="BR3" i="3"/>
  <c r="BS14" i="3"/>
  <c r="BS3" i="3"/>
  <c r="BS6" i="3"/>
  <c r="BS18" i="3"/>
  <c r="BR6" i="3"/>
  <c r="BQ6" i="3"/>
  <c r="BQ3" i="3"/>
  <c r="BP8" i="3"/>
  <c r="BP14" i="3"/>
  <c r="BP6" i="3"/>
  <c r="BP18" i="3"/>
  <c r="BP3" i="3"/>
  <c r="BO8" i="3"/>
  <c r="BO14" i="3"/>
  <c r="BO6" i="3"/>
  <c r="BO18" i="3"/>
  <c r="BO3" i="3"/>
  <c r="BN8" i="3"/>
  <c r="BN14" i="3"/>
  <c r="BN6" i="3"/>
  <c r="BN18" i="3"/>
  <c r="BN3" i="3"/>
  <c r="BM6" i="3"/>
  <c r="BM3" i="3"/>
  <c r="BL3" i="3"/>
  <c r="BL6" i="3"/>
  <c r="BK8" i="3"/>
  <c r="BK14" i="3"/>
  <c r="BK6" i="3"/>
  <c r="BK18" i="3"/>
  <c r="BK3" i="3"/>
  <c r="BJ8" i="3"/>
  <c r="BJ14" i="3"/>
  <c r="BI6" i="3"/>
  <c r="BJ6" i="3"/>
  <c r="BJ18" i="3"/>
  <c r="BJ3" i="3"/>
  <c r="BI8" i="3"/>
  <c r="BI14" i="3"/>
  <c r="BI18" i="3"/>
  <c r="BH3" i="3"/>
  <c r="BH6" i="3"/>
  <c r="BI3" i="3"/>
  <c r="BG6" i="3"/>
  <c r="BG3" i="3"/>
  <c r="BF8" i="3"/>
  <c r="BF14" i="3"/>
  <c r="BF6" i="3"/>
  <c r="BF18" i="3"/>
  <c r="BF3" i="3"/>
  <c r="BE8" i="3"/>
  <c r="BE14" i="3"/>
  <c r="BE6" i="3"/>
  <c r="BE18" i="3"/>
  <c r="BE3" i="3"/>
  <c r="BD8" i="3"/>
  <c r="BD14" i="3"/>
  <c r="BD3" i="3"/>
  <c r="BD6" i="3"/>
  <c r="BD18" i="3"/>
  <c r="BB6" i="3"/>
  <c r="BB3" i="3"/>
  <c r="BA6" i="3"/>
  <c r="BC6" i="3" s="1"/>
  <c r="BA3" i="3"/>
  <c r="BC3" i="3" s="1"/>
  <c r="AZ8" i="3"/>
  <c r="AZ14" i="3"/>
  <c r="AZ3" i="3"/>
  <c r="AZ6" i="3"/>
  <c r="AZ18" i="3"/>
  <c r="AX8" i="3"/>
  <c r="AX14" i="3"/>
  <c r="AX6" i="3"/>
  <c r="AX18" i="3"/>
  <c r="AX3" i="3"/>
  <c r="AW8" i="3"/>
  <c r="AY8" i="3" s="1"/>
  <c r="AW14" i="3"/>
  <c r="AY14" i="3" s="1"/>
  <c r="AW3" i="3"/>
  <c r="AY3" i="3" s="1"/>
  <c r="AW6" i="3"/>
  <c r="AY6" i="3" s="1"/>
  <c r="AW18" i="3"/>
  <c r="AY18" i="3" s="1"/>
  <c r="AU6" i="3"/>
  <c r="AU3" i="3"/>
  <c r="AS6" i="3"/>
  <c r="AT6" i="3"/>
  <c r="AV6" i="3" s="1"/>
  <c r="AT3" i="3"/>
  <c r="AV3" i="3" s="1"/>
  <c r="AS8" i="3"/>
  <c r="AS14" i="3"/>
  <c r="AS18" i="3"/>
  <c r="AQ14" i="3"/>
  <c r="AS3" i="3"/>
  <c r="AQ8" i="3"/>
  <c r="AQ6" i="3"/>
  <c r="AQ18" i="3"/>
  <c r="AQ3" i="3"/>
  <c r="AP8" i="3"/>
  <c r="AR8" i="3" s="1"/>
  <c r="AP14" i="3"/>
  <c r="AR14" i="3" s="1"/>
  <c r="AP3" i="3"/>
  <c r="AR3" i="3" s="1"/>
  <c r="AP6" i="3"/>
  <c r="AR6" i="3" s="1"/>
  <c r="AP18" i="3"/>
  <c r="AR18" i="3" s="1"/>
  <c r="AN8" i="3"/>
  <c r="AN14" i="3"/>
  <c r="AN3" i="3"/>
  <c r="AN6" i="3"/>
  <c r="AN18" i="3"/>
  <c r="AM14" i="3"/>
  <c r="AM8" i="3"/>
  <c r="AM6" i="3"/>
  <c r="AM18" i="3"/>
  <c r="AM3" i="3"/>
  <c r="AL8" i="3"/>
  <c r="AL14" i="3"/>
  <c r="AL6" i="3"/>
  <c r="AL18" i="3"/>
  <c r="AL3" i="3"/>
  <c r="AK8" i="3"/>
  <c r="AK14" i="3"/>
  <c r="AJ8" i="3"/>
  <c r="AK6" i="3"/>
  <c r="AK18" i="3"/>
  <c r="AJ18" i="3"/>
  <c r="AK3" i="3"/>
  <c r="AJ14" i="3"/>
  <c r="AJ3" i="3"/>
  <c r="AJ6" i="3"/>
  <c r="AI8" i="3"/>
  <c r="AI14" i="3"/>
  <c r="AI3" i="3"/>
  <c r="AI6" i="3"/>
  <c r="AI18" i="3"/>
  <c r="AH8" i="3"/>
  <c r="AH14" i="3"/>
  <c r="AH6" i="3"/>
  <c r="AH18" i="3"/>
  <c r="AH3" i="3"/>
  <c r="AG8" i="3"/>
  <c r="AG14" i="3"/>
  <c r="AG3" i="3"/>
  <c r="AG6" i="3"/>
  <c r="AG18" i="3"/>
  <c r="AE8" i="3"/>
  <c r="AE14" i="3"/>
  <c r="AE6" i="3"/>
  <c r="AE18" i="3"/>
  <c r="AE3" i="3"/>
  <c r="AD8" i="3"/>
  <c r="AF8" i="3" s="1"/>
  <c r="AD14" i="3"/>
  <c r="AF14" i="3" s="1"/>
  <c r="AD6" i="3"/>
  <c r="AF6" i="3" s="1"/>
  <c r="AD18" i="3"/>
  <c r="AF18" i="3" s="1"/>
  <c r="AD3" i="3"/>
  <c r="AF3" i="3" s="1"/>
  <c r="AC18" i="3"/>
  <c r="AC14" i="3"/>
  <c r="AC8" i="3"/>
  <c r="AC6" i="3"/>
  <c r="AA18" i="3"/>
  <c r="AC3" i="3"/>
  <c r="AA8" i="3"/>
  <c r="AA14" i="3"/>
  <c r="AA6" i="3"/>
  <c r="Z3" i="3"/>
  <c r="AB3" i="3" s="1"/>
  <c r="X3" i="3"/>
  <c r="W3" i="3"/>
  <c r="Y3" i="3" s="1"/>
  <c r="U3" i="3"/>
  <c r="V3" i="3" s="1"/>
  <c r="CE4" i="3"/>
  <c r="S3" i="3"/>
  <c r="T18" i="3"/>
  <c r="U18" i="3"/>
  <c r="V18" i="3" s="1"/>
  <c r="R9" i="3"/>
  <c r="T16" i="3"/>
  <c r="I15" i="3"/>
  <c r="CE15" i="3" s="1"/>
  <c r="T13" i="3"/>
  <c r="I13" i="3"/>
  <c r="CE13" i="3" s="1"/>
  <c r="G13" i="3"/>
  <c r="I12" i="3"/>
  <c r="CE12" i="3" s="1"/>
  <c r="T9" i="3"/>
  <c r="I16" i="3"/>
  <c r="CE16" i="3" s="1"/>
  <c r="U14" i="3"/>
  <c r="V14" i="3" s="1"/>
  <c r="H12" i="3"/>
  <c r="H9" i="3"/>
  <c r="G16" i="3"/>
  <c r="T11" i="3"/>
  <c r="H10" i="3"/>
  <c r="W17" i="3"/>
  <c r="Y17" i="3" s="1"/>
  <c r="U8" i="3"/>
  <c r="V8" i="3" s="1"/>
  <c r="U6" i="3"/>
  <c r="V6" i="3" s="1"/>
  <c r="X18" i="3"/>
  <c r="X8" i="3"/>
  <c r="X14" i="3"/>
  <c r="X6" i="3"/>
  <c r="W18" i="3"/>
  <c r="Y18" i="3" s="1"/>
  <c r="W8" i="3"/>
  <c r="Y8" i="3" s="1"/>
  <c r="W14" i="3"/>
  <c r="Y14" i="3" s="1"/>
  <c r="W6" i="3"/>
  <c r="Y6" i="3" s="1"/>
  <c r="H17" i="3"/>
  <c r="R16" i="3"/>
  <c r="T14" i="3"/>
  <c r="T17" i="3"/>
  <c r="T15" i="3"/>
  <c r="H15" i="3"/>
  <c r="S6" i="3"/>
  <c r="I11" i="3"/>
  <c r="CE11" i="3" s="1"/>
  <c r="I10" i="3"/>
  <c r="CE10" i="3" s="1"/>
  <c r="T8" i="3"/>
  <c r="I7" i="3"/>
  <c r="CE7" i="3" s="1"/>
  <c r="T7" i="3"/>
  <c r="I9" i="3"/>
  <c r="CE9" i="3" s="1"/>
  <c r="A4" i="12"/>
  <c r="B4" i="12"/>
  <c r="C4" i="12"/>
  <c r="G4" i="12" s="1"/>
  <c r="H4" i="12" s="1"/>
  <c r="D4" i="12"/>
  <c r="E4" i="12" s="1"/>
  <c r="F4" i="12" s="1"/>
  <c r="A5" i="12"/>
  <c r="B5" i="12"/>
  <c r="C5" i="12"/>
  <c r="G5" i="12" s="1"/>
  <c r="H5" i="12" s="1"/>
  <c r="D5" i="12"/>
  <c r="E5" i="12" s="1"/>
  <c r="F5" i="12" s="1"/>
  <c r="A6" i="12"/>
  <c r="B6" i="12"/>
  <c r="C6" i="12"/>
  <c r="G6" i="12" s="1"/>
  <c r="D6" i="12"/>
  <c r="E6" i="12" s="1"/>
  <c r="F6" i="12" s="1"/>
  <c r="A7" i="12"/>
  <c r="B7" i="12"/>
  <c r="C7" i="12"/>
  <c r="G7" i="12" s="1"/>
  <c r="H7" i="12" s="1"/>
  <c r="D7" i="12"/>
  <c r="E7" i="12" s="1"/>
  <c r="F7" i="12" s="1"/>
  <c r="A8" i="12"/>
  <c r="B8" i="12"/>
  <c r="C8" i="12"/>
  <c r="G8" i="12" s="1"/>
  <c r="H8" i="12" s="1"/>
  <c r="D8" i="12"/>
  <c r="E8" i="12" s="1"/>
  <c r="F8" i="12" s="1"/>
  <c r="A9" i="12"/>
  <c r="B9" i="12"/>
  <c r="C9" i="12"/>
  <c r="G9" i="12" s="1"/>
  <c r="D9" i="12"/>
  <c r="E9" i="12" s="1"/>
  <c r="F9" i="12" s="1"/>
  <c r="A10" i="12"/>
  <c r="B10" i="12"/>
  <c r="C10" i="12"/>
  <c r="G10" i="12" s="1"/>
  <c r="D10" i="12"/>
  <c r="E10" i="12" s="1"/>
  <c r="F10" i="12" s="1"/>
  <c r="A11" i="12"/>
  <c r="B11" i="12"/>
  <c r="C11" i="12"/>
  <c r="G11" i="12" s="1"/>
  <c r="H11" i="12" s="1"/>
  <c r="D11" i="12"/>
  <c r="E11" i="12" s="1"/>
  <c r="A12" i="12"/>
  <c r="B12" i="12"/>
  <c r="C12" i="12"/>
  <c r="G12" i="12" s="1"/>
  <c r="H12" i="12" s="1"/>
  <c r="D12" i="12"/>
  <c r="E12" i="12" s="1"/>
  <c r="F12" i="12" s="1"/>
  <c r="A13" i="12"/>
  <c r="B13" i="12"/>
  <c r="C13" i="12"/>
  <c r="G13" i="12" s="1"/>
  <c r="D13" i="12"/>
  <c r="E13" i="12" s="1"/>
  <c r="F13" i="12" s="1"/>
  <c r="A14" i="12"/>
  <c r="B14" i="12"/>
  <c r="C14" i="12"/>
  <c r="G14" i="12" s="1"/>
  <c r="D14" i="12"/>
  <c r="E14" i="12" s="1"/>
  <c r="F14" i="12" s="1"/>
  <c r="A15" i="12"/>
  <c r="B15" i="12"/>
  <c r="C15" i="12"/>
  <c r="G15" i="12" s="1"/>
  <c r="H15" i="12" s="1"/>
  <c r="D15" i="12"/>
  <c r="E15" i="12" s="1"/>
  <c r="F15" i="12" s="1"/>
  <c r="A16" i="12"/>
  <c r="B16" i="12"/>
  <c r="C16" i="12"/>
  <c r="G16" i="12" s="1"/>
  <c r="D16" i="12"/>
  <c r="E16" i="12" s="1"/>
  <c r="F16" i="12" s="1"/>
  <c r="A17" i="12"/>
  <c r="B17" i="12"/>
  <c r="C17" i="12"/>
  <c r="G17" i="12" s="1"/>
  <c r="D17" i="12"/>
  <c r="E17" i="12" s="1"/>
  <c r="F17" i="12" s="1"/>
  <c r="A18" i="12"/>
  <c r="B18" i="12"/>
  <c r="C18" i="12"/>
  <c r="G18" i="12" s="1"/>
  <c r="D18" i="12"/>
  <c r="E18" i="12" s="1"/>
  <c r="F18" i="12" s="1"/>
  <c r="A19" i="12"/>
  <c r="B19" i="12"/>
  <c r="C19" i="12"/>
  <c r="G19" i="12" s="1"/>
  <c r="H19" i="12" s="1"/>
  <c r="D19" i="12"/>
  <c r="E19" i="12" s="1"/>
  <c r="F19" i="12" s="1"/>
  <c r="A20" i="12"/>
  <c r="B20" i="12"/>
  <c r="C20" i="12"/>
  <c r="G20" i="12" s="1"/>
  <c r="D20" i="12"/>
  <c r="E20" i="12" s="1"/>
  <c r="F20" i="12" s="1"/>
  <c r="A21" i="12"/>
  <c r="B21" i="12"/>
  <c r="C21" i="12"/>
  <c r="G21" i="12" s="1"/>
  <c r="D21" i="12"/>
  <c r="E21" i="12" s="1"/>
  <c r="F21" i="12" s="1"/>
  <c r="A22" i="12"/>
  <c r="B22" i="12"/>
  <c r="C22" i="12"/>
  <c r="G22" i="12" s="1"/>
  <c r="D22" i="12"/>
  <c r="E22" i="12" s="1"/>
  <c r="F22" i="12" s="1"/>
  <c r="A23" i="12"/>
  <c r="B23" i="12"/>
  <c r="C23" i="12"/>
  <c r="G23" i="12" s="1"/>
  <c r="H23" i="12" s="1"/>
  <c r="D23" i="12"/>
  <c r="E23" i="12" s="1"/>
  <c r="F23" i="12" s="1"/>
  <c r="A24" i="12"/>
  <c r="B24" i="12"/>
  <c r="C24" i="12"/>
  <c r="G24" i="12" s="1"/>
  <c r="D24" i="12"/>
  <c r="E24" i="12" s="1"/>
  <c r="F24" i="12" s="1"/>
  <c r="A25" i="12"/>
  <c r="B25" i="12"/>
  <c r="C25" i="12"/>
  <c r="G25" i="12" s="1"/>
  <c r="D25" i="12"/>
  <c r="E25" i="12" s="1"/>
  <c r="F25" i="12" s="1"/>
  <c r="A26" i="12"/>
  <c r="B26" i="12"/>
  <c r="C26" i="12"/>
  <c r="G26" i="12" s="1"/>
  <c r="D26" i="12"/>
  <c r="E26" i="12" s="1"/>
  <c r="F26" i="12" s="1"/>
  <c r="A27" i="12"/>
  <c r="B27" i="12"/>
  <c r="C27" i="12"/>
  <c r="G27" i="12" s="1"/>
  <c r="H27" i="12" s="1"/>
  <c r="D27" i="12"/>
  <c r="E27" i="12" s="1"/>
  <c r="F27" i="12" s="1"/>
  <c r="A28" i="12"/>
  <c r="B28" i="12"/>
  <c r="C28" i="12"/>
  <c r="G28" i="12" s="1"/>
  <c r="D28" i="12"/>
  <c r="E28" i="12" s="1"/>
  <c r="F28" i="12" s="1"/>
  <c r="A29" i="12"/>
  <c r="B29" i="12"/>
  <c r="C29" i="12"/>
  <c r="G29" i="12" s="1"/>
  <c r="D29" i="12"/>
  <c r="E29" i="12" s="1"/>
  <c r="F29" i="12" s="1"/>
  <c r="A30" i="12"/>
  <c r="B30" i="12"/>
  <c r="C30" i="12"/>
  <c r="G30" i="12" s="1"/>
  <c r="D30" i="12"/>
  <c r="E30" i="12" s="1"/>
  <c r="F30" i="12" s="1"/>
  <c r="A31" i="12"/>
  <c r="B31" i="12"/>
  <c r="C31" i="12"/>
  <c r="G31" i="12" s="1"/>
  <c r="H31" i="12" s="1"/>
  <c r="D31" i="12"/>
  <c r="E31" i="12" s="1"/>
  <c r="F31" i="12" s="1"/>
  <c r="D3" i="12"/>
  <c r="C3" i="12"/>
  <c r="B3" i="12"/>
  <c r="A3" i="12"/>
  <c r="AP19" i="1"/>
  <c r="AG19" i="1"/>
  <c r="AH19" i="1"/>
  <c r="AI19" i="1"/>
  <c r="AJ19" i="1"/>
  <c r="AK19" i="1"/>
  <c r="AL19" i="1"/>
  <c r="AM19" i="1"/>
  <c r="AN19" i="1"/>
  <c r="AO19" i="1"/>
  <c r="U19" i="1"/>
  <c r="W19" i="1"/>
  <c r="R19" i="1"/>
  <c r="S19" i="1"/>
  <c r="P19" i="1"/>
  <c r="J19" i="1"/>
  <c r="K19" i="1"/>
  <c r="L19" i="1"/>
  <c r="AP4" i="1"/>
  <c r="AG4" i="1"/>
  <c r="AH4" i="1"/>
  <c r="AI4" i="1"/>
  <c r="AJ4" i="1"/>
  <c r="AK4" i="1"/>
  <c r="AL4" i="1"/>
  <c r="AM4" i="1"/>
  <c r="AN4" i="1"/>
  <c r="AO4" i="1"/>
  <c r="U4" i="1"/>
  <c r="W4" i="1"/>
  <c r="R4" i="1"/>
  <c r="S4" i="1"/>
  <c r="P4" i="1"/>
  <c r="J4" i="1"/>
  <c r="K4" i="1"/>
  <c r="L4" i="1"/>
  <c r="K16" i="25" l="1"/>
  <c r="F5" i="25"/>
  <c r="M5" i="25" s="1"/>
  <c r="K5" i="25"/>
  <c r="E5" i="25"/>
  <c r="L5" i="25" s="1"/>
  <c r="C2" i="25"/>
  <c r="B2" i="25"/>
  <c r="B17" i="25"/>
  <c r="P13" i="25" s="1"/>
  <c r="C17" i="25"/>
  <c r="Q13" i="25" s="1"/>
  <c r="I24" i="12"/>
  <c r="J31" i="12"/>
  <c r="I28" i="12"/>
  <c r="H28" i="12"/>
  <c r="J28" i="12" s="1"/>
  <c r="J4" i="12"/>
  <c r="I20" i="12"/>
  <c r="J12" i="12"/>
  <c r="J8" i="12"/>
  <c r="CB7" i="3"/>
  <c r="CD7" i="3" s="1"/>
  <c r="CC7" i="3"/>
  <c r="CB4" i="3"/>
  <c r="CD4" i="3" s="1"/>
  <c r="CC4" i="3"/>
  <c r="BZ7" i="3"/>
  <c r="BZ4" i="3"/>
  <c r="BX12" i="3"/>
  <c r="BX15" i="3"/>
  <c r="BX4" i="3"/>
  <c r="BY4" i="3"/>
  <c r="CA4" i="3" s="1"/>
  <c r="BX10" i="3"/>
  <c r="BX16" i="3"/>
  <c r="BX11" i="3"/>
  <c r="BX9" i="3"/>
  <c r="BX7" i="3"/>
  <c r="BY7" i="3"/>
  <c r="CA7" i="3" s="1"/>
  <c r="BX13" i="3"/>
  <c r="BV12" i="3"/>
  <c r="BW12" i="3"/>
  <c r="BV9" i="3"/>
  <c r="BW9" i="3"/>
  <c r="BV16" i="3"/>
  <c r="BW16" i="3"/>
  <c r="BV4" i="3"/>
  <c r="BW4" i="3"/>
  <c r="BV7" i="3"/>
  <c r="BW7" i="3"/>
  <c r="BT16" i="3"/>
  <c r="BU16" i="3"/>
  <c r="BT15" i="3"/>
  <c r="BU15" i="3"/>
  <c r="BT11" i="3"/>
  <c r="BU11" i="3"/>
  <c r="BT10" i="3"/>
  <c r="BU10" i="3"/>
  <c r="BT7" i="3"/>
  <c r="BU7" i="3"/>
  <c r="BT9" i="3"/>
  <c r="BU9" i="3"/>
  <c r="BT12" i="3"/>
  <c r="BU12" i="3"/>
  <c r="BT13" i="3"/>
  <c r="BU13" i="3"/>
  <c r="BT4" i="3"/>
  <c r="BU4" i="3"/>
  <c r="BS11" i="3"/>
  <c r="BR4" i="3"/>
  <c r="BS4" i="3"/>
  <c r="BR9" i="3"/>
  <c r="BS9" i="3"/>
  <c r="BS15" i="3"/>
  <c r="BR7" i="3"/>
  <c r="BS7" i="3"/>
  <c r="BR12" i="3"/>
  <c r="BS12" i="3"/>
  <c r="BS13" i="3"/>
  <c r="BS10" i="3"/>
  <c r="BR16" i="3"/>
  <c r="BS16" i="3"/>
  <c r="BP10" i="3"/>
  <c r="BP12" i="3"/>
  <c r="BQ12" i="3"/>
  <c r="BP7" i="3"/>
  <c r="BQ7" i="3"/>
  <c r="BP16" i="3"/>
  <c r="BQ16" i="3"/>
  <c r="BP4" i="3"/>
  <c r="BQ4" i="3"/>
  <c r="BP13" i="3"/>
  <c r="BP11" i="3"/>
  <c r="BP9" i="3"/>
  <c r="BQ9" i="3"/>
  <c r="BP15" i="3"/>
  <c r="BN16" i="3"/>
  <c r="BO16" i="3"/>
  <c r="BN13" i="3"/>
  <c r="BO13" i="3"/>
  <c r="BN11" i="3"/>
  <c r="BO11" i="3"/>
  <c r="BN4" i="3"/>
  <c r="BO4" i="3"/>
  <c r="BN10" i="3"/>
  <c r="BO10" i="3"/>
  <c r="BN12" i="3"/>
  <c r="BO12" i="3"/>
  <c r="BN15" i="3"/>
  <c r="BO15" i="3"/>
  <c r="BN9" i="3"/>
  <c r="BO9" i="3"/>
  <c r="BN7" i="3"/>
  <c r="BO7" i="3"/>
  <c r="BL16" i="3"/>
  <c r="BM16" i="3"/>
  <c r="BL4" i="3"/>
  <c r="BM4" i="3"/>
  <c r="BL9" i="3"/>
  <c r="BM9" i="3"/>
  <c r="BL7" i="3"/>
  <c r="BM7" i="3"/>
  <c r="BL12" i="3"/>
  <c r="BM12" i="3"/>
  <c r="BJ9" i="3"/>
  <c r="BK9" i="3"/>
  <c r="BJ4" i="3"/>
  <c r="BK4" i="3"/>
  <c r="BJ7" i="3"/>
  <c r="BK7" i="3"/>
  <c r="BJ13" i="3"/>
  <c r="BK13" i="3"/>
  <c r="BJ10" i="3"/>
  <c r="BK10" i="3"/>
  <c r="BJ12" i="3"/>
  <c r="BK12" i="3"/>
  <c r="BJ15" i="3"/>
  <c r="BK15" i="3"/>
  <c r="BJ11" i="3"/>
  <c r="BK11" i="3"/>
  <c r="BJ16" i="3"/>
  <c r="BK16" i="3"/>
  <c r="BH12" i="3"/>
  <c r="BI12" i="3"/>
  <c r="BI10" i="3"/>
  <c r="BI13" i="3"/>
  <c r="BH16" i="3"/>
  <c r="BI16" i="3"/>
  <c r="BI15" i="3"/>
  <c r="BH4" i="3"/>
  <c r="BI4" i="3"/>
  <c r="BH9" i="3"/>
  <c r="BI9" i="3"/>
  <c r="BH7" i="3"/>
  <c r="BI7" i="3"/>
  <c r="BI11" i="3"/>
  <c r="BF12" i="3"/>
  <c r="BG12" i="3"/>
  <c r="BF11" i="3"/>
  <c r="BF10" i="3"/>
  <c r="BF16" i="3"/>
  <c r="BG16" i="3"/>
  <c r="BF13" i="3"/>
  <c r="BF9" i="3"/>
  <c r="BG9" i="3"/>
  <c r="BF7" i="3"/>
  <c r="BG7" i="3"/>
  <c r="BF15" i="3"/>
  <c r="BF4" i="3"/>
  <c r="BG4" i="3"/>
  <c r="BD16" i="3"/>
  <c r="BE16" i="3"/>
  <c r="BD15" i="3"/>
  <c r="BE15" i="3"/>
  <c r="BD9" i="3"/>
  <c r="BE9" i="3"/>
  <c r="BD11" i="3"/>
  <c r="BE11" i="3"/>
  <c r="BD12" i="3"/>
  <c r="BE12" i="3"/>
  <c r="BD4" i="3"/>
  <c r="BE4" i="3"/>
  <c r="BD7" i="3"/>
  <c r="BE7" i="3"/>
  <c r="BD13" i="3"/>
  <c r="BE13" i="3"/>
  <c r="BD10" i="3"/>
  <c r="BE10" i="3"/>
  <c r="BA9" i="3"/>
  <c r="BC9" i="3" s="1"/>
  <c r="BA16" i="3"/>
  <c r="BC16" i="3" s="1"/>
  <c r="BA7" i="3"/>
  <c r="BC7" i="3" s="1"/>
  <c r="BB7" i="3"/>
  <c r="BA4" i="3"/>
  <c r="BC4" i="3" s="1"/>
  <c r="BB4" i="3"/>
  <c r="BA12" i="3"/>
  <c r="BC12" i="3" s="1"/>
  <c r="AX9" i="3"/>
  <c r="AZ9" i="3"/>
  <c r="AX10" i="3"/>
  <c r="AZ10" i="3"/>
  <c r="AX12" i="3"/>
  <c r="AZ12" i="3"/>
  <c r="AX11" i="3"/>
  <c r="AZ11" i="3"/>
  <c r="AX15" i="3"/>
  <c r="AZ15" i="3"/>
  <c r="AX4" i="3"/>
  <c r="AZ4" i="3"/>
  <c r="AX13" i="3"/>
  <c r="AZ13" i="3"/>
  <c r="AX7" i="3"/>
  <c r="AZ7" i="3"/>
  <c r="AX16" i="3"/>
  <c r="AZ16" i="3"/>
  <c r="AW11" i="3"/>
  <c r="AY11" i="3" s="1"/>
  <c r="AW15" i="3"/>
  <c r="AY15" i="3" s="1"/>
  <c r="AW10" i="3"/>
  <c r="AY10" i="3" s="1"/>
  <c r="AW9" i="3"/>
  <c r="AY9" i="3" s="1"/>
  <c r="AW12" i="3"/>
  <c r="AY12" i="3" s="1"/>
  <c r="AU4" i="3"/>
  <c r="AW4" i="3"/>
  <c r="AY4" i="3" s="1"/>
  <c r="AU7" i="3"/>
  <c r="AW7" i="3"/>
  <c r="AY7" i="3" s="1"/>
  <c r="AW16" i="3"/>
  <c r="AY16" i="3" s="1"/>
  <c r="AW13" i="3"/>
  <c r="AY13" i="3" s="1"/>
  <c r="AS4" i="3"/>
  <c r="AT4" i="3"/>
  <c r="AV4" i="3" s="1"/>
  <c r="AS9" i="3"/>
  <c r="AT9" i="3"/>
  <c r="AV9" i="3" s="1"/>
  <c r="AS15" i="3"/>
  <c r="AS16" i="3"/>
  <c r="AT16" i="3"/>
  <c r="AV16" i="3" s="1"/>
  <c r="AS12" i="3"/>
  <c r="AT12" i="3"/>
  <c r="AV12" i="3" s="1"/>
  <c r="AS10" i="3"/>
  <c r="AS11" i="3"/>
  <c r="AS13" i="3"/>
  <c r="AS7" i="3"/>
  <c r="AT7" i="3"/>
  <c r="AV7" i="3" s="1"/>
  <c r="AP13" i="3"/>
  <c r="AR13" i="3" s="1"/>
  <c r="AQ13" i="3"/>
  <c r="AP10" i="3"/>
  <c r="AR10" i="3" s="1"/>
  <c r="AQ10" i="3"/>
  <c r="AP7" i="3"/>
  <c r="AR7" i="3" s="1"/>
  <c r="AQ7" i="3"/>
  <c r="AP16" i="3"/>
  <c r="AR16" i="3" s="1"/>
  <c r="AQ16" i="3"/>
  <c r="AP12" i="3"/>
  <c r="AR12" i="3" s="1"/>
  <c r="AQ12" i="3"/>
  <c r="AP4" i="3"/>
  <c r="AR4" i="3" s="1"/>
  <c r="AQ4" i="3"/>
  <c r="AP11" i="3"/>
  <c r="AR11" i="3" s="1"/>
  <c r="AQ11" i="3"/>
  <c r="AP15" i="3"/>
  <c r="AR15" i="3" s="1"/>
  <c r="AQ15" i="3"/>
  <c r="AP9" i="3"/>
  <c r="AR9" i="3" s="1"/>
  <c r="AQ9" i="3"/>
  <c r="AN9" i="3"/>
  <c r="AO9" i="3"/>
  <c r="AN10" i="3"/>
  <c r="AN13" i="3"/>
  <c r="AN7" i="3"/>
  <c r="AO7" i="3"/>
  <c r="AN16" i="3"/>
  <c r="AO16" i="3"/>
  <c r="AN12" i="3"/>
  <c r="AO12" i="3"/>
  <c r="AN15" i="3"/>
  <c r="AN11" i="3"/>
  <c r="AN4" i="3"/>
  <c r="AO4" i="3"/>
  <c r="AL13" i="3"/>
  <c r="AM13" i="3"/>
  <c r="AL4" i="3"/>
  <c r="AM4" i="3"/>
  <c r="AL16" i="3"/>
  <c r="AM16" i="3"/>
  <c r="AL12" i="3"/>
  <c r="AM12" i="3"/>
  <c r="AL7" i="3"/>
  <c r="AM7" i="3"/>
  <c r="AL10" i="3"/>
  <c r="AM10" i="3"/>
  <c r="AL15" i="3"/>
  <c r="AM15" i="3"/>
  <c r="AL9" i="3"/>
  <c r="AM9" i="3"/>
  <c r="AL11" i="3"/>
  <c r="AM11" i="3"/>
  <c r="AJ15" i="3"/>
  <c r="AK15" i="3"/>
  <c r="AJ4" i="3"/>
  <c r="AK4" i="3"/>
  <c r="AJ10" i="3"/>
  <c r="AK10" i="3"/>
  <c r="AJ9" i="3"/>
  <c r="AK9" i="3"/>
  <c r="AJ11" i="3"/>
  <c r="AK11" i="3"/>
  <c r="AJ7" i="3"/>
  <c r="AK7" i="3"/>
  <c r="AJ13" i="3"/>
  <c r="AK13" i="3"/>
  <c r="AJ16" i="3"/>
  <c r="AK16" i="3"/>
  <c r="AJ12" i="3"/>
  <c r="AK12" i="3"/>
  <c r="AH7" i="3"/>
  <c r="AI7" i="3"/>
  <c r="AH11" i="3"/>
  <c r="AI11" i="3"/>
  <c r="AH15" i="3"/>
  <c r="AI15" i="3"/>
  <c r="AH10" i="3"/>
  <c r="AI10" i="3"/>
  <c r="AH16" i="3"/>
  <c r="AI16" i="3"/>
  <c r="AH4" i="3"/>
  <c r="AI4" i="3"/>
  <c r="AH9" i="3"/>
  <c r="AI9" i="3"/>
  <c r="AH12" i="3"/>
  <c r="AI12" i="3"/>
  <c r="AH13" i="3"/>
  <c r="AI13" i="3"/>
  <c r="AE10" i="3"/>
  <c r="AG10" i="3"/>
  <c r="AE15" i="3"/>
  <c r="AG15" i="3"/>
  <c r="AE11" i="3"/>
  <c r="AG11" i="3"/>
  <c r="AE7" i="3"/>
  <c r="AG7" i="3"/>
  <c r="AE16" i="3"/>
  <c r="AG16" i="3"/>
  <c r="AE9" i="3"/>
  <c r="AG9" i="3"/>
  <c r="AE12" i="3"/>
  <c r="AG12" i="3"/>
  <c r="AE13" i="3"/>
  <c r="AG13" i="3"/>
  <c r="AE4" i="3"/>
  <c r="AG4" i="3"/>
  <c r="AC4" i="3"/>
  <c r="AD4" i="3"/>
  <c r="AF4" i="3" s="1"/>
  <c r="AC16" i="3"/>
  <c r="AD16" i="3"/>
  <c r="AF16" i="3" s="1"/>
  <c r="AC15" i="3"/>
  <c r="AD15" i="3"/>
  <c r="AF15" i="3" s="1"/>
  <c r="AC11" i="3"/>
  <c r="AD11" i="3"/>
  <c r="AF11" i="3" s="1"/>
  <c r="AC10" i="3"/>
  <c r="AD10" i="3"/>
  <c r="AF10" i="3" s="1"/>
  <c r="AC12" i="3"/>
  <c r="AD12" i="3"/>
  <c r="AF12" i="3" s="1"/>
  <c r="AC9" i="3"/>
  <c r="AD9" i="3"/>
  <c r="AF9" i="3" s="1"/>
  <c r="AC13" i="3"/>
  <c r="AD13" i="3"/>
  <c r="AF13" i="3" s="1"/>
  <c r="AC7" i="3"/>
  <c r="AD7" i="3"/>
  <c r="AF7" i="3" s="1"/>
  <c r="AA10" i="3"/>
  <c r="AA15" i="3"/>
  <c r="AA12" i="3"/>
  <c r="AA9" i="3"/>
  <c r="AA11" i="3"/>
  <c r="Z13" i="3"/>
  <c r="AB13" i="3" s="1"/>
  <c r="AA13" i="3"/>
  <c r="Z16" i="3"/>
  <c r="AB16" i="3" s="1"/>
  <c r="AA16" i="3"/>
  <c r="Z4" i="3"/>
  <c r="AB4" i="3" s="1"/>
  <c r="AA4" i="3"/>
  <c r="Z7" i="3"/>
  <c r="AB7" i="3" s="1"/>
  <c r="AA7" i="3"/>
  <c r="X15" i="3"/>
  <c r="Z15" i="3"/>
  <c r="AB15" i="3" s="1"/>
  <c r="Z10" i="3"/>
  <c r="AB10" i="3" s="1"/>
  <c r="W12" i="3"/>
  <c r="Y12" i="3" s="1"/>
  <c r="Z12" i="3"/>
  <c r="AB12" i="3" s="1"/>
  <c r="Z9" i="3"/>
  <c r="AB9" i="3" s="1"/>
  <c r="Z11" i="3"/>
  <c r="AB11" i="3" s="1"/>
  <c r="U16" i="3"/>
  <c r="V16" i="3" s="1"/>
  <c r="U12" i="3"/>
  <c r="V12" i="3" s="1"/>
  <c r="U15" i="3"/>
  <c r="V15" i="3" s="1"/>
  <c r="U13" i="3"/>
  <c r="V13" i="3" s="1"/>
  <c r="W16" i="3"/>
  <c r="Y16" i="3" s="1"/>
  <c r="X16" i="3"/>
  <c r="X12" i="3"/>
  <c r="W4" i="3"/>
  <c r="Y4" i="3" s="1"/>
  <c r="X4" i="3"/>
  <c r="U4" i="3"/>
  <c r="V4" i="3" s="1"/>
  <c r="W15" i="3"/>
  <c r="Y15" i="3" s="1"/>
  <c r="X13" i="3"/>
  <c r="W13" i="3"/>
  <c r="Y13" i="3" s="1"/>
  <c r="W9" i="3"/>
  <c r="Y9" i="3" s="1"/>
  <c r="X9" i="3"/>
  <c r="W10" i="3"/>
  <c r="Y10" i="3" s="1"/>
  <c r="X10" i="3"/>
  <c r="W7" i="3"/>
  <c r="Y7" i="3" s="1"/>
  <c r="X7" i="3"/>
  <c r="W11" i="3"/>
  <c r="Y11" i="3" s="1"/>
  <c r="X11" i="3"/>
  <c r="U10" i="3"/>
  <c r="V10" i="3" s="1"/>
  <c r="U7" i="3"/>
  <c r="V7" i="3" s="1"/>
  <c r="U9" i="3"/>
  <c r="V9" i="3" s="1"/>
  <c r="U11" i="3"/>
  <c r="V11" i="3" s="1"/>
  <c r="I16" i="12"/>
  <c r="J7" i="12"/>
  <c r="F11" i="12"/>
  <c r="J11" i="12" s="1"/>
  <c r="I11" i="12"/>
  <c r="I23" i="12"/>
  <c r="I19" i="12"/>
  <c r="I15" i="12"/>
  <c r="J27" i="12"/>
  <c r="H24" i="12"/>
  <c r="J24" i="12" s="1"/>
  <c r="J23" i="12"/>
  <c r="H20" i="12"/>
  <c r="J20" i="12" s="1"/>
  <c r="J19" i="12"/>
  <c r="H16" i="12"/>
  <c r="J16" i="12" s="1"/>
  <c r="J15" i="12"/>
  <c r="I12" i="12"/>
  <c r="I8" i="12"/>
  <c r="J5" i="12"/>
  <c r="I4" i="12"/>
  <c r="H22" i="12"/>
  <c r="J22" i="12" s="1"/>
  <c r="I22" i="12"/>
  <c r="H14" i="12"/>
  <c r="J14" i="12" s="1"/>
  <c r="I14" i="12"/>
  <c r="H30" i="12"/>
  <c r="J30" i="12" s="1"/>
  <c r="I30" i="12"/>
  <c r="H26" i="12"/>
  <c r="J26" i="12" s="1"/>
  <c r="I26" i="12"/>
  <c r="H18" i="12"/>
  <c r="J18" i="12" s="1"/>
  <c r="I18" i="12"/>
  <c r="H10" i="12"/>
  <c r="J10" i="12" s="1"/>
  <c r="I10" i="12"/>
  <c r="H25" i="12"/>
  <c r="J25" i="12" s="1"/>
  <c r="I25" i="12"/>
  <c r="H21" i="12"/>
  <c r="J21" i="12" s="1"/>
  <c r="I21" i="12"/>
  <c r="H17" i="12"/>
  <c r="J17" i="12" s="1"/>
  <c r="I17" i="12"/>
  <c r="H13" i="12"/>
  <c r="J13" i="12" s="1"/>
  <c r="I13" i="12"/>
  <c r="H9" i="12"/>
  <c r="J9" i="12" s="1"/>
  <c r="I9" i="12"/>
  <c r="H29" i="12"/>
  <c r="J29" i="12" s="1"/>
  <c r="I29" i="12"/>
  <c r="H6" i="12"/>
  <c r="J6" i="12" s="1"/>
  <c r="I6" i="12"/>
  <c r="I27" i="12"/>
  <c r="I7" i="12"/>
  <c r="I31" i="12"/>
  <c r="I5" i="12"/>
  <c r="U5" i="1"/>
  <c r="AP5" i="1"/>
  <c r="W5" i="1"/>
  <c r="R5" i="1"/>
  <c r="S5" i="1"/>
  <c r="P5" i="1"/>
  <c r="N5" i="1"/>
  <c r="J5" i="1"/>
  <c r="K5" i="1"/>
  <c r="L5" i="1"/>
  <c r="D17" i="25" l="1"/>
  <c r="B3" i="25"/>
  <c r="C3" i="25"/>
  <c r="AG5" i="1"/>
  <c r="AO5" i="1"/>
  <c r="AN5" i="1"/>
  <c r="AM5" i="1"/>
  <c r="AL5" i="1"/>
  <c r="AK5" i="1"/>
  <c r="AJ5" i="1"/>
  <c r="AI5" i="1"/>
  <c r="AH5" i="1"/>
  <c r="AC18" i="1"/>
  <c r="AC15" i="1"/>
  <c r="L15" i="24" s="1"/>
  <c r="AF15" i="24" s="1"/>
  <c r="L33" i="24" s="1"/>
  <c r="AC14" i="1"/>
  <c r="L13" i="24" s="1"/>
  <c r="AF13" i="24" s="1"/>
  <c r="L31" i="24" s="1"/>
  <c r="AC10" i="1"/>
  <c r="AC11" i="1"/>
  <c r="L9" i="24" s="1"/>
  <c r="AF9" i="24" s="1"/>
  <c r="L27" i="24" s="1"/>
  <c r="AC13" i="1"/>
  <c r="L10" i="24" s="1"/>
  <c r="AF10" i="24" s="1"/>
  <c r="L28" i="24" s="1"/>
  <c r="AC12" i="1"/>
  <c r="L14" i="24" s="1"/>
  <c r="AF14" i="24" s="1"/>
  <c r="L32" i="24" s="1"/>
  <c r="E17" i="25" l="1"/>
  <c r="L13" i="25" s="1"/>
  <c r="F17" i="25"/>
  <c r="M13" i="25" s="1"/>
  <c r="D3" i="25"/>
  <c r="F3" i="25" s="1"/>
  <c r="AF32" i="24"/>
  <c r="AF31" i="24"/>
  <c r="AF28" i="24"/>
  <c r="AF27" i="24"/>
  <c r="AF33" i="24"/>
  <c r="P14" i="3"/>
  <c r="R17" i="10"/>
  <c r="AI17" i="10" s="1"/>
  <c r="P10" i="3"/>
  <c r="R12" i="10"/>
  <c r="AI12" i="10" s="1"/>
  <c r="P17" i="3"/>
  <c r="R20" i="10"/>
  <c r="AI20" i="10" s="1"/>
  <c r="R9" i="10"/>
  <c r="AI9" i="10" s="1"/>
  <c r="P16" i="3"/>
  <c r="R19" i="10"/>
  <c r="AI19" i="10" s="1"/>
  <c r="R14" i="10"/>
  <c r="AI14" i="10" s="1"/>
  <c r="P11" i="3"/>
  <c r="R11" i="10"/>
  <c r="AI11" i="10" s="1"/>
  <c r="P9" i="3"/>
  <c r="P18" i="3"/>
  <c r="R21" i="10"/>
  <c r="AI21" i="10" s="1"/>
  <c r="P13" i="3"/>
  <c r="R16" i="10"/>
  <c r="AI16" i="10" s="1"/>
  <c r="R13" i="10"/>
  <c r="AI13" i="10" s="1"/>
  <c r="P8" i="3"/>
  <c r="R10" i="10"/>
  <c r="AI10" i="10" s="1"/>
  <c r="R18" i="10"/>
  <c r="AI18" i="10" s="1"/>
  <c r="P15" i="3"/>
  <c r="R15" i="10"/>
  <c r="AI15" i="10" s="1"/>
  <c r="P12" i="3"/>
  <c r="AI20" i="1"/>
  <c r="AI14" i="1"/>
  <c r="E3" i="25" l="1"/>
  <c r="S12" i="3"/>
  <c r="CC12" i="3"/>
  <c r="AU12" i="3"/>
  <c r="BY12" i="3"/>
  <c r="CA12" i="3" s="1"/>
  <c r="BB12" i="3"/>
  <c r="BZ12" i="3"/>
  <c r="CB12" i="3"/>
  <c r="CD12" i="3" s="1"/>
  <c r="S15" i="3"/>
  <c r="S18" i="3"/>
  <c r="S9" i="3"/>
  <c r="CB9" i="3"/>
  <c r="CD9" i="3" s="1"/>
  <c r="BZ9" i="3"/>
  <c r="CC9" i="3"/>
  <c r="BB9" i="3"/>
  <c r="AU9" i="3"/>
  <c r="BY9" i="3"/>
  <c r="CA9" i="3" s="1"/>
  <c r="S8" i="3"/>
  <c r="BY17" i="3"/>
  <c r="CA17" i="3" s="1"/>
  <c r="BZ17" i="3"/>
  <c r="CC17" i="3"/>
  <c r="S17" i="3"/>
  <c r="CB17" i="3"/>
  <c r="CD17" i="3" s="1"/>
  <c r="BB17" i="3"/>
  <c r="AU17" i="3"/>
  <c r="S10" i="3"/>
  <c r="S11" i="3"/>
  <c r="S13" i="3"/>
  <c r="S16" i="3"/>
  <c r="CB16" i="3"/>
  <c r="CD16" i="3" s="1"/>
  <c r="BZ16" i="3"/>
  <c r="BY16" i="3"/>
  <c r="CA16" i="3" s="1"/>
  <c r="CC16" i="3"/>
  <c r="BB16" i="3"/>
  <c r="AU16" i="3"/>
  <c r="S14" i="3"/>
  <c r="AB18" i="1"/>
  <c r="AB15" i="1"/>
  <c r="K15" i="24" s="1"/>
  <c r="AE15" i="24" s="1"/>
  <c r="K33" i="24" s="1"/>
  <c r="AB11" i="1"/>
  <c r="K9" i="24" s="1"/>
  <c r="AE9" i="24" s="1"/>
  <c r="K27" i="24" s="1"/>
  <c r="AB13" i="1"/>
  <c r="K10" i="24" s="1"/>
  <c r="AE10" i="24" s="1"/>
  <c r="K28" i="24" s="1"/>
  <c r="Q13" i="10" l="1"/>
  <c r="AH13" i="10" s="1"/>
  <c r="Q17" i="10"/>
  <c r="AH17" i="10" s="1"/>
  <c r="O14" i="3"/>
  <c r="Q9" i="10"/>
  <c r="AH9" i="10" s="1"/>
  <c r="Q14" i="10"/>
  <c r="AH14" i="10" s="1"/>
  <c r="O11" i="3"/>
  <c r="O18" i="3"/>
  <c r="Q21" i="10"/>
  <c r="AH21" i="10" s="1"/>
  <c r="Q10" i="10"/>
  <c r="AH10" i="10" s="1"/>
  <c r="O8" i="3"/>
  <c r="O13" i="3"/>
  <c r="Q16" i="10"/>
  <c r="AH16" i="10" s="1"/>
  <c r="O10" i="3"/>
  <c r="Q12" i="10"/>
  <c r="AH12" i="10" s="1"/>
  <c r="Q18" i="10"/>
  <c r="AH18" i="10" s="1"/>
  <c r="O15" i="3"/>
  <c r="N11" i="1"/>
  <c r="AP11" i="1"/>
  <c r="U11" i="1"/>
  <c r="W11" i="1"/>
  <c r="R11" i="1"/>
  <c r="S11" i="1"/>
  <c r="P11" i="1"/>
  <c r="J11" i="1"/>
  <c r="K11" i="1"/>
  <c r="L11" i="1"/>
  <c r="B9" i="25" l="1"/>
  <c r="C9" i="25"/>
  <c r="R11" i="3"/>
  <c r="AO11" i="3" s="1"/>
  <c r="BZ11" i="3"/>
  <c r="BL11" i="3"/>
  <c r="BM11" i="3"/>
  <c r="BG11" i="3"/>
  <c r="BR11" i="3"/>
  <c r="AT11" i="3"/>
  <c r="AV11" i="3" s="1"/>
  <c r="BV11" i="3"/>
  <c r="BH11" i="3"/>
  <c r="BA11" i="3"/>
  <c r="BC11" i="3" s="1"/>
  <c r="BY11" i="3"/>
  <c r="CA11" i="3" s="1"/>
  <c r="BW11" i="3"/>
  <c r="BQ11" i="3"/>
  <c r="AU11" i="3"/>
  <c r="CC11" i="3"/>
  <c r="CB11" i="3"/>
  <c r="CD11" i="3" s="1"/>
  <c r="BB11" i="3"/>
  <c r="R13" i="3"/>
  <c r="AO13" i="3" s="1"/>
  <c r="BZ13" i="3"/>
  <c r="BV13" i="3"/>
  <c r="BR13" i="3"/>
  <c r="BA13" i="3"/>
  <c r="BC13" i="3" s="1"/>
  <c r="BW13" i="3"/>
  <c r="BH13" i="3"/>
  <c r="BY13" i="3"/>
  <c r="CA13" i="3" s="1"/>
  <c r="BQ13" i="3"/>
  <c r="BL13" i="3"/>
  <c r="BM13" i="3"/>
  <c r="BG13" i="3"/>
  <c r="AT13" i="3"/>
  <c r="AV13" i="3" s="1"/>
  <c r="AU13" i="3"/>
  <c r="BB13" i="3"/>
  <c r="CC13" i="3"/>
  <c r="CB13" i="3"/>
  <c r="CD13" i="3" s="1"/>
  <c r="BY8" i="3"/>
  <c r="CA8" i="3" s="1"/>
  <c r="BG8" i="3"/>
  <c r="BL8" i="3"/>
  <c r="BW8" i="3"/>
  <c r="BQ8" i="3"/>
  <c r="AT8" i="3"/>
  <c r="AV8" i="3" s="1"/>
  <c r="R8" i="3"/>
  <c r="AO8" i="3" s="1"/>
  <c r="BZ8" i="3"/>
  <c r="BR8" i="3"/>
  <c r="BV8" i="3"/>
  <c r="BM8" i="3"/>
  <c r="BH8" i="3"/>
  <c r="BA8" i="3"/>
  <c r="BC8" i="3" s="1"/>
  <c r="CB8" i="3"/>
  <c r="CD8" i="3" s="1"/>
  <c r="BB8" i="3"/>
  <c r="CC8" i="3"/>
  <c r="AU8" i="3"/>
  <c r="R14" i="3"/>
  <c r="AO14" i="3" s="1"/>
  <c r="BZ14" i="3"/>
  <c r="BR14" i="3"/>
  <c r="BY14" i="3"/>
  <c r="CA14" i="3" s="1"/>
  <c r="BG14" i="3"/>
  <c r="BW14" i="3"/>
  <c r="BL14" i="3"/>
  <c r="BQ14" i="3"/>
  <c r="AT14" i="3"/>
  <c r="AV14" i="3" s="1"/>
  <c r="BV14" i="3"/>
  <c r="BM14" i="3"/>
  <c r="BH14" i="3"/>
  <c r="BA14" i="3"/>
  <c r="BC14" i="3" s="1"/>
  <c r="CB14" i="3"/>
  <c r="CD14" i="3" s="1"/>
  <c r="BB14" i="3"/>
  <c r="CC14" i="3"/>
  <c r="AU14" i="3"/>
  <c r="R10" i="3"/>
  <c r="AO10" i="3" s="1"/>
  <c r="BQ10" i="3"/>
  <c r="AT10" i="3"/>
  <c r="AV10" i="3" s="1"/>
  <c r="BH10" i="3"/>
  <c r="BA10" i="3"/>
  <c r="BC10" i="3" s="1"/>
  <c r="BL10" i="3"/>
  <c r="BG10" i="3"/>
  <c r="BZ10" i="3"/>
  <c r="BV10" i="3"/>
  <c r="BR10" i="3"/>
  <c r="BW10" i="3"/>
  <c r="BY10" i="3"/>
  <c r="CA10" i="3" s="1"/>
  <c r="BM10" i="3"/>
  <c r="AU10" i="3"/>
  <c r="CB10" i="3"/>
  <c r="CD10" i="3" s="1"/>
  <c r="BB10" i="3"/>
  <c r="CC10" i="3"/>
  <c r="AT18" i="3"/>
  <c r="AV18" i="3" s="1"/>
  <c r="BW18" i="3"/>
  <c r="BV18" i="3"/>
  <c r="BA18" i="3"/>
  <c r="BC18" i="3" s="1"/>
  <c r="BR18" i="3"/>
  <c r="BH18" i="3"/>
  <c r="BY18" i="3"/>
  <c r="CA18" i="3" s="1"/>
  <c r="BL18" i="3"/>
  <c r="BM18" i="3"/>
  <c r="BG18" i="3"/>
  <c r="R18" i="3"/>
  <c r="AO18" i="3" s="1"/>
  <c r="BZ18" i="3"/>
  <c r="BQ18" i="3"/>
  <c r="AU18" i="3"/>
  <c r="CC18" i="3"/>
  <c r="CB18" i="3"/>
  <c r="CD18" i="3" s="1"/>
  <c r="BB18" i="3"/>
  <c r="R15" i="3"/>
  <c r="AO15" i="3" s="1"/>
  <c r="BL15" i="3"/>
  <c r="BH15" i="3"/>
  <c r="BM15" i="3"/>
  <c r="BG15" i="3"/>
  <c r="AT15" i="3"/>
  <c r="AV15" i="3" s="1"/>
  <c r="BV15" i="3"/>
  <c r="BR15" i="3"/>
  <c r="BY15" i="3"/>
  <c r="CA15" i="3" s="1"/>
  <c r="BA15" i="3"/>
  <c r="BC15" i="3" s="1"/>
  <c r="BQ15" i="3"/>
  <c r="BZ15" i="3"/>
  <c r="BW15" i="3"/>
  <c r="CB15" i="3"/>
  <c r="CD15" i="3" s="1"/>
  <c r="CC15" i="3"/>
  <c r="BB15" i="3"/>
  <c r="AU15" i="3"/>
  <c r="AJ11" i="1"/>
  <c r="AI11" i="1"/>
  <c r="AN11" i="1"/>
  <c r="AM11" i="1"/>
  <c r="AL11" i="1"/>
  <c r="AO11" i="1"/>
  <c r="AH11" i="1"/>
  <c r="AG11" i="1"/>
  <c r="AK11" i="1"/>
  <c r="D9" i="25" l="1"/>
  <c r="E9" i="25" s="1"/>
  <c r="U12" i="1"/>
  <c r="AP12" i="1"/>
  <c r="W12" i="1"/>
  <c r="R12" i="1"/>
  <c r="S12" i="1"/>
  <c r="P12" i="1"/>
  <c r="N12" i="1"/>
  <c r="J12" i="1"/>
  <c r="K12" i="1"/>
  <c r="L12" i="1"/>
  <c r="F9" i="25" l="1"/>
  <c r="C10" i="25"/>
  <c r="J4" i="25" s="1"/>
  <c r="B10" i="25"/>
  <c r="I4" i="25" s="1"/>
  <c r="AJ12" i="1"/>
  <c r="AI12" i="1"/>
  <c r="AN12" i="1"/>
  <c r="AM12" i="1"/>
  <c r="AL12" i="1"/>
  <c r="AO12" i="1"/>
  <c r="AH12" i="1"/>
  <c r="AG12" i="1"/>
  <c r="AK12" i="1"/>
  <c r="P4" i="25" l="1"/>
  <c r="I15" i="25"/>
  <c r="P15" i="25" s="1"/>
  <c r="Q4" i="25"/>
  <c r="J15" i="25"/>
  <c r="D10" i="25"/>
  <c r="K4" i="25" s="1"/>
  <c r="E6" i="10"/>
  <c r="AA6" i="10" s="1"/>
  <c r="H6" i="10"/>
  <c r="I6" i="10"/>
  <c r="J6" i="10"/>
  <c r="M6" i="10"/>
  <c r="AD6" i="10" s="1"/>
  <c r="N6" i="10"/>
  <c r="AE6" i="10" s="1"/>
  <c r="O6" i="10"/>
  <c r="AF6" i="10" s="1"/>
  <c r="P6" i="10"/>
  <c r="AG6" i="10" s="1"/>
  <c r="R6" i="10"/>
  <c r="AI6" i="10" s="1"/>
  <c r="S6" i="10"/>
  <c r="AJ6" i="10" s="1"/>
  <c r="Q15" i="25" l="1"/>
  <c r="K15" i="25"/>
  <c r="E10" i="25"/>
  <c r="L4" i="25" s="1"/>
  <c r="F10" i="25"/>
  <c r="M4" i="25" s="1"/>
  <c r="L6" i="10"/>
  <c r="K6" i="10"/>
  <c r="AC6" i="10"/>
  <c r="Q6" i="10" l="1"/>
  <c r="AH6" i="10" s="1"/>
  <c r="AP15" i="1"/>
  <c r="W15" i="1"/>
  <c r="U15" i="1"/>
  <c r="S15" i="1"/>
  <c r="R15" i="1"/>
  <c r="P15" i="1"/>
  <c r="N15" i="1"/>
  <c r="L15" i="1"/>
  <c r="K15" i="1"/>
  <c r="J15" i="1"/>
  <c r="AP14" i="1"/>
  <c r="AO14" i="1"/>
  <c r="AN14" i="1"/>
  <c r="AM14" i="1"/>
  <c r="AK14" i="1"/>
  <c r="AJ14" i="1"/>
  <c r="AH14" i="1"/>
  <c r="AG14" i="1"/>
  <c r="AL14" i="1"/>
  <c r="W14" i="1"/>
  <c r="U14" i="1"/>
  <c r="S14" i="1"/>
  <c r="R14" i="1"/>
  <c r="P14" i="1"/>
  <c r="L14" i="1"/>
  <c r="K14" i="1"/>
  <c r="J14" i="1"/>
  <c r="AP17" i="1"/>
  <c r="W17" i="1"/>
  <c r="U17" i="1"/>
  <c r="S17" i="1"/>
  <c r="R17" i="1"/>
  <c r="P17" i="1"/>
  <c r="N17" i="1"/>
  <c r="L17" i="1"/>
  <c r="K17" i="1"/>
  <c r="J17" i="1"/>
  <c r="AP18" i="1"/>
  <c r="W18" i="1"/>
  <c r="U18" i="1"/>
  <c r="S18" i="1"/>
  <c r="R18" i="1"/>
  <c r="P18" i="1"/>
  <c r="N18" i="1"/>
  <c r="L18" i="1"/>
  <c r="K18" i="1"/>
  <c r="J18" i="1"/>
  <c r="AP10" i="1"/>
  <c r="W10" i="1"/>
  <c r="U10" i="1"/>
  <c r="S10" i="1"/>
  <c r="R10" i="1"/>
  <c r="P10" i="1"/>
  <c r="N10" i="1"/>
  <c r="L10" i="1"/>
  <c r="K10" i="1"/>
  <c r="J10" i="1"/>
  <c r="AP13" i="1"/>
  <c r="W13" i="1"/>
  <c r="U13" i="1"/>
  <c r="S13" i="1"/>
  <c r="R13" i="1"/>
  <c r="P13" i="1"/>
  <c r="N13" i="1"/>
  <c r="L13" i="1"/>
  <c r="K13" i="1"/>
  <c r="J13" i="1"/>
  <c r="AP20" i="1"/>
  <c r="AO20" i="1"/>
  <c r="AN20" i="1"/>
  <c r="AM20" i="1"/>
  <c r="AL20" i="1"/>
  <c r="AK20" i="1"/>
  <c r="AJ20" i="1"/>
  <c r="AH20" i="1"/>
  <c r="AG20" i="1"/>
  <c r="W20" i="1"/>
  <c r="U20" i="1"/>
  <c r="S20" i="1"/>
  <c r="R20" i="1"/>
  <c r="P20" i="1"/>
  <c r="L20" i="1"/>
  <c r="K20" i="1"/>
  <c r="J20" i="1"/>
  <c r="AP16" i="1"/>
  <c r="W16" i="1"/>
  <c r="U16" i="1"/>
  <c r="S16" i="1"/>
  <c r="R16" i="1"/>
  <c r="P16" i="1"/>
  <c r="N16" i="1"/>
  <c r="L16" i="1"/>
  <c r="K16" i="1"/>
  <c r="J16" i="1"/>
  <c r="AP9" i="1"/>
  <c r="W9" i="1"/>
  <c r="U9" i="1"/>
  <c r="S9" i="1"/>
  <c r="R9" i="1"/>
  <c r="P9" i="1"/>
  <c r="L9" i="1"/>
  <c r="K9" i="1"/>
  <c r="J9" i="1"/>
  <c r="C12" i="25" l="1"/>
  <c r="B12" i="25"/>
  <c r="C7" i="25"/>
  <c r="J3" i="25" s="1"/>
  <c r="B7" i="25"/>
  <c r="I3" i="25" s="1"/>
  <c r="B18" i="25"/>
  <c r="C18" i="25"/>
  <c r="B16" i="25"/>
  <c r="P16" i="25" s="1"/>
  <c r="C16" i="25"/>
  <c r="Q16" i="25" s="1"/>
  <c r="C15" i="25"/>
  <c r="B15" i="25"/>
  <c r="B13" i="25"/>
  <c r="C13" i="25"/>
  <c r="B14" i="25"/>
  <c r="C14" i="25"/>
  <c r="C8" i="25"/>
  <c r="B8" i="25"/>
  <c r="AI13" i="1"/>
  <c r="C11" i="25"/>
  <c r="B11" i="25"/>
  <c r="S2" i="1"/>
  <c r="R2" i="1"/>
  <c r="U2" i="1"/>
  <c r="N2" i="1"/>
  <c r="AG9" i="1"/>
  <c r="AK9" i="1"/>
  <c r="AO9" i="1"/>
  <c r="AI9" i="1"/>
  <c r="AM9" i="1"/>
  <c r="AJ9" i="1"/>
  <c r="AN9" i="1"/>
  <c r="AH9" i="1"/>
  <c r="AL9" i="1"/>
  <c r="AL17" i="1"/>
  <c r="AI17" i="1"/>
  <c r="AJ16" i="1"/>
  <c r="AI16" i="1"/>
  <c r="AM10" i="1"/>
  <c r="AI10" i="1"/>
  <c r="AJ18" i="1"/>
  <c r="AI18" i="1"/>
  <c r="AL15" i="1"/>
  <c r="AI15" i="1"/>
  <c r="AN10" i="1"/>
  <c r="AN18" i="1"/>
  <c r="AN15" i="1"/>
  <c r="AN13" i="1"/>
  <c r="AN16" i="1"/>
  <c r="AK10" i="1"/>
  <c r="AM15" i="1"/>
  <c r="AO16" i="1"/>
  <c r="AO17" i="1"/>
  <c r="AH18" i="1"/>
  <c r="AM13" i="1"/>
  <c r="AL10" i="1"/>
  <c r="AH10" i="1"/>
  <c r="AO10" i="1"/>
  <c r="AK18" i="1"/>
  <c r="AK17" i="1"/>
  <c r="AJ15" i="1"/>
  <c r="AH17" i="1"/>
  <c r="AJ17" i="1"/>
  <c r="AH15" i="1"/>
  <c r="AO15" i="1"/>
  <c r="AH16" i="1"/>
  <c r="AJ13" i="1"/>
  <c r="AK16" i="1"/>
  <c r="AJ10" i="1"/>
  <c r="AO18" i="1"/>
  <c r="AN17" i="1"/>
  <c r="AM17" i="1"/>
  <c r="AK15" i="1"/>
  <c r="AG16" i="1"/>
  <c r="AL16" i="1"/>
  <c r="AK13" i="1"/>
  <c r="AO13" i="1"/>
  <c r="AG18" i="1"/>
  <c r="AL18" i="1"/>
  <c r="AM16" i="1"/>
  <c r="AG13" i="1"/>
  <c r="AL13" i="1"/>
  <c r="AM18" i="1"/>
  <c r="AH13" i="1"/>
  <c r="AG10" i="1"/>
  <c r="AG17" i="1"/>
  <c r="AG15" i="1"/>
  <c r="P3" i="25" l="1"/>
  <c r="I14" i="25"/>
  <c r="P14" i="25" s="1"/>
  <c r="Q3" i="25"/>
  <c r="J14" i="25"/>
  <c r="D18" i="25"/>
  <c r="D16" i="25"/>
  <c r="D7" i="25"/>
  <c r="K3" i="25" s="1"/>
  <c r="D12" i="25"/>
  <c r="D13" i="25"/>
  <c r="D15" i="25"/>
  <c r="D11" i="25"/>
  <c r="F11" i="25" s="1"/>
  <c r="D14" i="25"/>
  <c r="D8" i="25"/>
  <c r="A6" i="10"/>
  <c r="B6" i="10"/>
  <c r="D6" i="10"/>
  <c r="A5" i="3"/>
  <c r="B5" i="3"/>
  <c r="E5" i="3"/>
  <c r="I5" i="3" s="1"/>
  <c r="CE5" i="3" s="1"/>
  <c r="F5" i="3"/>
  <c r="G5" i="3" s="1"/>
  <c r="J5" i="3"/>
  <c r="K5" i="3"/>
  <c r="L5" i="3"/>
  <c r="M5" i="3"/>
  <c r="N5" i="3"/>
  <c r="O5" i="3"/>
  <c r="P5" i="3"/>
  <c r="Q5" i="3"/>
  <c r="O3" i="12"/>
  <c r="S3" i="12"/>
  <c r="P3" i="12"/>
  <c r="O12" i="12"/>
  <c r="P12" i="12"/>
  <c r="O6" i="12"/>
  <c r="S6" i="12"/>
  <c r="P6" i="12"/>
  <c r="K14" i="25" l="1"/>
  <c r="Q14" i="25"/>
  <c r="E13" i="25"/>
  <c r="S13" i="25" s="1"/>
  <c r="R13" i="25"/>
  <c r="F16" i="25"/>
  <c r="M16" i="25" s="1"/>
  <c r="T16" i="25" s="1"/>
  <c r="R16" i="25"/>
  <c r="E15" i="25"/>
  <c r="R15" i="25"/>
  <c r="E18" i="25"/>
  <c r="R14" i="25"/>
  <c r="F18" i="25"/>
  <c r="F13" i="25"/>
  <c r="T13" i="25" s="1"/>
  <c r="E16" i="25"/>
  <c r="L16" i="25" s="1"/>
  <c r="S16" i="25" s="1"/>
  <c r="E11" i="25"/>
  <c r="E12" i="25"/>
  <c r="F12" i="25"/>
  <c r="R3" i="25"/>
  <c r="E7" i="25"/>
  <c r="L3" i="25" s="1"/>
  <c r="F7" i="25"/>
  <c r="M3" i="25" s="1"/>
  <c r="F15" i="25"/>
  <c r="E8" i="25"/>
  <c r="F8" i="25"/>
  <c r="E14" i="25"/>
  <c r="F14" i="25"/>
  <c r="CB5" i="3"/>
  <c r="CD5" i="3" s="1"/>
  <c r="CC5" i="3"/>
  <c r="BZ5" i="3"/>
  <c r="BX5" i="3"/>
  <c r="BY5" i="3"/>
  <c r="CA5" i="3" s="1"/>
  <c r="BV5" i="3"/>
  <c r="BW5" i="3"/>
  <c r="BT5" i="3"/>
  <c r="BU5" i="3"/>
  <c r="BR5" i="3"/>
  <c r="BS5" i="3"/>
  <c r="BP5" i="3"/>
  <c r="BQ5" i="3"/>
  <c r="BN5" i="3"/>
  <c r="BO5" i="3"/>
  <c r="BL5" i="3"/>
  <c r="BM5" i="3"/>
  <c r="BJ5" i="3"/>
  <c r="BK5" i="3"/>
  <c r="BH5" i="3"/>
  <c r="BI5" i="3"/>
  <c r="BF5" i="3"/>
  <c r="BG5" i="3"/>
  <c r="BD5" i="3"/>
  <c r="BE5" i="3"/>
  <c r="BA5" i="3"/>
  <c r="BC5" i="3" s="1"/>
  <c r="BB5" i="3"/>
  <c r="AX5" i="3"/>
  <c r="AZ5" i="3"/>
  <c r="AU5" i="3"/>
  <c r="AW5" i="3"/>
  <c r="AY5" i="3" s="1"/>
  <c r="AS5" i="3"/>
  <c r="AT5" i="3"/>
  <c r="AV5" i="3" s="1"/>
  <c r="AP5" i="3"/>
  <c r="AR5" i="3" s="1"/>
  <c r="AQ5" i="3"/>
  <c r="AN5" i="3"/>
  <c r="AL5" i="3"/>
  <c r="AM5" i="3"/>
  <c r="AJ5" i="3"/>
  <c r="AK5" i="3"/>
  <c r="AH5" i="3"/>
  <c r="AI5" i="3"/>
  <c r="AE5" i="3"/>
  <c r="AG5" i="3"/>
  <c r="AC5" i="3"/>
  <c r="AD5" i="3"/>
  <c r="AF5" i="3" s="1"/>
  <c r="Z5" i="3"/>
  <c r="AB5" i="3" s="1"/>
  <c r="AA5" i="3"/>
  <c r="X5" i="3"/>
  <c r="U5" i="3"/>
  <c r="V5" i="3" s="1"/>
  <c r="W5" i="3"/>
  <c r="Y5" i="3" s="1"/>
  <c r="R5" i="3"/>
  <c r="AO5" i="3" s="1"/>
  <c r="S5" i="3"/>
  <c r="T5" i="3"/>
  <c r="Q12" i="12"/>
  <c r="H5" i="3"/>
  <c r="R3" i="12"/>
  <c r="R6" i="12"/>
  <c r="S12" i="12"/>
  <c r="Q6" i="12"/>
  <c r="R12" i="12"/>
  <c r="Q3" i="12"/>
  <c r="S15" i="25" l="1"/>
  <c r="L17" i="25"/>
  <c r="L14" i="25"/>
  <c r="S14" i="25"/>
  <c r="T15" i="25"/>
  <c r="M17" i="25"/>
  <c r="M14" i="25"/>
  <c r="T14" i="25"/>
  <c r="T18" i="25" s="1"/>
  <c r="R18" i="25"/>
  <c r="K18" i="25"/>
  <c r="S3" i="25"/>
  <c r="T3" i="25"/>
  <c r="K9" i="9"/>
  <c r="M18" i="25" l="1"/>
  <c r="S18" i="25"/>
  <c r="L18" i="25"/>
  <c r="O4" i="12"/>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P21" i="12" l="1"/>
  <c r="Q16" i="12"/>
  <c r="Q17" i="12" s="1"/>
  <c r="Q21" i="12" s="1"/>
  <c r="Q14" i="12"/>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T73" i="9"/>
  <c r="O74" i="9"/>
  <c r="Q74" i="9" s="1"/>
  <c r="S74" i="9"/>
  <c r="T74" i="9"/>
  <c r="O75" i="9"/>
  <c r="Q75" i="9" s="1"/>
  <c r="S75" i="9"/>
  <c r="T75" i="9"/>
  <c r="O76" i="9"/>
  <c r="Q76" i="9" s="1"/>
  <c r="S76" i="9"/>
  <c r="T76" i="9"/>
  <c r="B33" i="9"/>
  <c r="B31" i="9"/>
  <c r="B32" i="9" s="1"/>
  <c r="U65" i="9" l="1"/>
  <c r="U57" i="9"/>
  <c r="U73" i="9"/>
  <c r="U49" i="9"/>
  <c r="U74" i="9"/>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O7" i="9" l="1"/>
  <c r="Q7" i="9" s="1"/>
  <c r="S7" i="9"/>
  <c r="T7" i="9"/>
  <c r="O2" i="9"/>
  <c r="Q2" i="9" s="1"/>
  <c r="S2" i="9"/>
  <c r="T2" i="9"/>
  <c r="O3" i="9"/>
  <c r="Q3" i="9" s="1"/>
  <c r="S3" i="9"/>
  <c r="T3" i="9"/>
  <c r="O4" i="9"/>
  <c r="Q4" i="9" s="1"/>
  <c r="S4" i="9"/>
  <c r="T4" i="9"/>
  <c r="O5" i="9"/>
  <c r="Q5" i="9" s="1"/>
  <c r="S5" i="9"/>
  <c r="T5" i="9"/>
  <c r="O8" i="9"/>
  <c r="Q8" i="9" s="1"/>
  <c r="S8" i="9"/>
  <c r="T8" i="9"/>
  <c r="O6" i="9"/>
  <c r="Q6" i="9" s="1"/>
  <c r="S6" i="9"/>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16" i="9" l="1"/>
  <c r="U6" i="9"/>
  <c r="U32" i="9"/>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K9" i="4"/>
  <c r="J9" i="4"/>
  <c r="H9" i="4"/>
  <c r="H3" i="4" l="1"/>
  <c r="H2" i="4" l="1"/>
  <c r="H4" i="4"/>
  <c r="K4" i="4"/>
  <c r="J4" i="4"/>
  <c r="J3" i="4"/>
  <c r="K3" i="4"/>
  <c r="J10" i="4"/>
  <c r="K10" i="4"/>
  <c r="J11" i="4"/>
  <c r="K11" i="4"/>
  <c r="J12" i="4"/>
  <c r="K12" i="4"/>
  <c r="K8" i="4"/>
  <c r="J8" i="4"/>
  <c r="H8" i="4"/>
  <c r="L8" i="4" s="1"/>
  <c r="K7" i="4"/>
  <c r="J7" i="4"/>
  <c r="H7" i="4"/>
  <c r="J6" i="4"/>
  <c r="H6" i="4"/>
  <c r="L6" i="4" s="1"/>
  <c r="J5" i="4"/>
  <c r="H5" i="4"/>
  <c r="K5" i="4"/>
  <c r="K6" i="4"/>
  <c r="K2" i="4"/>
  <c r="J2" i="4"/>
  <c r="M8" i="4" l="1"/>
  <c r="L3" i="4"/>
  <c r="M3" i="4" s="1"/>
  <c r="N3" i="4" s="1"/>
  <c r="L9" i="4"/>
  <c r="M6" i="4"/>
  <c r="L2" i="4"/>
  <c r="M2" i="4" s="1"/>
  <c r="N2" i="4" s="1"/>
  <c r="L5" i="4"/>
  <c r="L7" i="4"/>
  <c r="M7" i="4" s="1"/>
  <c r="N7" i="4" s="1"/>
  <c r="L4" i="4"/>
  <c r="M4" i="4" s="1"/>
  <c r="N4" i="4" s="1"/>
  <c r="M5" i="4" l="1"/>
  <c r="N6" i="4"/>
  <c r="M9" i="4"/>
  <c r="N8" i="4"/>
  <c r="D2" i="10"/>
  <c r="Z1" i="10"/>
  <c r="AA1" i="10" s="1"/>
  <c r="N9" i="4" l="1"/>
  <c r="N5" i="4"/>
  <c r="C14" i="2" l="1"/>
  <c r="C15" i="2"/>
  <c r="C16" i="2" s="1"/>
  <c r="C1" i="2" l="1"/>
  <c r="Z6" i="6" l="1"/>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W2" i="1" l="1"/>
  <c r="C9" i="2"/>
  <c r="C10" i="2" s="1"/>
  <c r="B9" i="2"/>
  <c r="B10" i="2" s="1"/>
  <c r="D2" i="1" l="1"/>
  <c r="F12" i="1" s="1"/>
  <c r="C12" i="1" s="1"/>
  <c r="F21" i="1" l="1"/>
  <c r="C21" i="1" s="1"/>
  <c r="F19" i="1"/>
  <c r="C19" i="1" s="1"/>
  <c r="F18" i="1"/>
  <c r="C18" i="1" s="1"/>
  <c r="F20" i="1"/>
  <c r="C20" i="1" s="1"/>
  <c r="F17" i="1"/>
  <c r="C17" i="1" s="1"/>
  <c r="F16" i="1"/>
  <c r="C16" i="1" s="1"/>
  <c r="F14" i="1"/>
  <c r="C14" i="1" s="1"/>
  <c r="F15" i="1"/>
  <c r="C15" i="1" s="1"/>
  <c r="F7" i="1"/>
  <c r="C7" i="1" s="1"/>
  <c r="F9" i="1"/>
  <c r="F6" i="1"/>
  <c r="C6" i="1" s="1"/>
  <c r="F8" i="1"/>
  <c r="C8" i="1" s="1"/>
  <c r="F11" i="1"/>
  <c r="C11" i="1" s="1"/>
  <c r="F10" i="1"/>
  <c r="C10" i="1" s="1"/>
  <c r="F5" i="1"/>
  <c r="C5" i="1" s="1"/>
  <c r="F13" i="1"/>
  <c r="C13" i="1" s="1"/>
  <c r="F4" i="1"/>
  <c r="F9" i="10"/>
  <c r="AB9" i="10" s="1"/>
  <c r="F13" i="10"/>
  <c r="AB13" i="10" s="1"/>
  <c r="F7" i="24" l="1"/>
  <c r="Z7" i="24" s="1"/>
  <c r="C9" i="1"/>
  <c r="C6" i="10" s="1"/>
  <c r="F3" i="24"/>
  <c r="Z3" i="24" s="1"/>
  <c r="C4" i="1"/>
  <c r="C5" i="10" s="1"/>
  <c r="F7" i="10"/>
  <c r="AB7" i="10" s="1"/>
  <c r="C7" i="10"/>
  <c r="F8" i="10"/>
  <c r="AB8" i="10" s="1"/>
  <c r="C8" i="10"/>
  <c r="F14" i="10"/>
  <c r="AB14" i="10" s="1"/>
  <c r="C14" i="10"/>
  <c r="C17" i="10"/>
  <c r="F15" i="24"/>
  <c r="Z15" i="24" s="1"/>
  <c r="C21" i="10"/>
  <c r="F19" i="10"/>
  <c r="AB19" i="10" s="1"/>
  <c r="C19" i="10"/>
  <c r="F6" i="24"/>
  <c r="Z6" i="24" s="1"/>
  <c r="F16" i="10"/>
  <c r="AB16" i="10" s="1"/>
  <c r="C16" i="10"/>
  <c r="F14" i="24"/>
  <c r="Z14" i="24" s="1"/>
  <c r="C11" i="10"/>
  <c r="F18" i="10"/>
  <c r="AB18" i="10" s="1"/>
  <c r="C18" i="10"/>
  <c r="F5" i="10"/>
  <c r="AB5" i="10" s="1"/>
  <c r="F4" i="10"/>
  <c r="AB4" i="10" s="1"/>
  <c r="C4" i="10"/>
  <c r="F4" i="24"/>
  <c r="Z4" i="24" s="1"/>
  <c r="F5" i="24"/>
  <c r="Z5" i="24" s="1"/>
  <c r="F20" i="10"/>
  <c r="AB20" i="10" s="1"/>
  <c r="F13" i="24"/>
  <c r="Z13" i="24" s="1"/>
  <c r="F12" i="10"/>
  <c r="AB12" i="10" s="1"/>
  <c r="F10" i="24"/>
  <c r="Z10" i="24" s="1"/>
  <c r="C10" i="10"/>
  <c r="F9" i="24"/>
  <c r="Z9" i="24" s="1"/>
  <c r="F17" i="10"/>
  <c r="AB17" i="10" s="1"/>
  <c r="C14" i="3"/>
  <c r="C12" i="3"/>
  <c r="F15" i="10"/>
  <c r="AB15" i="10" s="1"/>
  <c r="C9" i="3"/>
  <c r="F11" i="10"/>
  <c r="AB11" i="10" s="1"/>
  <c r="F22" i="10"/>
  <c r="AB22" i="10" s="1"/>
  <c r="C18" i="3"/>
  <c r="F21" i="10"/>
  <c r="AB21" i="10" s="1"/>
  <c r="C8" i="3"/>
  <c r="F10" i="10"/>
  <c r="AB10" i="10" s="1"/>
  <c r="C15" i="10"/>
  <c r="C4" i="3"/>
  <c r="C3" i="3"/>
  <c r="C22" i="10"/>
  <c r="C6" i="3"/>
  <c r="C20" i="10"/>
  <c r="C17" i="3"/>
  <c r="C15" i="3"/>
  <c r="C13" i="10"/>
  <c r="C12" i="10"/>
  <c r="C10" i="3"/>
  <c r="C16" i="3"/>
  <c r="C13" i="3"/>
  <c r="C7" i="3"/>
  <c r="C11" i="3"/>
  <c r="C9" i="10"/>
  <c r="F6" i="10"/>
  <c r="AB6" i="10" s="1"/>
  <c r="C5" i="3"/>
  <c r="F25" i="24" l="1"/>
  <c r="Z25" i="24" s="1"/>
  <c r="F21" i="24"/>
  <c r="Z21" i="24" s="1"/>
  <c r="F24" i="24"/>
  <c r="Z24" i="24" s="1"/>
  <c r="F23" i="24"/>
  <c r="Z23" i="24" s="1"/>
  <c r="F32" i="24"/>
  <c r="Z32" i="24" s="1"/>
  <c r="F33" i="24"/>
  <c r="Z33" i="24" s="1"/>
  <c r="F22" i="24"/>
  <c r="Z22" i="24" s="1"/>
  <c r="F27" i="24" l="1"/>
  <c r="Z27" i="24" s="1"/>
  <c r="F28" i="24"/>
  <c r="Z28" i="24" s="1"/>
  <c r="F31" i="24"/>
  <c r="Z31" i="24" s="1"/>
  <c r="S5" i="25" l="1"/>
  <c r="T5" i="25"/>
  <c r="R5" i="25"/>
  <c r="D2" i="25" l="1"/>
  <c r="E2" i="25" l="1"/>
  <c r="F2" i="25"/>
  <c r="K7" i="25"/>
  <c r="R2" i="25"/>
  <c r="R7" i="25" s="1"/>
  <c r="S2" i="25" l="1"/>
  <c r="S7" i="25" s="1"/>
  <c r="L7" i="25"/>
  <c r="L8" i="25" s="1"/>
  <c r="T2" i="25"/>
  <c r="T7" i="25" s="1"/>
  <c r="M7" i="25"/>
  <c r="M8"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400-000001000000}">
      <text>
        <r>
          <rPr>
            <sz val="8"/>
            <color indexed="81"/>
            <rFont val="Tahoma"/>
            <family val="2"/>
          </rPr>
          <t>Lid*Lid*Exp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1" authorId="0" shapeId="0" xr:uid="{00000000-0006-0000-0700-000001000000}">
      <text>
        <r>
          <rPr>
            <b/>
            <sz val="8"/>
            <color indexed="81"/>
            <rFont val="Tahoma"/>
            <family val="2"/>
          </rPr>
          <t>Sacado del manual no escrito, no se sabe que son estos valores</t>
        </r>
      </text>
    </comment>
    <comment ref="D21" authorId="0" shapeId="0" xr:uid="{00000000-0006-0000-0700-00000200000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900-000001000000}">
      <text>
        <r>
          <rPr>
            <sz val="8"/>
            <color indexed="81"/>
            <rFont val="Tahoma"/>
            <family val="2"/>
          </rPr>
          <t>Lid*Lid*Exp</t>
        </r>
      </text>
    </comment>
    <comment ref="H10" authorId="0" shapeId="0" xr:uid="{00000000-0006-0000-0900-000002000000}">
      <text>
        <r>
          <rPr>
            <b/>
            <sz val="8"/>
            <color indexed="81"/>
            <rFont val="Tahoma"/>
            <family val="2"/>
          </rPr>
          <t>Debe ser bajo, muy bajo</t>
        </r>
      </text>
    </comment>
    <comment ref="H12" authorId="0" shapeId="0" xr:uid="{00000000-0006-0000-0900-000003000000}">
      <text>
        <r>
          <rPr>
            <b/>
            <sz val="8"/>
            <color indexed="81"/>
            <rFont val="Tahoma"/>
            <family val="2"/>
          </rPr>
          <t>Debe ser bajo, muy bajo</t>
        </r>
      </text>
    </comment>
  </commentList>
</comments>
</file>

<file path=xl/sharedStrings.xml><?xml version="1.0" encoding="utf-8"?>
<sst xmlns="http://schemas.openxmlformats.org/spreadsheetml/2006/main" count="916" uniqueCount="455">
  <si>
    <t>CAB</t>
  </si>
  <si>
    <t>Nfin</t>
  </si>
  <si>
    <t>POS</t>
  </si>
  <si>
    <t>Jugador</t>
  </si>
  <si>
    <t>Anys</t>
  </si>
  <si>
    <t>Dias</t>
  </si>
  <si>
    <t>PA</t>
  </si>
  <si>
    <t>Lid</t>
  </si>
  <si>
    <t>Exp</t>
  </si>
  <si>
    <t>Res</t>
  </si>
  <si>
    <t>m90</t>
  </si>
  <si>
    <t>For</t>
  </si>
  <si>
    <t>TSI</t>
  </si>
  <si>
    <t>Sou</t>
  </si>
  <si>
    <t>Hib</t>
  </si>
  <si>
    <t>Po</t>
  </si>
  <si>
    <t>De</t>
  </si>
  <si>
    <t>Cr</t>
  </si>
  <si>
    <t>Ex</t>
  </si>
  <si>
    <t>Ps</t>
  </si>
  <si>
    <t>An</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</si>
  <si>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</si>
  <si>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</si>
  <si>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</si>
  <si>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</si>
  <si>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</si>
  <si>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</si>
  <si>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</si>
  <si>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</si>
  <si>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</si>
  <si>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</si>
  <si>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</si>
  <si>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</si>
  <si>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</si>
  <si>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</si>
  <si>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</si>
  <si>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</si>
  <si>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</si>
  <si>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</si>
  <si>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</si>
  <si>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</si>
  <si>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</si>
  <si>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</si>
  <si>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</si>
  <si>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</si>
  <si>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</si>
  <si>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</si>
  <si>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</si>
  <si>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</si>
  <si>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</si>
  <si>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</si>
  <si>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</si>
  <si>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</si>
  <si>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</si>
  <si>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</si>
  <si>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</si>
  <si>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</si>
  <si>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</si>
  <si>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</si>
  <si>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</si>
  <si>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</si>
  <si>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</si>
  <si>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</si>
  <si>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</si>
  <si>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</si>
  <si>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</si>
  <si>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</si>
  <si>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</si>
  <si>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</si>
  <si>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</si>
  <si>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</si>
  <si>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</si>
  <si>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</si>
  <si>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</si>
  <si>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</si>
  <si>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</si>
  <si>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</si>
  <si>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</si>
  <si>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</si>
  <si>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</si>
  <si>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</si>
  <si>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</si>
  <si>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</si>
  <si>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</si>
  <si>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</si>
  <si>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</si>
  <si>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</si>
  <si>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</si>
  <si>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</si>
  <si>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</si>
  <si>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</si>
  <si>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</si>
  <si>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</si>
  <si>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</si>
  <si>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</si>
  <si>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</si>
  <si>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</si>
  <si>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</si>
  <si>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</si>
  <si>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</si>
  <si>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</si>
  <si>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</si>
  <si>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</si>
  <si>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</si>
  <si>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</si>
  <si>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</si>
  <si>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</si>
  <si>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</si>
  <si>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</si>
  <si>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</si>
  <si>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</si>
  <si>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</si>
  <si>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</si>
  <si>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</si>
  <si>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</si>
  <si>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</si>
  <si>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</si>
  <si>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</si>
  <si>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</si>
  <si>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</si>
  <si>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</si>
  <si>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</si>
  <si>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</si>
  <si>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</si>
  <si>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</si>
  <si>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</si>
  <si>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</si>
  <si>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</si>
  <si>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</si>
  <si>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</si>
  <si>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</si>
  <si>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</si>
  <si>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</si>
  <si>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</si>
  <si>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</si>
  <si>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</si>
  <si>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</si>
  <si>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</si>
  <si>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</si>
  <si>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</si>
  <si>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</si>
  <si>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</si>
  <si>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</si>
  <si>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</si>
  <si>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</si>
  <si>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</si>
  <si>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</si>
  <si>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</si>
  <si>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</si>
  <si>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</si>
  <si>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</si>
  <si>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</si>
  <si>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</si>
  <si>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</si>
  <si>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</si>
  <si>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</si>
  <si>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</si>
  <si>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</si>
  <si>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</si>
  <si>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</si>
  <si>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</si>
  <si>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</si>
  <si>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</si>
  <si>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</si>
  <si>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</si>
  <si>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</si>
  <si>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</si>
  <si>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</si>
  <si>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</si>
  <si>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</si>
  <si>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</si>
  <si>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</si>
  <si>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</si>
  <si>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</si>
  <si>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</si>
  <si>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</si>
  <si>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</si>
  <si>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</si>
  <si>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</si>
  <si>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</si>
  <si>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</si>
  <si>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</si>
  <si>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</si>
  <si>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</si>
  <si>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</si>
  <si>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</si>
  <si>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</si>
  <si>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</si>
  <si>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</si>
  <si>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</si>
  <si>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</si>
  <si>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</si>
  <si>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</si>
  <si>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</si>
  <si>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</si>
  <si>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</si>
  <si>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</si>
  <si>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</si>
  <si>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</si>
  <si>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</si>
  <si>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</si>
  <si>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</si>
  <si>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</si>
  <si>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</si>
  <si>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</si>
  <si>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</si>
  <si>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</si>
  <si>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</si>
  <si>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</si>
  <si>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</si>
  <si>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</si>
  <si>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</si>
  <si>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</si>
  <si>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</si>
  <si>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</si>
  <si>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</si>
  <si>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</si>
  <si>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</si>
  <si>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</si>
  <si>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</si>
  <si>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</si>
  <si>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</si>
  <si>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</si>
  <si>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</si>
  <si>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</si>
  <si>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</si>
  <si>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</si>
  <si>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</si>
  <si>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</si>
  <si>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</si>
  <si>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</si>
  <si>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</si>
  <si>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</si>
  <si>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</si>
  <si>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</si>
  <si>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</si>
  <si>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</si>
  <si>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</si>
  <si>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</si>
  <si>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</si>
  <si>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</si>
  <si>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</si>
  <si>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</si>
  <si>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</si>
  <si>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</si>
  <si>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</si>
  <si>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</si>
  <si>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</si>
  <si>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</si>
  <si>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</si>
  <si>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</si>
  <si>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</si>
  <si>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</si>
  <si>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</si>
  <si>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</si>
  <si>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</si>
  <si>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</si>
  <si>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</si>
  <si>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</si>
  <si>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</si>
  <si>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</si>
  <si>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</si>
  <si>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</si>
  <si>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</si>
  <si>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</si>
  <si>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</si>
  <si>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</si>
  <si>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</si>
  <si>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TSI_A</t>
  </si>
  <si>
    <t>#21</t>
  </si>
  <si>
    <t>Enrique Cubas</t>
  </si>
  <si>
    <t>Fernando Gazón</t>
  </si>
  <si>
    <t>IMP</t>
  </si>
  <si>
    <t>HTMS</t>
  </si>
  <si>
    <t>Eckardt Hägerling</t>
  </si>
  <si>
    <t>Valeri Gomis</t>
  </si>
  <si>
    <t>#23</t>
  </si>
  <si>
    <t>PS</t>
  </si>
  <si>
    <t>Año</t>
  </si>
  <si>
    <t>Dia</t>
  </si>
  <si>
    <t>E_Po</t>
  </si>
  <si>
    <t>E_De</t>
  </si>
  <si>
    <t>E_Cr</t>
  </si>
  <si>
    <t>E_Ex</t>
  </si>
  <si>
    <t>E_Ps</t>
  </si>
  <si>
    <t>E_An</t>
  </si>
  <si>
    <t>E_PA</t>
  </si>
  <si>
    <t>E_TOTAL</t>
  </si>
  <si>
    <t>E. Cubas</t>
  </si>
  <si>
    <t>V. Gomis</t>
  </si>
  <si>
    <t>J.G. Peñuela</t>
  </si>
  <si>
    <t>#16</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</si>
  <si>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</si>
  <si>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</si>
  <si>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</si>
  <si>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</si>
  <si>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</si>
  <si>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</si>
  <si>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</si>
  <si>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</si>
  <si>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</si>
  <si>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</si>
  <si>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</si>
  <si>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</si>
  <si>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</si>
  <si>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</si>
  <si>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</si>
  <si>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</si>
  <si>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</si>
  <si>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</si>
  <si>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</si>
  <si>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</si>
  <si>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</si>
  <si>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</si>
  <si>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</si>
  <si>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</si>
  <si>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</si>
  <si>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</si>
  <si>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</si>
  <si>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</si>
  <si>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#26</t>
  </si>
  <si>
    <t>CEN</t>
  </si>
  <si>
    <t>Ioannis Avramopoulos</t>
  </si>
  <si>
    <t>Ent</t>
  </si>
  <si>
    <t>Tem</t>
  </si>
  <si>
    <t>INN</t>
  </si>
  <si>
    <t>J. G. Peñuela</t>
  </si>
  <si>
    <t>Alberto Ercilla</t>
  </si>
  <si>
    <t>Will Duffill</t>
  </si>
  <si>
    <t>Francesc Añigas</t>
  </si>
  <si>
    <t>Actualitzacio</t>
  </si>
  <si>
    <t>Millor partit</t>
  </si>
  <si>
    <t>CASA</t>
  </si>
  <si>
    <t>487 HTS</t>
  </si>
  <si>
    <t>FORA</t>
  </si>
  <si>
    <t>Xermade - Vader</t>
  </si>
  <si>
    <t>472 HTS</t>
  </si>
  <si>
    <t>Millor Qualificació</t>
  </si>
  <si>
    <t>Sául Piña</t>
  </si>
  <si>
    <t>14,5*</t>
  </si>
  <si>
    <t>Joãozinho do Mato</t>
  </si>
  <si>
    <t>13*</t>
  </si>
  <si>
    <t>Patrick Werner</t>
  </si>
  <si>
    <t>12,5*</t>
  </si>
  <si>
    <t>Rasheed Da'na</t>
  </si>
  <si>
    <t>12*</t>
  </si>
  <si>
    <t>Brunon Chuda</t>
  </si>
  <si>
    <t>Adam Moss</t>
  </si>
  <si>
    <t>11,5*</t>
  </si>
  <si>
    <t>Kendor Nagiturri</t>
  </si>
  <si>
    <t>11*</t>
  </si>
  <si>
    <t>10,5*</t>
  </si>
  <si>
    <t>Gianfranco Rezza</t>
  </si>
  <si>
    <t>Cornel Boicea</t>
  </si>
  <si>
    <t>Jorge Walter Whitaker</t>
  </si>
  <si>
    <t>Antoine Dupré</t>
  </si>
  <si>
    <t>10*</t>
  </si>
  <si>
    <t>Károly Serfel</t>
  </si>
  <si>
    <t>Gongotzon Ialdebere</t>
  </si>
  <si>
    <t>Aimar Lasalde</t>
  </si>
  <si>
    <t>Ibiur Altxakoa</t>
  </si>
  <si>
    <t>Damián Sala</t>
  </si>
  <si>
    <t>9,5*</t>
  </si>
  <si>
    <t>Emilio Mochelato</t>
  </si>
  <si>
    <t>Pepijn Zwaan</t>
  </si>
  <si>
    <t>Iyad Chaabo</t>
  </si>
  <si>
    <t>Mario Omarini</t>
  </si>
  <si>
    <t>Wicher Ossedrijver</t>
  </si>
  <si>
    <t>Ludwik Mojéscik</t>
  </si>
  <si>
    <t>Jos Pittors</t>
  </si>
  <si>
    <t>Morgan Thomas</t>
  </si>
  <si>
    <t>Nicolai Stentoft</t>
  </si>
  <si>
    <t>Gino van Hoesel</t>
  </si>
  <si>
    <t>Raffaele Sitter</t>
  </si>
  <si>
    <t>Filiciano Becerril</t>
  </si>
  <si>
    <t>Giulio Porcaccianti</t>
  </si>
  <si>
    <t>Dolf Fohringer</t>
  </si>
  <si>
    <t>Rank</t>
  </si>
  <si>
    <t>Més Partits Jugats</t>
  </si>
  <si>
    <t>Pere Beltran</t>
  </si>
  <si>
    <t>Andrin Bärtsch</t>
  </si>
  <si>
    <t>Pasqual Vilar</t>
  </si>
  <si>
    <t>Alex Trantre</t>
  </si>
  <si>
    <t>Leonardo Baltico</t>
  </si>
  <si>
    <t>Arnold Kalckstein</t>
  </si>
  <si>
    <t>Adamantios Fikias</t>
  </si>
  <si>
    <t>Ragip Övgü</t>
  </si>
  <si>
    <t>Malte Neulinger</t>
  </si>
  <si>
    <t>Horacy Dzienis</t>
  </si>
  <si>
    <t>Porteria Imbatuda</t>
  </si>
  <si>
    <t>Jorge Asúa</t>
  </si>
  <si>
    <t>Robert Kavcic</t>
  </si>
  <si>
    <t>Enrique Haro</t>
  </si>
  <si>
    <t>Giuseppe Peirolo</t>
  </si>
  <si>
    <t>Adolfo Vizcaino</t>
  </si>
  <si>
    <t>Ceferino Sava</t>
  </si>
  <si>
    <t>Arnulfo Cuntis</t>
  </si>
  <si>
    <t>Armengol Cols</t>
  </si>
  <si>
    <t>Pieter Pelleboer</t>
  </si>
  <si>
    <t>Sergio Roca</t>
  </si>
  <si>
    <t>Ludvig Andreasson</t>
  </si>
  <si>
    <t>Patrice Saillet</t>
  </si>
  <si>
    <t>Jacek Ceislar</t>
  </si>
  <si>
    <t>Rafael Guiu</t>
  </si>
  <si>
    <t>Alvino Cost</t>
  </si>
  <si>
    <t>Nicolas Vannoorberghe</t>
  </si>
  <si>
    <t>Jacobo Ferrueros</t>
  </si>
  <si>
    <t>Albert Fité</t>
  </si>
  <si>
    <t>Més vegades Capità</t>
  </si>
  <si>
    <t>Fernando Juárez Sierra</t>
  </si>
  <si>
    <t>Co Wolbers</t>
  </si>
  <si>
    <t>Augustin Demaison</t>
  </si>
  <si>
    <t>Christophe Méjean</t>
  </si>
  <si>
    <t>Aleksi Alarotu</t>
  </si>
  <si>
    <t>Manolo Negrín</t>
  </si>
  <si>
    <t>John Chung</t>
  </si>
  <si>
    <t>Jaakko Kalliovaara</t>
  </si>
  <si>
    <t>Melcior Calmet</t>
  </si>
  <si>
    <t>Nicolae Hornet</t>
  </si>
  <si>
    <t>Pablo Goenaga</t>
  </si>
  <si>
    <t>#36</t>
  </si>
  <si>
    <t>W. Duffill</t>
  </si>
  <si>
    <t>F. Añigas</t>
  </si>
  <si>
    <t>IMP/RAP</t>
  </si>
  <si>
    <t>Filip Antonijevic</t>
  </si>
  <si>
    <t>Namazbek Baktygazyuly</t>
  </si>
  <si>
    <t>Juan Gabriel de Minaya</t>
  </si>
  <si>
    <t>#38</t>
  </si>
  <si>
    <t>Berto Abandero</t>
  </si>
  <si>
    <t>Miguel Fernández</t>
  </si>
  <si>
    <t>M. Fernandez</t>
  </si>
  <si>
    <t>B. Abandero</t>
  </si>
  <si>
    <t>#25</t>
  </si>
  <si>
    <t>Iván Real Figueroa</t>
  </si>
  <si>
    <t>I. R. Figueroa</t>
  </si>
  <si>
    <t>Fabien Fabre</t>
  </si>
  <si>
    <t>Emilio Rojas</t>
  </si>
  <si>
    <t>Guillermo Pedrajas</t>
  </si>
  <si>
    <t>G. Pedrajas</t>
  </si>
  <si>
    <t>#19</t>
  </si>
  <si>
    <t>Cosme Fonteboa</t>
  </si>
  <si>
    <t>C. Fonteboa</t>
  </si>
  <si>
    <t>Miklós Gábriel</t>
  </si>
  <si>
    <t>Inners</t>
  </si>
  <si>
    <t>Juan Garcia Peñuela</t>
  </si>
  <si>
    <t>Wil Duffill</t>
  </si>
  <si>
    <t>Eckardt Hagerling</t>
  </si>
  <si>
    <t>Vader - Rayitos</t>
  </si>
  <si>
    <t>Fabian Fabre</t>
  </si>
  <si>
    <t>David Garcia-Spiess</t>
  </si>
  <si>
    <t>Leo Hilpinen</t>
  </si>
  <si>
    <t>EXT-LAT</t>
  </si>
  <si>
    <t>h34</t>
  </si>
  <si>
    <t>N_CA</t>
  </si>
  <si>
    <t>Defensas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</si>
</sst>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6"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1"/>
      <color rgb="FFFF0000"/>
      <name val="Calibri"/>
      <family val="2"/>
      <scheme val="minor"/>
    </font>
    <font>
      <b/>
      <sz val="8"/>
      <color theme="9" tint="-0.249977111117893"/>
      <name val="Verdana"/>
      <family val="2"/>
    </font>
    <font>
      <i/>
      <sz val="11"/>
      <color theme="1"/>
      <name val="Calibri"/>
      <family val="2"/>
      <scheme val="minor"/>
    </font>
  </fonts>
  <fills count="3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6"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53">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0" fillId="0" borderId="0" xfId="0" applyAlignment="1">
      <alignment horizontal="center"/>
    </xf>
    <xf numFmtId="0" fontId="0" fillId="0" borderId="0" xfId="0" applyFill="1" applyBorder="1" applyAlignment="1">
      <alignment horizontal="center"/>
    </xf>
    <xf numFmtId="1" fontId="16" fillId="0" borderId="0" xfId="0" applyNumberFormat="1" applyFont="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3"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0" fontId="44" fillId="0" borderId="1" xfId="0" applyFont="1" applyFill="1" applyBorder="1" applyAlignment="1">
      <alignment horizontal="left" vertical="center"/>
    </xf>
    <xf numFmtId="0" fontId="0" fillId="0" borderId="0" xfId="0" applyAlignment="1">
      <alignment horizontal="center"/>
    </xf>
    <xf numFmtId="0" fontId="16" fillId="26" borderId="0" xfId="0" applyFont="1" applyFill="1"/>
    <xf numFmtId="0" fontId="45" fillId="0" borderId="0" xfId="0" applyFont="1" applyAlignment="1">
      <alignment horizontal="right"/>
    </xf>
    <xf numFmtId="0" fontId="13" fillId="27" borderId="1" xfId="3" applyFont="1" applyFill="1" applyBorder="1" applyAlignment="1">
      <alignment horizontal="right"/>
    </xf>
    <xf numFmtId="0" fontId="0" fillId="0" borderId="0" xfId="0" applyAlignment="1">
      <alignment horizontal="center"/>
    </xf>
    <xf numFmtId="0" fontId="0" fillId="34" borderId="0" xfId="0" applyFill="1" applyAlignment="1">
      <alignment horizontal="right"/>
    </xf>
    <xf numFmtId="0" fontId="0" fillId="0" borderId="0" xfId="0" applyAlignment="1">
      <alignment horizontal="center"/>
    </xf>
    <xf numFmtId="43" fontId="16" fillId="0" borderId="0" xfId="1" applyFont="1" applyAlignment="1">
      <alignment horizontal="center"/>
    </xf>
    <xf numFmtId="0" fontId="0" fillId="0" borderId="0" xfId="0" applyAlignment="1">
      <alignment horizontal="center"/>
    </xf>
    <xf numFmtId="0" fontId="45" fillId="0" borderId="0" xfId="0" applyFont="1" applyFill="1" applyAlignment="1">
      <alignment horizontal="right"/>
    </xf>
    <xf numFmtId="0" fontId="0" fillId="34" borderId="0" xfId="0" applyFont="1" applyFill="1" applyAlignment="1">
      <alignment horizontal="right"/>
    </xf>
    <xf numFmtId="0" fontId="0" fillId="0" borderId="0" xfId="0" applyAlignment="1">
      <alignment horizontal="center"/>
    </xf>
    <xf numFmtId="0" fontId="16" fillId="26" borderId="0" xfId="0" applyFont="1" applyFill="1" applyAlignment="1">
      <alignment horizontal="center"/>
    </xf>
    <xf numFmtId="0" fontId="0" fillId="0" borderId="0" xfId="0" applyAlignment="1">
      <alignment horizontal="center"/>
    </xf>
    <xf numFmtId="0" fontId="0" fillId="0" borderId="0" xfId="0" applyAlignment="1">
      <alignment horizontal="center"/>
    </xf>
    <xf numFmtId="0" fontId="5" fillId="27" borderId="1" xfId="3" applyFont="1" applyFill="1" applyBorder="1" applyAlignment="1">
      <alignment horizontal="right"/>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0" fontId="0" fillId="0" borderId="0" xfId="0" applyAlignment="1">
      <alignment horizontal="center"/>
    </xf>
    <xf numFmtId="0" fontId="8" fillId="13" borderId="1" xfId="0" applyFont="1" applyFill="1" applyBorder="1" applyAlignment="1">
      <alignment horizontal="center" vertical="center"/>
    </xf>
    <xf numFmtId="2" fontId="0" fillId="0" borderId="0" xfId="0" applyNumberFormat="1" applyAlignment="1">
      <alignment horizontal="right"/>
    </xf>
    <xf numFmtId="2" fontId="16" fillId="0" borderId="0" xfId="0" applyNumberFormat="1" applyFont="1" applyAlignment="1">
      <alignment horizontal="right"/>
    </xf>
    <xf numFmtId="164" fontId="16" fillId="0" borderId="0" xfId="0" applyNumberFormat="1" applyFont="1" applyAlignment="1">
      <alignment horizontal="center"/>
    </xf>
    <xf numFmtId="0" fontId="0" fillId="0" borderId="0" xfId="0" applyAlignment="1">
      <alignment horizontal="center"/>
    </xf>
    <xf numFmtId="0" fontId="0" fillId="0" borderId="0" xfId="0" applyFill="1" applyAlignment="1">
      <alignment horizontal="right"/>
    </xf>
    <xf numFmtId="0" fontId="45" fillId="34" borderId="0" xfId="0" applyFont="1" applyFill="1" applyAlignment="1">
      <alignment horizontal="right"/>
    </xf>
    <xf numFmtId="0" fontId="0" fillId="0" borderId="0" xfId="0" applyAlignment="1">
      <alignment horizontal="center"/>
    </xf>
    <xf numFmtId="0" fontId="0" fillId="0" borderId="0" xfId="0" applyAlignment="1">
      <alignment horizontal="center"/>
    </xf>
    <xf numFmtId="0" fontId="24" fillId="21" borderId="0" xfId="0" applyFont="1" applyFill="1" applyAlignment="1">
      <alignment horizontal="center" wrapText="1"/>
    </xf>
    <xf numFmtId="0" fontId="27" fillId="17" borderId="0" xfId="0" applyFont="1" applyFill="1" applyAlignment="1">
      <alignment horizontal="center" wrapText="1"/>
    </xf>
    <xf numFmtId="0" fontId="24" fillId="24" borderId="0" xfId="0" applyFont="1" applyFill="1" applyAlignment="1">
      <alignment horizontal="center" wrapText="1"/>
    </xf>
    <xf numFmtId="0" fontId="24" fillId="25"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16" fillId="26" borderId="0" xfId="0" applyFont="1" applyFill="1" applyAlignment="1">
      <alignment horizontal="center"/>
    </xf>
    <xf numFmtId="0" fontId="0" fillId="0" borderId="0" xfId="0" applyAlignment="1">
      <alignment horizontal="center"/>
    </xf>
    <xf numFmtId="0" fontId="16" fillId="18" borderId="0" xfId="0" applyFont="1" applyFill="1"/>
    <xf numFmtId="0" fontId="16" fillId="18" borderId="0" xfId="0" applyFont="1" applyFill="1" applyAlignment="1">
      <alignment horizontal="center"/>
    </xf>
    <xf numFmtId="164" fontId="28" fillId="0" borderId="0" xfId="0" applyNumberFormat="1" applyFont="1"/>
  </cellXfs>
  <cellStyles count="5">
    <cellStyle name="Excel Built-in Normal" xfId="3" xr:uid="{00000000-0005-0000-0000-000000000000}"/>
    <cellStyle name="Millares" xfId="1" builtinId="3"/>
    <cellStyle name="Moneda" xfId="4" builtinId="4"/>
    <cellStyle name="Normal" xfId="0" builtinId="0"/>
    <cellStyle name="Porcentaje" xfId="2" builtinId="5"/>
  </cellStyles>
  <dxfs count="18">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6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6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6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6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6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6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6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6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6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6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6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6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6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6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6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6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6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6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6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6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6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6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6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6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6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6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6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6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6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6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6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6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6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6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6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6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6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6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6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6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6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6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6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6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6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6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6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6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6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6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6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6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6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6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6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6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6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6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6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6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6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6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6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6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6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6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6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6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6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6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6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6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6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6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6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6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6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6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6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6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6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6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6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6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6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6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6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6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6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6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6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6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6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6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6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6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6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6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6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6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6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6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6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6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6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6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6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6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6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6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6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6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6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6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6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6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6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6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6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6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6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6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6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6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6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6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6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6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6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6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6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6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6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6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6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6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6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6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6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6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6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6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6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6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6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6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6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6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6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6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6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6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6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6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6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6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6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6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6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6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6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6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6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6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6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6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6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6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6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6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6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6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6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6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6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6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6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6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6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6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6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6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6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6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6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6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6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6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6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6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6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6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6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6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6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6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6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6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6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6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6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6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6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6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6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6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6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6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6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6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6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6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6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6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6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6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6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6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6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6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6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6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6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6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6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6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6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6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6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6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6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6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6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6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6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6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6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6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6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6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6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6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6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6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6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6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6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6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6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6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6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6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6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6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6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6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6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6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6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6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6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6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6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6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6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6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6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6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6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6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6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6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6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6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6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6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6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6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6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6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6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6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6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6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6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6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6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6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6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6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6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6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6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6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6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6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6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6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6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6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6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6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6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6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6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6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6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6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6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6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6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6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6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6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6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6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6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6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6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6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6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6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6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6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6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6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6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6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6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6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6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6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6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6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6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6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6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6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6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6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6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6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6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6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6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6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6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6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6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6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6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6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6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6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6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6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6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6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6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6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6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6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6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6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6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6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6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6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6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6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6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6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6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6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6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6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6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6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6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6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6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6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6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6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6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6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6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6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6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6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6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6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6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6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6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6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6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6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6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6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6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6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6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6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6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6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6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6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6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6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6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6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6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6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6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6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6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6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6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6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6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6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6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6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6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6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6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6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6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6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6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6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6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6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6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6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6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6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6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6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6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6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6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6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6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6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6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6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6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6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6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6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6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6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6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6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6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6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6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6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6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6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6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6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6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6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6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6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6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6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6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6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6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6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6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6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6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6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6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6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6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6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6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6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6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6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6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6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6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6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6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6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6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6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6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6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6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6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6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6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6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6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6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6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6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6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6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6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6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6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6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6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6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6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6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6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6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6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6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6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6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6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6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6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6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6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6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6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6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6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6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6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6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6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6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6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6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6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6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6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6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6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6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6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6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6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6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6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6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6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6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6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6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6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6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6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6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6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6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6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6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6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6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6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6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6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6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6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6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6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6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6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6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6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6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6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6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6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6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6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6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6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6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6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6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6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6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6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6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6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6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6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6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6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6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6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6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6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6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6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6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6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6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6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6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6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6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6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6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6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6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6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6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6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6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6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6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6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6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6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6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6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6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6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6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6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6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6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6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6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6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6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6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6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6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6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6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6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6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6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6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6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6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6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6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6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6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6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6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6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6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6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6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6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6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6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600-00009B020000}"/>
            </a:ext>
          </a:extLst>
        </xdr:cNvPr>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6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600-00009D020000}"/>
            </a:ext>
          </a:extLst>
        </xdr:cNvPr>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600-00009E020000}"/>
            </a:ext>
          </a:extLst>
        </xdr:cNvP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600-00009F020000}"/>
            </a:ext>
          </a:extLst>
        </xdr:cNvP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6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600-0000A1020000}"/>
            </a:ext>
          </a:extLst>
        </xdr:cNvPr>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6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6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6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6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6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6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6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6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6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6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6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6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6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6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6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6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6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6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6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6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6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6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6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6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6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6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6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6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6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6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6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6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6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6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6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6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6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6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6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6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6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6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6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6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6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6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6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6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6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6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6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6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6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6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6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6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6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6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6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6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6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6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6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6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6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6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6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6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6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6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6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6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6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6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6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6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6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6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6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6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6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6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6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6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6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6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6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6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6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6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6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6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6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6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6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6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6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6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6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6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6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6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6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6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6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6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6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6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6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6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6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6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6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6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6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6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6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6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6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6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6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6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6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6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6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6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6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6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6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6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6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6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6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6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6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6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6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6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6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6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6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6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6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6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6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6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6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6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6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6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6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6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6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6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6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6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6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6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6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6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6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6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6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6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6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6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6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6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6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6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6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6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6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6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6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6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6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6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6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6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6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6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6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6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6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6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6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6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6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6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6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6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6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6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6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6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6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6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6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6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6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6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6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6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6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6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6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6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6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6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6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6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6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6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6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6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6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6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6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6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6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6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6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6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6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6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6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6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6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6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6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6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6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6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6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6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6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6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6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6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6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6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6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6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6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6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6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6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6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6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6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6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6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6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6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6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6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6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6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6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6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6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6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6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6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6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6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6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6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6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6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6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6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6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6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6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6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6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6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6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6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6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6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6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6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6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6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6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6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6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6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6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6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6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6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6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6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6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6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6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6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6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6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6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6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6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6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6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6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6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6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6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6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6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6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6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6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6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6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6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6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6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6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6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6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6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6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6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6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6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6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6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6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6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6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6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6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6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6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6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6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6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6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6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6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6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6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6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6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6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6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6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6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6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6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6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6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6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6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6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6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6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6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6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6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6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6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6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6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6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6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6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6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6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6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6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6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6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6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6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6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6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6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6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6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6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6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6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6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6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6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6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6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6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6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6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6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6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6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6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6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6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6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6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6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6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6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6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6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6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6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6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6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6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6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6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6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6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6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6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6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6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6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6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6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6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6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6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6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6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6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6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6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6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6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6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6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6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6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6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6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6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6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6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6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6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6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6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6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6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6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6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6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6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6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6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6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6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6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6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6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6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6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6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6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6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6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6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6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6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6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6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6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6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6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6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6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6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6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6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6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6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6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6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6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6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6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6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6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6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6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6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6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6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6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6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6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6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6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6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6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6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6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6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6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6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6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6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6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6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6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6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6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6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6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6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6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6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6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6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6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6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6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6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6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6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6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6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6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6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6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6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6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6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6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6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6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6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6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6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6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6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6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6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6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6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6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6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6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6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6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6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6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6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6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6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6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6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6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6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6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6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6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6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6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6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6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6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6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6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6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6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6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6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6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6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6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6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6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6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6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6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6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6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6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6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6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6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6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6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6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6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6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6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6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6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6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6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6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6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6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6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6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6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6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6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6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6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6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6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6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6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6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6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6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6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6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6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6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6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6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6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6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6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6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6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6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6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6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6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6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6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6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6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6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6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6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6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6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6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6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6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6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6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6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6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6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6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6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6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6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6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6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6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6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6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6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6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6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6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6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6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6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6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6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6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6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6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6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6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6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6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6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6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6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6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6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6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6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6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6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6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6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6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6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6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6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6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6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6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6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6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6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6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6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6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6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6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6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6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6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6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6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6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6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6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6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6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6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6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6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6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6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6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6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6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6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6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6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6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6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6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6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6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6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6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6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6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6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6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6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6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6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6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6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6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6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6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6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6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6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6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6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6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6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6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6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6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6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6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6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6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6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6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6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6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6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6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6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6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6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6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6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6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6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6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6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6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6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6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6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6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6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6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6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6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6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6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6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6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6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6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6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6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6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6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6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6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6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6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6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6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6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6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6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6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6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6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6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6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6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6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6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6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6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6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6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6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6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6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6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6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6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6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6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6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6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6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6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6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6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6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6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6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6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6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6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6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6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6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6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6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6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6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6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6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6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6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6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6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6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6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6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6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6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6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6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6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6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6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6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6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6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6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6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6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6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6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6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6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6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6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6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6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6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6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6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6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6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6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6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6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6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6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6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6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6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6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6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6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6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6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6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6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6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6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6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6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6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6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6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6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6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6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6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6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6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6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6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6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6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6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6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6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6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6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6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6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6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6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6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6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6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6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6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6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6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6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6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6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6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6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6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6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6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6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6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6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6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6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6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6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6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6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6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6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6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6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6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6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6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6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6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6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6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6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6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6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6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6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6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6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6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6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6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6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6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6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6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6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6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6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6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6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6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6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6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6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6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6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6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6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6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6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6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6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6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6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6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6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6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6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6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6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6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6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6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6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6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6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6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6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6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6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6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6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6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6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6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6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6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6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6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6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6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6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6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6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6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6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6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6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6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6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6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6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6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6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6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6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6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6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6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6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6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6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6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6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6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6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6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6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6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6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6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6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6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6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6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6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6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6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6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6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6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6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6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6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6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6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6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6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6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6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6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6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6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6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6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6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6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6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6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6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6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6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6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6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6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6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6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6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6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6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6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6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6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6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6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6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6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6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6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6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6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6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6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6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6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6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6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6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6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6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6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6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6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6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6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6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6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6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6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6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6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6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6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6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6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6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6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6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6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6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6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6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6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6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6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6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6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6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6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6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6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6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6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6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6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6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6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6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6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6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6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6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6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6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6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6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6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6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6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6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6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6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6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6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6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6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6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6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6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6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6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6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6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6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6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6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6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6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6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6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6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6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6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6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6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6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6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6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6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6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6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6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6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6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6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6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6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6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6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6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6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6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6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6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6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6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6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6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6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6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6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6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6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6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6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6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6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6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6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6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6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6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6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6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6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6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6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6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6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6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6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6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6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6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6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6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6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6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6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6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6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6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6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6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6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6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6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6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6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6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6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6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6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6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6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6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6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6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6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6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6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6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6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6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6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6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6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6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6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6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6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6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6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6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6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6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6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6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6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6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6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6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6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6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6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6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6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6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6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6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6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6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6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6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6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6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6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6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6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6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6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6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6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6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6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6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6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6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6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6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6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6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6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6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6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6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6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6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6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6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6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6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6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6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6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6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6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6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6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6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6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6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6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6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6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6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6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6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6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6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6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6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6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6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6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6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6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6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6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6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6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6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6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6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6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6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6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6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6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6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6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6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6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6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6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6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6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6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6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6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6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6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6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6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6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6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6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6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6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6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6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6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6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6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6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6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6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6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6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6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6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6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6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6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6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6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6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6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6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6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6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6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6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6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6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6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6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6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6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6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6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6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6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6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6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6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6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6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6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6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6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6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6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6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6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6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6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6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6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6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6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6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6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6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6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6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6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6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6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6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6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6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6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6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6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6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6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6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6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6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6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6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6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6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6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6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6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6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6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6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6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6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6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6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6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6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6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6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6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6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6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6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6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6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6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6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6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6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6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6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6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6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6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6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6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6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6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6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6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6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6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6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6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6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6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6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6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6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6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6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6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6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6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6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6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6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6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6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6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6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6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6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6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6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6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6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6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6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6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6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6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6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6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6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6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6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6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6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6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6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6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6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6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6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6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6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6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6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6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6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6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6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6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6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6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6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6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6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6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6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6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6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6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6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6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6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6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6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6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6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6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6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6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6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6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6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6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6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6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6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6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6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6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6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6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6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6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6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6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6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6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6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6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6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6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6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6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6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6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6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6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6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6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6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6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6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6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6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6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6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6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6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6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6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6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6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6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6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6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6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6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6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6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6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6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6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6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6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6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6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6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6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6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6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6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6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6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6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6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6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6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6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6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6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6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6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6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6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6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6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6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6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6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6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6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6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6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6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6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6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6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6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6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6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6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6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6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6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6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6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6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6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6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6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6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6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6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6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6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6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6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6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6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6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6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6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6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6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6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6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6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6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6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6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6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6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6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6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6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6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6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6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6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6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6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6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6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6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6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6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6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6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6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6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6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6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6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6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6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6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6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6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6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6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6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6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6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6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6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6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6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6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6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6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6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6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6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6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6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6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6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6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6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6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6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6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6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6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6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6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6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6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6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6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6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6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6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6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6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6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6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6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6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6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6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6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6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6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6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6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6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6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6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6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6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6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6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6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6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6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6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6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6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6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6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6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6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6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6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6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6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6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6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6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6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6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6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6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6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6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6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6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6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6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6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6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6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6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6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6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6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6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6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6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6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6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6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6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6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6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6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6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6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6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6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6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6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6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6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6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6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6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6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6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6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6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6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6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6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6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6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6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6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6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6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6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6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6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6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6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6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6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6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6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6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6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6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6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6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6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6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6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6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6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6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6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6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6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6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6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6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6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6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6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6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6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6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6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6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6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6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6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6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6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6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6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6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6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6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6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6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6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6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6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6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6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6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6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6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6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6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6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6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6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6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6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6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6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6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6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6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6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6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6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6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6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6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6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6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6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6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6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6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6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6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6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6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6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6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6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6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6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6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6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6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6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6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6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6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6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6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6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6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6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6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6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6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6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6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6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6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6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6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6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6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6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6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6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6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6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6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6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6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6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6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6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6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6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6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6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6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6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6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6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6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6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6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6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6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6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6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6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6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6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6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6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6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6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6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6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6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6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6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6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6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6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6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6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6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6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6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6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6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6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6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6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6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6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6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6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6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6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6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6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6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6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6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6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6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6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6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6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6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6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6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6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6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6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6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6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6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6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6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6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6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6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6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6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6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6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6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6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6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6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6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6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6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6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6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6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6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6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6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6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6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6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6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6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6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6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6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6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6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6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6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6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6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6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6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6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6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6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6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6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6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6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6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6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6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6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6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6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6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6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6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6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6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6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6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6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6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6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6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6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6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6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6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6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6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6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6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6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6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6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6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6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6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6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6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6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6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6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6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6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6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6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6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6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6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6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6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6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6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6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6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6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6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6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6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6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6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6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6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6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6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6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6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6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6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6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6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6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6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6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6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6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6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6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6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6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6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6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6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6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6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6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6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6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6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6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6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6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6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6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6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6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6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6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6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6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6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6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6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6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6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6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6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6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6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6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6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6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6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6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6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6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6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6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6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6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6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6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6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6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6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6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6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6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6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6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6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6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6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6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6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6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6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6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6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6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6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6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6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6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6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6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6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6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6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6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6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6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6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6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6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6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6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6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6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6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6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6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6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6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6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6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6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6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6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6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6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6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6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6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6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6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6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6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6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6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6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6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6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6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6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6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6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6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6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6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6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6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6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6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6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6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6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6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6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6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6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6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6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6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6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6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6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6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6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6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6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6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6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6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6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6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6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6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6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6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6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6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6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6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6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6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6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6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6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6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6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6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6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6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6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6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6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6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6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6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6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6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6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6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6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6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6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6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6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6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6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6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6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6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6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6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6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6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6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6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6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6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6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6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6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6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6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6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6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6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6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6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6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6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6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6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6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6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6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6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6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6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6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6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6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6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6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6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6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6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6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6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6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6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6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6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6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6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6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6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6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6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6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6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6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6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6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6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6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6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6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6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6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6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6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6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6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6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6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6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6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6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6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6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6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6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6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6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6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6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6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6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6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6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6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6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6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6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6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6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6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6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6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6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6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6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6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6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6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6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6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6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6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6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6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6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6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6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6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6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6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6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6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6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6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6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6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6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6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6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6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6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6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6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6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6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6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6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6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6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6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6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6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6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6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6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6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6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6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6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6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6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6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6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6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6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6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6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6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6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6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6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6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6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6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6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6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6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6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6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6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6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6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6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6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6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6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6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6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6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6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6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6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6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6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6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6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6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6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6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6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6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6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6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6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6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6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6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6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6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6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6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6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6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6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6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6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6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6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6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6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6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6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6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6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6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6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6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6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6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6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6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6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6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6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6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6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6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6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6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6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6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6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6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6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6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6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6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6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6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6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6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6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6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6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6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6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6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6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6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6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6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6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6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6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6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6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6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6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6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6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6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6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6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6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6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6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6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6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6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6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6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6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6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6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6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6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6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6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6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6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6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6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6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6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6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6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6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6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6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6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6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6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6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6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6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6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6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6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6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6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6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6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6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6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6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6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6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6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6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6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6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6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6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6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6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6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6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6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6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6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6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6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6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6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6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6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6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6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6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6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6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6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6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6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6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6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6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6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6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6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6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6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6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6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6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6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6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6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6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6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6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6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6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6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6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6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6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6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6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6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6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6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6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6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6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6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6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6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6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6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6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6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6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6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6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6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6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6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6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6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6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6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6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6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6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6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6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6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6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6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6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6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6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6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6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6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6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6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6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6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6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6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6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6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6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6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6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6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6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6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6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6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6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6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6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6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6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6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6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6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6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6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6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6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6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6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6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6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6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6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6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6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6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6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6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6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6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6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6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6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6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6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6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6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6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6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6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6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6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6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6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6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6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6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6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6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6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6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6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6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6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6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6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6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6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6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6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6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6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6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6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6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6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6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6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6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6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6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6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6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6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6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6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6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6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6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6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6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6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6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6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6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6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6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6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6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6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6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6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6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6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6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6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6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6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6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6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6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6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6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6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6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6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6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6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6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6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6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a:extLst>
            <a:ext uri="{FF2B5EF4-FFF2-40B4-BE49-F238E27FC236}">
              <a16:creationId xmlns:a16="http://schemas.microsoft.com/office/drawing/2014/main" id="{00000000-0008-0000-0600-00009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a:extLst>
            <a:ext uri="{FF2B5EF4-FFF2-40B4-BE49-F238E27FC236}">
              <a16:creationId xmlns:a16="http://schemas.microsoft.com/office/drawing/2014/main" id="{00000000-0008-0000-0600-00009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a:extLst>
            <a:ext uri="{FF2B5EF4-FFF2-40B4-BE49-F238E27FC236}">
              <a16:creationId xmlns:a16="http://schemas.microsoft.com/office/drawing/2014/main" id="{00000000-0008-0000-0600-00009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a:extLst>
            <a:ext uri="{FF2B5EF4-FFF2-40B4-BE49-F238E27FC236}">
              <a16:creationId xmlns:a16="http://schemas.microsoft.com/office/drawing/2014/main" id="{00000000-0008-0000-0600-00009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a:extLst>
            <a:ext uri="{FF2B5EF4-FFF2-40B4-BE49-F238E27FC236}">
              <a16:creationId xmlns:a16="http://schemas.microsoft.com/office/drawing/2014/main" id="{00000000-0008-0000-0600-00009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a:extLst>
            <a:ext uri="{FF2B5EF4-FFF2-40B4-BE49-F238E27FC236}">
              <a16:creationId xmlns:a16="http://schemas.microsoft.com/office/drawing/2014/main" id="{00000000-0008-0000-0600-00009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a:extLst>
            <a:ext uri="{FF2B5EF4-FFF2-40B4-BE49-F238E27FC236}">
              <a16:creationId xmlns:a16="http://schemas.microsoft.com/office/drawing/2014/main" id="{00000000-0008-0000-0600-00009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a:extLst>
            <a:ext uri="{FF2B5EF4-FFF2-40B4-BE49-F238E27FC236}">
              <a16:creationId xmlns:a16="http://schemas.microsoft.com/office/drawing/2014/main" id="{00000000-0008-0000-0600-00009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a:extLst>
            <a:ext uri="{FF2B5EF4-FFF2-40B4-BE49-F238E27FC236}">
              <a16:creationId xmlns:a16="http://schemas.microsoft.com/office/drawing/2014/main" id="{00000000-0008-0000-0600-00009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a:extLst>
            <a:ext uri="{FF2B5EF4-FFF2-40B4-BE49-F238E27FC236}">
              <a16:creationId xmlns:a16="http://schemas.microsoft.com/office/drawing/2014/main" id="{00000000-0008-0000-0600-00009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a:extLst>
            <a:ext uri="{FF2B5EF4-FFF2-40B4-BE49-F238E27FC236}">
              <a16:creationId xmlns:a16="http://schemas.microsoft.com/office/drawing/2014/main" id="{00000000-0008-0000-0600-00009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a:extLst>
            <a:ext uri="{FF2B5EF4-FFF2-40B4-BE49-F238E27FC236}">
              <a16:creationId xmlns:a16="http://schemas.microsoft.com/office/drawing/2014/main" id="{00000000-0008-0000-0600-0000A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a:extLst>
            <a:ext uri="{FF2B5EF4-FFF2-40B4-BE49-F238E27FC236}">
              <a16:creationId xmlns:a16="http://schemas.microsoft.com/office/drawing/2014/main" id="{00000000-0008-0000-0600-0000A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a:extLst>
            <a:ext uri="{FF2B5EF4-FFF2-40B4-BE49-F238E27FC236}">
              <a16:creationId xmlns:a16="http://schemas.microsoft.com/office/drawing/2014/main" id="{00000000-0008-0000-0600-0000A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a:extLst>
            <a:ext uri="{FF2B5EF4-FFF2-40B4-BE49-F238E27FC236}">
              <a16:creationId xmlns:a16="http://schemas.microsoft.com/office/drawing/2014/main" id="{00000000-0008-0000-0600-0000A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a:extLst>
            <a:ext uri="{FF2B5EF4-FFF2-40B4-BE49-F238E27FC236}">
              <a16:creationId xmlns:a16="http://schemas.microsoft.com/office/drawing/2014/main" id="{00000000-0008-0000-0600-0000A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a:extLst>
            <a:ext uri="{FF2B5EF4-FFF2-40B4-BE49-F238E27FC236}">
              <a16:creationId xmlns:a16="http://schemas.microsoft.com/office/drawing/2014/main" id="{00000000-0008-0000-0600-0000A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a:extLst>
            <a:ext uri="{FF2B5EF4-FFF2-40B4-BE49-F238E27FC236}">
              <a16:creationId xmlns:a16="http://schemas.microsoft.com/office/drawing/2014/main" id="{00000000-0008-0000-0600-0000A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a:extLst>
            <a:ext uri="{FF2B5EF4-FFF2-40B4-BE49-F238E27FC236}">
              <a16:creationId xmlns:a16="http://schemas.microsoft.com/office/drawing/2014/main" id="{00000000-0008-0000-0600-0000A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a:extLst>
            <a:ext uri="{FF2B5EF4-FFF2-40B4-BE49-F238E27FC236}">
              <a16:creationId xmlns:a16="http://schemas.microsoft.com/office/drawing/2014/main" id="{00000000-0008-0000-0600-0000A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a:extLst>
            <a:ext uri="{FF2B5EF4-FFF2-40B4-BE49-F238E27FC236}">
              <a16:creationId xmlns:a16="http://schemas.microsoft.com/office/drawing/2014/main" id="{00000000-0008-0000-0600-0000A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a:extLst>
            <a:ext uri="{FF2B5EF4-FFF2-40B4-BE49-F238E27FC236}">
              <a16:creationId xmlns:a16="http://schemas.microsoft.com/office/drawing/2014/main" id="{00000000-0008-0000-0600-0000A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a:extLst>
            <a:ext uri="{FF2B5EF4-FFF2-40B4-BE49-F238E27FC236}">
              <a16:creationId xmlns:a16="http://schemas.microsoft.com/office/drawing/2014/main" id="{00000000-0008-0000-0600-0000A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a:extLst>
            <a:ext uri="{FF2B5EF4-FFF2-40B4-BE49-F238E27FC236}">
              <a16:creationId xmlns:a16="http://schemas.microsoft.com/office/drawing/2014/main" id="{00000000-0008-0000-0600-0000A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a:extLst>
            <a:ext uri="{FF2B5EF4-FFF2-40B4-BE49-F238E27FC236}">
              <a16:creationId xmlns:a16="http://schemas.microsoft.com/office/drawing/2014/main" id="{00000000-0008-0000-0600-0000A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a:extLst>
            <a:ext uri="{FF2B5EF4-FFF2-40B4-BE49-F238E27FC236}">
              <a16:creationId xmlns:a16="http://schemas.microsoft.com/office/drawing/2014/main" id="{00000000-0008-0000-0600-0000A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a:extLst>
            <a:ext uri="{FF2B5EF4-FFF2-40B4-BE49-F238E27FC236}">
              <a16:creationId xmlns:a16="http://schemas.microsoft.com/office/drawing/2014/main" id="{00000000-0008-0000-0600-0000A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a:extLst>
            <a:ext uri="{FF2B5EF4-FFF2-40B4-BE49-F238E27FC236}">
              <a16:creationId xmlns:a16="http://schemas.microsoft.com/office/drawing/2014/main" id="{00000000-0008-0000-0600-0000B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a:extLst>
            <a:ext uri="{FF2B5EF4-FFF2-40B4-BE49-F238E27FC236}">
              <a16:creationId xmlns:a16="http://schemas.microsoft.com/office/drawing/2014/main" id="{00000000-0008-0000-0600-0000B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a:extLst>
            <a:ext uri="{FF2B5EF4-FFF2-40B4-BE49-F238E27FC236}">
              <a16:creationId xmlns:a16="http://schemas.microsoft.com/office/drawing/2014/main" id="{00000000-0008-0000-0600-0000B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a:extLst>
            <a:ext uri="{FF2B5EF4-FFF2-40B4-BE49-F238E27FC236}">
              <a16:creationId xmlns:a16="http://schemas.microsoft.com/office/drawing/2014/main" id="{00000000-0008-0000-0600-0000B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a:extLst>
            <a:ext uri="{FF2B5EF4-FFF2-40B4-BE49-F238E27FC236}">
              <a16:creationId xmlns:a16="http://schemas.microsoft.com/office/drawing/2014/main" id="{00000000-0008-0000-0600-0000B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a:extLst>
            <a:ext uri="{FF2B5EF4-FFF2-40B4-BE49-F238E27FC236}">
              <a16:creationId xmlns:a16="http://schemas.microsoft.com/office/drawing/2014/main" id="{00000000-0008-0000-0600-0000B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a:extLst>
            <a:ext uri="{FF2B5EF4-FFF2-40B4-BE49-F238E27FC236}">
              <a16:creationId xmlns:a16="http://schemas.microsoft.com/office/drawing/2014/main" id="{00000000-0008-0000-0600-0000B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a:extLst>
            <a:ext uri="{FF2B5EF4-FFF2-40B4-BE49-F238E27FC236}">
              <a16:creationId xmlns:a16="http://schemas.microsoft.com/office/drawing/2014/main" id="{00000000-0008-0000-0600-0000B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a:extLst>
            <a:ext uri="{FF2B5EF4-FFF2-40B4-BE49-F238E27FC236}">
              <a16:creationId xmlns:a16="http://schemas.microsoft.com/office/drawing/2014/main" id="{00000000-0008-0000-0600-0000B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a:extLst>
            <a:ext uri="{FF2B5EF4-FFF2-40B4-BE49-F238E27FC236}">
              <a16:creationId xmlns:a16="http://schemas.microsoft.com/office/drawing/2014/main" id="{00000000-0008-0000-0600-0000B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a:extLst>
            <a:ext uri="{FF2B5EF4-FFF2-40B4-BE49-F238E27FC236}">
              <a16:creationId xmlns:a16="http://schemas.microsoft.com/office/drawing/2014/main" id="{00000000-0008-0000-0600-0000B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a:extLst>
            <a:ext uri="{FF2B5EF4-FFF2-40B4-BE49-F238E27FC236}">
              <a16:creationId xmlns:a16="http://schemas.microsoft.com/office/drawing/2014/main" id="{00000000-0008-0000-0600-0000B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a:extLst>
            <a:ext uri="{FF2B5EF4-FFF2-40B4-BE49-F238E27FC236}">
              <a16:creationId xmlns:a16="http://schemas.microsoft.com/office/drawing/2014/main" id="{00000000-0008-0000-0600-0000B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a:extLst>
            <a:ext uri="{FF2B5EF4-FFF2-40B4-BE49-F238E27FC236}">
              <a16:creationId xmlns:a16="http://schemas.microsoft.com/office/drawing/2014/main" id="{00000000-0008-0000-0600-0000B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a:extLst>
            <a:ext uri="{FF2B5EF4-FFF2-40B4-BE49-F238E27FC236}">
              <a16:creationId xmlns:a16="http://schemas.microsoft.com/office/drawing/2014/main" id="{00000000-0008-0000-0600-0000B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T145"/>
  <sheetViews>
    <sheetView zoomScale="80" zoomScaleNormal="80" workbookViewId="0">
      <selection activeCell="I8" sqref="I8"/>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118</v>
      </c>
      <c r="B1" s="71"/>
      <c r="C1" s="71"/>
      <c r="D1" s="71"/>
      <c r="E1" s="71"/>
      <c r="F1" s="71"/>
      <c r="G1" s="71"/>
      <c r="H1" s="72"/>
      <c r="I1" s="71"/>
      <c r="J1" s="71"/>
      <c r="K1" s="71"/>
      <c r="L1" s="71"/>
      <c r="M1" s="71"/>
      <c r="N1" s="71"/>
      <c r="O1" s="71"/>
      <c r="P1" s="71"/>
      <c r="Q1" s="71"/>
      <c r="R1" s="71"/>
      <c r="S1" s="71"/>
      <c r="T1" s="71"/>
      <c r="U1" s="71"/>
      <c r="V1" s="71"/>
      <c r="W1" s="71"/>
      <c r="X1" s="73"/>
      <c r="Y1" s="74" t="s">
        <v>119</v>
      </c>
      <c r="Z1" s="74"/>
    </row>
    <row r="2" spans="1:46" ht="15.75" x14ac:dyDescent="0.25">
      <c r="A2" s="75" t="s">
        <v>120</v>
      </c>
      <c r="B2" s="76">
        <v>17</v>
      </c>
      <c r="C2" s="76">
        <v>18</v>
      </c>
      <c r="D2" s="76">
        <v>19</v>
      </c>
      <c r="E2" s="76">
        <v>20</v>
      </c>
      <c r="F2" s="77">
        <v>21</v>
      </c>
      <c r="G2" s="123">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123</v>
      </c>
      <c r="Z2" s="71"/>
    </row>
    <row r="3" spans="1:46" ht="16.5" thickBot="1" x14ac:dyDescent="0.3">
      <c r="A3" s="80">
        <v>0.05</v>
      </c>
      <c r="B3" s="81">
        <v>3.2</v>
      </c>
      <c r="C3" s="81">
        <v>3.7</v>
      </c>
      <c r="D3" s="81">
        <v>4.0999999999999996</v>
      </c>
      <c r="E3" s="81">
        <v>4.4000000000000004</v>
      </c>
      <c r="F3" s="124">
        <v>4.5999999999999996</v>
      </c>
      <c r="G3" s="125">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4">
        <v>4.97</v>
      </c>
      <c r="G4" s="125">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121</v>
      </c>
      <c r="Z4" s="78" t="s">
        <v>159</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122</v>
      </c>
    </row>
    <row r="5" spans="1:46" ht="16.5" thickBot="1" x14ac:dyDescent="0.3">
      <c r="A5" s="80">
        <v>7.0000000000000007E-2</v>
      </c>
      <c r="B5" s="81">
        <v>3.92</v>
      </c>
      <c r="C5" s="81">
        <v>4.42</v>
      </c>
      <c r="D5" s="81">
        <v>4.82</v>
      </c>
      <c r="E5" s="81">
        <v>5.12</v>
      </c>
      <c r="F5" s="124">
        <v>5.32</v>
      </c>
      <c r="G5" s="125">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4">
        <v>5.64</v>
      </c>
      <c r="G6" s="125">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4">
        <v>5.93</v>
      </c>
      <c r="G7" s="125">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1">
        <v>0.1</v>
      </c>
      <c r="B8" s="122">
        <v>4.8099999999999996</v>
      </c>
      <c r="C8" s="122">
        <v>5.31</v>
      </c>
      <c r="D8" s="122">
        <v>5.71</v>
      </c>
      <c r="E8" s="122">
        <v>6.01</v>
      </c>
      <c r="F8" s="122">
        <v>6.21</v>
      </c>
      <c r="G8" s="122">
        <v>6.31</v>
      </c>
      <c r="H8" s="122">
        <v>6.16</v>
      </c>
      <c r="I8" s="122">
        <v>6.01</v>
      </c>
      <c r="J8" s="122">
        <v>5.86</v>
      </c>
      <c r="K8" s="122">
        <v>5.71</v>
      </c>
      <c r="L8" s="122">
        <v>5.56</v>
      </c>
      <c r="M8" s="122">
        <v>5.41</v>
      </c>
      <c r="N8" s="122">
        <v>5.26</v>
      </c>
      <c r="O8" s="122">
        <v>5.1100000000000003</v>
      </c>
      <c r="P8" s="122">
        <v>4.96</v>
      </c>
      <c r="Q8" s="122">
        <v>4.76</v>
      </c>
      <c r="R8" s="122">
        <v>4.5599999999999996</v>
      </c>
      <c r="S8" s="122">
        <v>4.26</v>
      </c>
      <c r="T8" s="122">
        <v>3.91</v>
      </c>
      <c r="U8" s="122">
        <v>3.51</v>
      </c>
      <c r="V8" s="122">
        <v>3.0599999999999996</v>
      </c>
      <c r="W8" s="122">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1">
        <v>0.11</v>
      </c>
      <c r="B9" s="82">
        <v>5.0599999999999996</v>
      </c>
      <c r="C9" s="82">
        <v>5.56</v>
      </c>
      <c r="D9" s="82">
        <v>5.96</v>
      </c>
      <c r="E9" s="82">
        <v>6.26</v>
      </c>
      <c r="F9" s="82">
        <v>6.46</v>
      </c>
      <c r="G9" s="122">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1">
        <v>0.12</v>
      </c>
      <c r="B10" s="122">
        <v>5.3</v>
      </c>
      <c r="C10" s="122">
        <v>5.8</v>
      </c>
      <c r="D10" s="122">
        <v>6.2</v>
      </c>
      <c r="E10" s="122">
        <v>6.5</v>
      </c>
      <c r="F10" s="122">
        <v>6.7</v>
      </c>
      <c r="G10" s="122">
        <v>6.8</v>
      </c>
      <c r="H10" s="122">
        <v>6.65</v>
      </c>
      <c r="I10" s="122">
        <v>6.5</v>
      </c>
      <c r="J10" s="122">
        <v>6.35</v>
      </c>
      <c r="K10" s="122">
        <v>6.2</v>
      </c>
      <c r="L10" s="122">
        <v>6.05</v>
      </c>
      <c r="M10" s="122">
        <v>5.9</v>
      </c>
      <c r="N10" s="122">
        <v>5.75</v>
      </c>
      <c r="O10" s="122">
        <v>5.6</v>
      </c>
      <c r="P10" s="122">
        <v>5.45</v>
      </c>
      <c r="Q10" s="122">
        <v>5.25</v>
      </c>
      <c r="R10" s="122">
        <v>5.05</v>
      </c>
      <c r="S10" s="122">
        <v>4.75</v>
      </c>
      <c r="T10" s="122">
        <v>4.4000000000000004</v>
      </c>
      <c r="U10" s="122">
        <v>4</v>
      </c>
      <c r="V10" s="122">
        <v>3.55</v>
      </c>
      <c r="W10" s="122">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1">
        <v>0.13</v>
      </c>
      <c r="B11" s="82">
        <v>5.52</v>
      </c>
      <c r="C11" s="82">
        <v>6.02</v>
      </c>
      <c r="D11" s="82">
        <v>6.42</v>
      </c>
      <c r="E11" s="82">
        <v>6.72</v>
      </c>
      <c r="F11" s="82">
        <v>6.92</v>
      </c>
      <c r="G11" s="122">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1">
        <v>0.14000000000000001</v>
      </c>
      <c r="B12" s="82">
        <v>5.72</v>
      </c>
      <c r="C12" s="82">
        <v>6.22</v>
      </c>
      <c r="D12" s="82">
        <v>6.62</v>
      </c>
      <c r="E12" s="82">
        <v>6.92</v>
      </c>
      <c r="F12" s="82">
        <v>7.1199999999999992</v>
      </c>
      <c r="G12" s="122">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1">
        <v>0.15</v>
      </c>
      <c r="B13" s="82">
        <v>5.91</v>
      </c>
      <c r="C13" s="82">
        <v>6.41</v>
      </c>
      <c r="D13" s="82">
        <v>6.81</v>
      </c>
      <c r="E13" s="82">
        <v>7.1099999999999994</v>
      </c>
      <c r="F13" s="82">
        <v>7.3100000000000005</v>
      </c>
      <c r="G13" s="122">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1">
        <v>0.16</v>
      </c>
      <c r="B14" s="82">
        <v>6.09</v>
      </c>
      <c r="C14" s="82">
        <v>6.59</v>
      </c>
      <c r="D14" s="82">
        <v>6.99</v>
      </c>
      <c r="E14" s="82">
        <v>7.2899999999999991</v>
      </c>
      <c r="F14" s="82">
        <v>7.49</v>
      </c>
      <c r="G14" s="122">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1">
        <v>0.17</v>
      </c>
      <c r="B15" s="122">
        <v>6.25</v>
      </c>
      <c r="C15" s="122">
        <v>6.75</v>
      </c>
      <c r="D15" s="122">
        <v>7.15</v>
      </c>
      <c r="E15" s="122">
        <v>7.4499999999999993</v>
      </c>
      <c r="F15" s="122">
        <v>7.65</v>
      </c>
      <c r="G15" s="122">
        <v>7.75</v>
      </c>
      <c r="H15" s="122">
        <v>7.6</v>
      </c>
      <c r="I15" s="122">
        <v>7.4499999999999993</v>
      </c>
      <c r="J15" s="122">
        <v>7.3000000000000007</v>
      </c>
      <c r="K15" s="122">
        <v>7.15</v>
      </c>
      <c r="L15" s="122">
        <v>7</v>
      </c>
      <c r="M15" s="122">
        <v>6.85</v>
      </c>
      <c r="N15" s="122">
        <v>6.7</v>
      </c>
      <c r="O15" s="122">
        <v>6.55</v>
      </c>
      <c r="P15" s="122">
        <v>6.4</v>
      </c>
      <c r="Q15" s="122">
        <v>6.2</v>
      </c>
      <c r="R15" s="122">
        <v>6</v>
      </c>
      <c r="S15" s="122">
        <v>5.7</v>
      </c>
      <c r="T15" s="122">
        <v>5.35</v>
      </c>
      <c r="U15" s="122">
        <v>4.95</v>
      </c>
      <c r="V15" s="122">
        <v>4.5</v>
      </c>
      <c r="W15" s="122">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1">
        <v>0.18</v>
      </c>
      <c r="B16" s="82">
        <v>6.4</v>
      </c>
      <c r="C16" s="82">
        <v>6.9</v>
      </c>
      <c r="D16" s="82">
        <v>7.3000000000000007</v>
      </c>
      <c r="E16" s="82">
        <v>7.6</v>
      </c>
      <c r="F16" s="82">
        <v>7.8000000000000007</v>
      </c>
      <c r="G16" s="122">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1">
        <v>0.19</v>
      </c>
      <c r="B17" s="82">
        <v>6.54</v>
      </c>
      <c r="C17" s="82">
        <v>7.0399999999999991</v>
      </c>
      <c r="D17" s="82">
        <v>7.4399999999999995</v>
      </c>
      <c r="E17" s="82">
        <v>7.74</v>
      </c>
      <c r="F17" s="82">
        <v>7.9399999999999995</v>
      </c>
      <c r="G17" s="122">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4">
        <v>8.1999999999999993</v>
      </c>
      <c r="G19" s="125">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4">
        <v>8.31</v>
      </c>
      <c r="G20" s="125">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4">
        <v>8.33</v>
      </c>
      <c r="G21" s="125">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4">
        <v>8.33</v>
      </c>
      <c r="G22" s="125">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4">
        <v>8.33</v>
      </c>
      <c r="G24" s="125">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4">
        <v>8.33</v>
      </c>
      <c r="G25" s="125">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4">
        <v>8.33</v>
      </c>
      <c r="G26" s="125">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4">
        <v>8.33</v>
      </c>
      <c r="G27" s="125">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4">
        <v>8.33</v>
      </c>
      <c r="G28" s="125">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4">
        <v>8.33</v>
      </c>
      <c r="G29" s="125">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4">
        <v>8.33</v>
      </c>
      <c r="G30" s="125">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4">
        <v>8.33</v>
      </c>
      <c r="G31" s="125">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4">
        <v>8.33</v>
      </c>
      <c r="G32" s="125">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4">
        <v>8.33</v>
      </c>
      <c r="G33" s="125">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4">
        <v>8.33</v>
      </c>
      <c r="G34" s="125">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4">
        <v>8.33</v>
      </c>
      <c r="G35" s="125">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4">
        <v>8.33</v>
      </c>
      <c r="G36" s="125">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4">
        <v>8.33</v>
      </c>
      <c r="G37" s="125">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4">
        <v>8.33</v>
      </c>
      <c r="G38" s="125">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4">
        <v>8.33</v>
      </c>
      <c r="G39" s="125">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4">
        <v>8.33</v>
      </c>
      <c r="G40" s="125">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4">
        <v>8.33</v>
      </c>
      <c r="G41" s="125">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4">
        <v>8.33</v>
      </c>
      <c r="G42" s="125">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4">
        <v>8.33</v>
      </c>
      <c r="G43" s="125">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4">
        <v>8.33</v>
      </c>
      <c r="G44" s="125">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4">
        <v>8.33</v>
      </c>
      <c r="G45" s="125">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4">
        <v>8.33</v>
      </c>
      <c r="G46" s="125">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4">
        <v>8.33</v>
      </c>
      <c r="G47" s="125">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4">
        <v>8.33</v>
      </c>
      <c r="G48" s="125">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124</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125</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126</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127</v>
      </c>
      <c r="B56" s="91"/>
      <c r="C56" s="91"/>
      <c r="D56" s="91"/>
      <c r="E56" s="91"/>
      <c r="F56" s="91"/>
      <c r="H56" s="92"/>
      <c r="X56" s="89"/>
    </row>
    <row r="57" spans="1:24" ht="15.75" x14ac:dyDescent="0.25">
      <c r="A57" s="91"/>
      <c r="B57" s="91"/>
      <c r="C57" s="91"/>
      <c r="D57" s="91"/>
      <c r="E57" s="91"/>
      <c r="F57" s="91"/>
      <c r="H57" s="92"/>
      <c r="X57" s="89"/>
    </row>
    <row r="58" spans="1:24" ht="15.75" x14ac:dyDescent="0.25">
      <c r="A58" s="94" t="s">
        <v>128</v>
      </c>
      <c r="B58" s="94" t="s">
        <v>129</v>
      </c>
      <c r="C58" s="94" t="s">
        <v>130</v>
      </c>
      <c r="D58" s="94" t="s">
        <v>131</v>
      </c>
      <c r="E58" s="94" t="s">
        <v>132</v>
      </c>
      <c r="F58" s="94" t="s">
        <v>133</v>
      </c>
      <c r="H58" s="92" t="s">
        <v>134</v>
      </c>
      <c r="X58" s="89"/>
    </row>
    <row r="59" spans="1:24" ht="15.75" x14ac:dyDescent="0.25">
      <c r="A59" s="95">
        <v>17</v>
      </c>
      <c r="B59" s="239" t="s">
        <v>104</v>
      </c>
      <c r="C59" s="96" t="s">
        <v>103</v>
      </c>
      <c r="D59" s="243" t="s">
        <v>135</v>
      </c>
      <c r="E59" s="243" t="s">
        <v>135</v>
      </c>
      <c r="F59" s="97" t="s">
        <v>101</v>
      </c>
      <c r="H59" s="98" t="s">
        <v>136</v>
      </c>
      <c r="X59" s="89"/>
    </row>
    <row r="60" spans="1:24" ht="15.75" x14ac:dyDescent="0.25">
      <c r="A60" s="99">
        <v>18</v>
      </c>
      <c r="B60" s="239"/>
      <c r="C60" s="96" t="s">
        <v>137</v>
      </c>
      <c r="D60" s="243"/>
      <c r="E60" s="243"/>
      <c r="F60" s="97" t="s">
        <v>138</v>
      </c>
      <c r="H60" s="92" t="s">
        <v>139</v>
      </c>
      <c r="X60" s="89"/>
    </row>
    <row r="61" spans="1:24" ht="15.75" x14ac:dyDescent="0.25">
      <c r="A61" s="95">
        <v>19</v>
      </c>
      <c r="B61" s="239"/>
      <c r="C61" s="100"/>
      <c r="D61" s="243"/>
      <c r="E61" s="243"/>
      <c r="F61" s="101"/>
      <c r="H61" s="92" t="s">
        <v>140</v>
      </c>
      <c r="I61" s="91"/>
      <c r="X61" s="89"/>
    </row>
    <row r="62" spans="1:24" ht="15.75" x14ac:dyDescent="0.25">
      <c r="A62" s="99">
        <v>20</v>
      </c>
      <c r="B62" s="239"/>
      <c r="C62" s="97" t="s">
        <v>135</v>
      </c>
      <c r="D62" s="244" t="s">
        <v>101</v>
      </c>
      <c r="E62" s="97" t="s">
        <v>101</v>
      </c>
      <c r="F62" s="101"/>
      <c r="H62" s="92" t="s">
        <v>141</v>
      </c>
      <c r="X62" s="89"/>
    </row>
    <row r="63" spans="1:24" ht="15.75" x14ac:dyDescent="0.25">
      <c r="A63" s="95">
        <v>21</v>
      </c>
      <c r="B63" s="241" t="s">
        <v>103</v>
      </c>
      <c r="C63" s="97" t="s">
        <v>142</v>
      </c>
      <c r="D63" s="244"/>
      <c r="E63" s="97" t="s">
        <v>138</v>
      </c>
      <c r="F63" s="101"/>
      <c r="H63" s="92" t="s">
        <v>143</v>
      </c>
      <c r="X63" s="89"/>
    </row>
    <row r="64" spans="1:24" ht="15.75" x14ac:dyDescent="0.25">
      <c r="A64" s="99">
        <v>22</v>
      </c>
      <c r="B64" s="241"/>
      <c r="C64" s="101"/>
      <c r="D64" s="244"/>
      <c r="E64" s="101"/>
      <c r="F64" s="101"/>
      <c r="H64" s="92" t="s">
        <v>144</v>
      </c>
      <c r="X64" s="89"/>
    </row>
    <row r="65" spans="1:24" ht="15.75" x14ac:dyDescent="0.25">
      <c r="A65" s="95">
        <v>23</v>
      </c>
      <c r="B65" s="241"/>
      <c r="C65" s="101"/>
      <c r="D65" s="244"/>
      <c r="E65" s="101"/>
      <c r="F65" s="101"/>
      <c r="H65" s="92"/>
      <c r="X65" s="89"/>
    </row>
    <row r="66" spans="1:24" ht="15.75" x14ac:dyDescent="0.25">
      <c r="A66" s="99">
        <v>24</v>
      </c>
      <c r="B66" s="241"/>
      <c r="C66" s="101"/>
      <c r="D66" s="244"/>
      <c r="E66" s="101"/>
      <c r="F66" s="101"/>
      <c r="H66" s="92" t="s">
        <v>145</v>
      </c>
      <c r="X66" s="89"/>
    </row>
    <row r="67" spans="1:24" ht="15.75" x14ac:dyDescent="0.25">
      <c r="A67" s="95">
        <v>25</v>
      </c>
      <c r="B67" s="241"/>
      <c r="C67" s="101"/>
      <c r="D67" s="243" t="s">
        <v>135</v>
      </c>
      <c r="E67" s="101"/>
      <c r="F67" s="101"/>
      <c r="H67" s="92" t="s">
        <v>146</v>
      </c>
      <c r="X67" s="89"/>
    </row>
    <row r="68" spans="1:24" ht="15.75" x14ac:dyDescent="0.25">
      <c r="A68" s="99">
        <v>26</v>
      </c>
      <c r="B68" s="241"/>
      <c r="C68" s="243" t="s">
        <v>135</v>
      </c>
      <c r="D68" s="243"/>
      <c r="E68" s="101"/>
      <c r="F68" s="101"/>
      <c r="H68" s="92"/>
      <c r="X68" s="89"/>
    </row>
    <row r="69" spans="1:24" ht="15.75" x14ac:dyDescent="0.25">
      <c r="A69" s="95">
        <v>27</v>
      </c>
      <c r="B69" s="239" t="s">
        <v>104</v>
      </c>
      <c r="C69" s="243"/>
      <c r="D69" s="243"/>
      <c r="E69" s="101"/>
      <c r="F69" s="101"/>
      <c r="H69" s="92"/>
      <c r="X69" s="89"/>
    </row>
    <row r="70" spans="1:24" ht="15.75" x14ac:dyDescent="0.25">
      <c r="A70" s="99">
        <v>28</v>
      </c>
      <c r="B70" s="239"/>
      <c r="C70" s="241" t="s">
        <v>103</v>
      </c>
      <c r="D70" s="243"/>
      <c r="E70" s="101"/>
      <c r="F70" s="101"/>
      <c r="H70" s="92" t="s">
        <v>147</v>
      </c>
      <c r="X70" s="89"/>
    </row>
    <row r="71" spans="1:24" ht="15.75" x14ac:dyDescent="0.25">
      <c r="A71" s="95">
        <v>29</v>
      </c>
      <c r="B71" s="239"/>
      <c r="C71" s="241"/>
      <c r="D71" s="243"/>
      <c r="E71" s="101"/>
      <c r="F71" s="101"/>
      <c r="H71" s="92"/>
      <c r="X71" s="89"/>
    </row>
    <row r="72" spans="1:24" ht="15.75" x14ac:dyDescent="0.25">
      <c r="A72" s="99">
        <v>30</v>
      </c>
      <c r="B72" s="239"/>
      <c r="C72" s="241"/>
      <c r="D72" s="241" t="s">
        <v>103</v>
      </c>
      <c r="E72" s="101"/>
      <c r="F72" s="101"/>
      <c r="H72" s="92" t="s">
        <v>148</v>
      </c>
      <c r="X72" s="89"/>
    </row>
    <row r="73" spans="1:24" ht="15.75" x14ac:dyDescent="0.25">
      <c r="A73" s="95">
        <v>31</v>
      </c>
      <c r="B73" s="239"/>
      <c r="C73" s="241"/>
      <c r="D73" s="241"/>
      <c r="E73" s="97" t="s">
        <v>135</v>
      </c>
      <c r="F73" s="101"/>
      <c r="H73" s="92"/>
      <c r="X73" s="89"/>
    </row>
    <row r="74" spans="1:24" ht="15.75" x14ac:dyDescent="0.25">
      <c r="A74" s="99">
        <v>32</v>
      </c>
      <c r="B74" s="239"/>
      <c r="C74" s="241"/>
      <c r="D74" s="241"/>
      <c r="E74" s="97" t="s">
        <v>142</v>
      </c>
      <c r="F74" s="101"/>
      <c r="H74" s="92" t="s">
        <v>149</v>
      </c>
      <c r="X74" s="89"/>
    </row>
    <row r="75" spans="1:24" ht="15.75" x14ac:dyDescent="0.25">
      <c r="A75" s="95">
        <v>33</v>
      </c>
      <c r="B75" s="239"/>
      <c r="C75" s="239" t="s">
        <v>104</v>
      </c>
      <c r="D75" s="241"/>
      <c r="E75" s="96" t="s">
        <v>103</v>
      </c>
      <c r="F75" s="96" t="s">
        <v>103</v>
      </c>
      <c r="H75" s="92"/>
      <c r="X75" s="89"/>
    </row>
    <row r="76" spans="1:24" ht="15.75" x14ac:dyDescent="0.25">
      <c r="A76" s="99">
        <v>34</v>
      </c>
      <c r="B76" s="242" t="s">
        <v>150</v>
      </c>
      <c r="C76" s="239"/>
      <c r="D76" s="241"/>
      <c r="E76" s="96" t="s">
        <v>137</v>
      </c>
      <c r="F76" s="96" t="s">
        <v>137</v>
      </c>
      <c r="H76" s="92" t="s">
        <v>151</v>
      </c>
      <c r="X76" s="89"/>
    </row>
    <row r="77" spans="1:24" ht="15.75" x14ac:dyDescent="0.25">
      <c r="A77" s="95">
        <v>35</v>
      </c>
      <c r="B77" s="242"/>
      <c r="C77" s="242" t="s">
        <v>150</v>
      </c>
      <c r="D77" s="239" t="s">
        <v>104</v>
      </c>
      <c r="E77" s="239" t="s">
        <v>104</v>
      </c>
      <c r="F77" s="100"/>
      <c r="H77" s="92"/>
      <c r="X77" s="89"/>
    </row>
    <row r="78" spans="1:24" ht="15.75" x14ac:dyDescent="0.25">
      <c r="A78" s="99">
        <v>36</v>
      </c>
      <c r="B78" s="242"/>
      <c r="C78" s="242"/>
      <c r="D78" s="239"/>
      <c r="E78" s="239"/>
      <c r="F78" s="102" t="s">
        <v>104</v>
      </c>
      <c r="H78" s="92" t="s">
        <v>152</v>
      </c>
      <c r="X78" s="89"/>
    </row>
    <row r="79" spans="1:24" ht="15.75" x14ac:dyDescent="0.25">
      <c r="A79" s="240" t="s">
        <v>153</v>
      </c>
      <c r="B79" s="240"/>
      <c r="C79" s="240"/>
      <c r="D79" s="240"/>
      <c r="E79" s="240"/>
      <c r="F79" s="240"/>
      <c r="H79" s="92"/>
      <c r="X79" s="89"/>
    </row>
    <row r="80" spans="1:24" ht="15.75" x14ac:dyDescent="0.25">
      <c r="A80" s="91"/>
      <c r="B80" s="91"/>
      <c r="C80" s="91"/>
      <c r="D80" s="91"/>
      <c r="E80" s="91"/>
      <c r="F80" s="91"/>
      <c r="H80" s="92" t="s">
        <v>154</v>
      </c>
      <c r="X80" s="89"/>
    </row>
    <row r="81" spans="1:24" ht="15.75" x14ac:dyDescent="0.25">
      <c r="A81" s="91"/>
      <c r="B81" s="91"/>
      <c r="C81" s="91"/>
      <c r="D81" s="91"/>
      <c r="E81" s="91"/>
      <c r="F81" s="91"/>
      <c r="H81" s="92"/>
      <c r="X81" s="89"/>
    </row>
    <row r="82" spans="1:24" ht="15.75" x14ac:dyDescent="0.25">
      <c r="A82" s="91"/>
      <c r="B82" s="91"/>
      <c r="C82" s="91"/>
      <c r="D82" s="91"/>
      <c r="E82" s="91"/>
      <c r="F82" s="91"/>
      <c r="H82" s="92" t="s">
        <v>155</v>
      </c>
      <c r="X82" s="89"/>
    </row>
    <row r="83" spans="1:24" ht="15.75" x14ac:dyDescent="0.25">
      <c r="A83" s="91"/>
      <c r="B83" s="91"/>
      <c r="C83" s="91"/>
      <c r="D83" s="91"/>
      <c r="E83" s="91"/>
      <c r="F83" s="91"/>
      <c r="H83" s="92"/>
      <c r="X83" s="89"/>
    </row>
    <row r="84" spans="1:24" ht="15.75" x14ac:dyDescent="0.25">
      <c r="A84" t="s">
        <v>156</v>
      </c>
      <c r="B84" s="91"/>
      <c r="C84" s="91"/>
      <c r="D84" s="91"/>
      <c r="E84" s="91"/>
      <c r="F84" s="91"/>
      <c r="H84" s="92"/>
      <c r="X84" s="89"/>
    </row>
    <row r="85" spans="1:24" ht="15.75" x14ac:dyDescent="0.25">
      <c r="A85" t="s">
        <v>157</v>
      </c>
      <c r="B85" s="91"/>
      <c r="C85" s="91"/>
      <c r="D85" s="91"/>
      <c r="E85" s="91"/>
      <c r="F85" s="91"/>
      <c r="H85" s="92"/>
      <c r="X85" s="89"/>
    </row>
    <row r="86" spans="1:24" ht="15.75" x14ac:dyDescent="0.25">
      <c r="A86" s="91" t="s">
        <v>158</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B59:B62"/>
    <mergeCell ref="D59:D61"/>
    <mergeCell ref="E59:E61"/>
    <mergeCell ref="D62:D66"/>
    <mergeCell ref="B63:B68"/>
    <mergeCell ref="D67:D71"/>
    <mergeCell ref="C68:C69"/>
    <mergeCell ref="B69:B75"/>
    <mergeCell ref="E77:E78"/>
    <mergeCell ref="A79:F79"/>
    <mergeCell ref="C70:C74"/>
    <mergeCell ref="D72:D76"/>
    <mergeCell ref="C75:C76"/>
    <mergeCell ref="B76:B78"/>
    <mergeCell ref="C77:C78"/>
    <mergeCell ref="D77:D78"/>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17" priority="4" operator="lessThan">
      <formula>6</formula>
    </cfRule>
    <cfRule type="cellIs" dxfId="16" priority="5" operator="greaterThan">
      <formula>7</formula>
    </cfRule>
  </conditionalFormatting>
  <conditionalFormatting sqref="B23:W23">
    <cfRule type="cellIs" dxfId="15" priority="1" operator="lessThan">
      <formula>6</formula>
    </cfRule>
    <cfRule type="cellIs" dxfId="14"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4">
    <pageSetUpPr fitToPage="1"/>
  </sheetPr>
  <dimension ref="A1:N17"/>
  <sheetViews>
    <sheetView workbookViewId="0">
      <selection activeCell="B27" sqref="B27"/>
    </sheetView>
  </sheetViews>
  <sheetFormatPr baseColWidth="10" defaultColWidth="11.42578125" defaultRowHeight="15" x14ac:dyDescent="0.25"/>
  <cols>
    <col min="1" max="1" width="13.42578125" bestFit="1" customWidth="1"/>
  </cols>
  <sheetData>
    <row r="1" spans="1:14" x14ac:dyDescent="0.25">
      <c r="A1" s="10" t="s">
        <v>15</v>
      </c>
      <c r="B1">
        <v>0</v>
      </c>
      <c r="C1">
        <f>B1</f>
        <v>0</v>
      </c>
      <c r="N1" s="31" t="s">
        <v>50</v>
      </c>
    </row>
    <row r="2" spans="1:14" x14ac:dyDescent="0.25">
      <c r="A2" s="10" t="s">
        <v>16</v>
      </c>
      <c r="B2">
        <v>0</v>
      </c>
      <c r="C2">
        <v>0</v>
      </c>
      <c r="N2" s="31" t="s">
        <v>51</v>
      </c>
    </row>
    <row r="3" spans="1:14" x14ac:dyDescent="0.25">
      <c r="A3" s="10" t="s">
        <v>17</v>
      </c>
      <c r="B3">
        <v>22460</v>
      </c>
      <c r="C3">
        <v>32580</v>
      </c>
      <c r="D3">
        <v>32580</v>
      </c>
      <c r="N3" s="31" t="s">
        <v>52</v>
      </c>
    </row>
    <row r="4" spans="1:14" x14ac:dyDescent="0.25">
      <c r="A4" s="10" t="s">
        <v>18</v>
      </c>
      <c r="B4">
        <v>2235</v>
      </c>
      <c r="C4">
        <f>B4</f>
        <v>2235</v>
      </c>
      <c r="N4" s="31" t="s">
        <v>53</v>
      </c>
    </row>
    <row r="5" spans="1:14" x14ac:dyDescent="0.25">
      <c r="A5" s="10" t="s">
        <v>19</v>
      </c>
      <c r="B5">
        <v>515</v>
      </c>
      <c r="C5">
        <v>515</v>
      </c>
      <c r="N5" s="31" t="s">
        <v>54</v>
      </c>
    </row>
    <row r="6" spans="1:14" x14ac:dyDescent="0.25">
      <c r="A6" s="10" t="s">
        <v>20</v>
      </c>
      <c r="B6">
        <v>405</v>
      </c>
      <c r="C6">
        <v>405</v>
      </c>
      <c r="N6" s="31" t="s">
        <v>55</v>
      </c>
    </row>
    <row r="7" spans="1:14" x14ac:dyDescent="0.25">
      <c r="A7" s="34" t="s">
        <v>46</v>
      </c>
      <c r="B7" s="36">
        <v>8.0000000000000002E-3</v>
      </c>
      <c r="C7" s="117">
        <f>B7</f>
        <v>8.0000000000000002E-3</v>
      </c>
      <c r="N7" s="31" t="s">
        <v>56</v>
      </c>
    </row>
    <row r="8" spans="1:14" x14ac:dyDescent="0.25">
      <c r="N8" s="31" t="s">
        <v>57</v>
      </c>
    </row>
    <row r="9" spans="1:14" x14ac:dyDescent="0.25">
      <c r="A9" s="35" t="s">
        <v>67</v>
      </c>
      <c r="B9" s="33">
        <f>SUM(B1:B6)*(1+B7)</f>
        <v>25819.920000000002</v>
      </c>
      <c r="C9" s="33">
        <f>SUM(C1:C6)*(1+C7)</f>
        <v>36020.879999999997</v>
      </c>
      <c r="N9" s="31" t="s">
        <v>58</v>
      </c>
    </row>
    <row r="10" spans="1:14" x14ac:dyDescent="0.25">
      <c r="A10" s="35" t="s">
        <v>68</v>
      </c>
      <c r="B10" s="33">
        <f>B9*1.2</f>
        <v>30983.904000000002</v>
      </c>
      <c r="C10" s="33">
        <f>C9*1.2</f>
        <v>43225.055999999997</v>
      </c>
      <c r="N10" s="31" t="s">
        <v>59</v>
      </c>
    </row>
    <row r="11" spans="1:14" x14ac:dyDescent="0.25">
      <c r="N11" s="31" t="s">
        <v>60</v>
      </c>
    </row>
    <row r="12" spans="1:14" x14ac:dyDescent="0.25">
      <c r="N12" s="31" t="s">
        <v>61</v>
      </c>
    </row>
    <row r="13" spans="1:14" x14ac:dyDescent="0.25">
      <c r="N13" s="31" t="s">
        <v>62</v>
      </c>
    </row>
    <row r="14" spans="1:14" x14ac:dyDescent="0.25">
      <c r="C14" s="37">
        <f>D3-B3</f>
        <v>10120</v>
      </c>
      <c r="N14" s="31" t="s">
        <v>63</v>
      </c>
    </row>
    <row r="15" spans="1:14" x14ac:dyDescent="0.25">
      <c r="C15">
        <f>(C3-B3)</f>
        <v>10120</v>
      </c>
      <c r="N15" s="31" t="s">
        <v>64</v>
      </c>
    </row>
    <row r="16" spans="1:14" x14ac:dyDescent="0.25">
      <c r="C16" s="118">
        <f>C15/C14</f>
        <v>1</v>
      </c>
      <c r="N16" s="31" t="s">
        <v>65</v>
      </c>
    </row>
    <row r="17" spans="14:14" x14ac:dyDescent="0.25">
      <c r="N17" s="31" t="s">
        <v>66</v>
      </c>
    </row>
  </sheetData>
  <pageMargins left="0.7" right="0.7" top="0.75" bottom="0.75" header="0.3" footer="0.3"/>
  <pageSetup paperSize="9" scale="56"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99</v>
      </c>
      <c r="B1" s="53" t="s">
        <v>100</v>
      </c>
      <c r="D1" s="66" t="s">
        <v>99</v>
      </c>
      <c r="E1" s="66" t="s">
        <v>113</v>
      </c>
      <c r="F1" s="66" t="s">
        <v>114</v>
      </c>
      <c r="G1" s="66" t="s">
        <v>115</v>
      </c>
      <c r="H1" s="66" t="s">
        <v>116</v>
      </c>
      <c r="I1" s="66" t="s">
        <v>170</v>
      </c>
      <c r="J1" s="66" t="s">
        <v>109</v>
      </c>
      <c r="K1" s="52" t="s">
        <v>171</v>
      </c>
      <c r="L1" s="52" t="s">
        <v>265</v>
      </c>
      <c r="M1" s="52" t="s">
        <v>266</v>
      </c>
      <c r="N1" s="52" t="s">
        <v>267</v>
      </c>
      <c r="P1" s="53" t="s">
        <v>107</v>
      </c>
      <c r="Q1" s="53" t="s">
        <v>108</v>
      </c>
      <c r="R1" s="53" t="s">
        <v>109</v>
      </c>
      <c r="S1" s="53" t="s">
        <v>110</v>
      </c>
      <c r="T1" s="53" t="s">
        <v>111</v>
      </c>
      <c r="U1" s="53" t="s">
        <v>112</v>
      </c>
    </row>
    <row r="2" spans="1:25" x14ac:dyDescent="0.25">
      <c r="A2" s="57" t="s">
        <v>101</v>
      </c>
      <c r="B2" s="58">
        <v>1.0529999999999999</v>
      </c>
      <c r="D2" s="174">
        <v>1</v>
      </c>
      <c r="E2" s="174">
        <v>1</v>
      </c>
      <c r="F2" s="174">
        <v>0</v>
      </c>
      <c r="G2" s="174">
        <v>0.3</v>
      </c>
      <c r="H2" s="175">
        <f t="shared" ref="H2:H9" si="0">D2+F2-G2</f>
        <v>0.7</v>
      </c>
      <c r="I2" s="126">
        <v>5</v>
      </c>
      <c r="J2" s="126">
        <f>40-37.5+0</f>
        <v>2.5</v>
      </c>
      <c r="K2" s="176">
        <f>16320*3</f>
        <v>48960</v>
      </c>
      <c r="L2" s="177">
        <f t="shared" ref="L2:L9" si="1">H2-$H$4</f>
        <v>-0.48799999999999999</v>
      </c>
      <c r="M2" s="178">
        <f t="shared" ref="M2:M9" si="2">L2*16</f>
        <v>-7.8079999999999998</v>
      </c>
      <c r="N2" s="179">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102</v>
      </c>
      <c r="B3" s="59">
        <v>1</v>
      </c>
      <c r="D3" s="167">
        <v>1.0529999999999999</v>
      </c>
      <c r="E3" s="164">
        <v>1</v>
      </c>
      <c r="F3" s="167">
        <v>0.17499999999999999</v>
      </c>
      <c r="G3" s="164">
        <v>0.3</v>
      </c>
      <c r="H3" s="170">
        <f t="shared" si="0"/>
        <v>0.92799999999999994</v>
      </c>
      <c r="I3" s="165">
        <v>5</v>
      </c>
      <c r="J3" s="165">
        <f>40-37.5+25</f>
        <v>27.5</v>
      </c>
      <c r="K3" s="166">
        <f t="shared" ref="K3:K12" si="4">16320*3</f>
        <v>48960</v>
      </c>
      <c r="L3" s="171">
        <f t="shared" si="1"/>
        <v>-0.26</v>
      </c>
      <c r="M3" s="172">
        <f t="shared" si="2"/>
        <v>-4.16</v>
      </c>
      <c r="N3" s="173">
        <f t="shared" si="3"/>
        <v>-29.12</v>
      </c>
      <c r="O3" s="52"/>
      <c r="P3" s="54">
        <v>9</v>
      </c>
      <c r="Q3" s="55">
        <v>31.5</v>
      </c>
      <c r="R3" s="55">
        <v>22.5</v>
      </c>
      <c r="S3" s="56">
        <v>0.3</v>
      </c>
      <c r="T3" s="61">
        <v>24480</v>
      </c>
      <c r="U3" s="60">
        <v>2720</v>
      </c>
      <c r="W3" s="52"/>
      <c r="X3" s="52"/>
      <c r="Y3" s="52"/>
    </row>
    <row r="4" spans="1:25" x14ac:dyDescent="0.25">
      <c r="A4" s="57" t="s">
        <v>103</v>
      </c>
      <c r="B4" s="58">
        <v>0.90900000000000003</v>
      </c>
      <c r="D4" s="180">
        <v>1</v>
      </c>
      <c r="E4" s="180">
        <v>1</v>
      </c>
      <c r="F4" s="181">
        <v>0.28799999999999998</v>
      </c>
      <c r="G4" s="180">
        <v>0.1</v>
      </c>
      <c r="H4" s="182">
        <f t="shared" si="0"/>
        <v>1.1879999999999999</v>
      </c>
      <c r="I4" s="183">
        <v>5</v>
      </c>
      <c r="J4" s="183">
        <f t="shared" ref="J4:J9" si="5">40-37.5+25</f>
        <v>27.5</v>
      </c>
      <c r="K4" s="184">
        <f t="shared" si="4"/>
        <v>48960</v>
      </c>
      <c r="L4" s="185">
        <f t="shared" si="1"/>
        <v>0</v>
      </c>
      <c r="M4" s="186">
        <f t="shared" si="2"/>
        <v>0</v>
      </c>
      <c r="N4" s="187">
        <f t="shared" si="3"/>
        <v>0</v>
      </c>
      <c r="O4" s="52"/>
      <c r="P4" s="54">
        <v>8</v>
      </c>
      <c r="Q4" s="55">
        <v>28</v>
      </c>
      <c r="R4" s="55">
        <v>20</v>
      </c>
      <c r="S4" s="56">
        <v>0.26666666666666666</v>
      </c>
      <c r="T4" s="61">
        <v>16320.000000000002</v>
      </c>
      <c r="U4" s="60">
        <v>2040.0000000000002</v>
      </c>
      <c r="W4" s="52"/>
      <c r="X4" s="52"/>
      <c r="Y4" s="52"/>
    </row>
    <row r="5" spans="1:25" x14ac:dyDescent="0.25">
      <c r="A5" s="57" t="s">
        <v>104</v>
      </c>
      <c r="B5" s="58">
        <v>0.83299999999999996</v>
      </c>
      <c r="D5" s="67">
        <v>1</v>
      </c>
      <c r="E5" s="67">
        <v>1</v>
      </c>
      <c r="F5" s="163">
        <v>0.17499999999999999</v>
      </c>
      <c r="G5" s="67">
        <v>0.3</v>
      </c>
      <c r="H5" s="168">
        <f t="shared" si="0"/>
        <v>0.875</v>
      </c>
      <c r="I5" s="162">
        <v>5</v>
      </c>
      <c r="J5" s="162">
        <f t="shared" si="5"/>
        <v>27.5</v>
      </c>
      <c r="K5" s="68">
        <f t="shared" si="4"/>
        <v>48960</v>
      </c>
      <c r="L5" s="169">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105</v>
      </c>
      <c r="B6" s="58">
        <v>0.76900000000000002</v>
      </c>
      <c r="D6" s="163">
        <v>1.0529999999999999</v>
      </c>
      <c r="E6" s="67">
        <v>1</v>
      </c>
      <c r="F6" s="67">
        <v>0.35</v>
      </c>
      <c r="G6" s="67">
        <v>0.05</v>
      </c>
      <c r="H6" s="168">
        <f t="shared" si="0"/>
        <v>1.353</v>
      </c>
      <c r="I6" s="162">
        <v>5</v>
      </c>
      <c r="J6" s="162">
        <f t="shared" si="5"/>
        <v>27.5</v>
      </c>
      <c r="K6" s="68">
        <f t="shared" si="4"/>
        <v>48960</v>
      </c>
      <c r="L6" s="169">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106</v>
      </c>
      <c r="B7" s="58">
        <v>0.71399999999999997</v>
      </c>
      <c r="D7" s="67">
        <v>1</v>
      </c>
      <c r="E7" s="67">
        <v>1</v>
      </c>
      <c r="F7" s="67">
        <v>0.35</v>
      </c>
      <c r="G7" s="67">
        <v>0.1</v>
      </c>
      <c r="H7" s="168">
        <f t="shared" si="0"/>
        <v>1.25</v>
      </c>
      <c r="I7" s="162">
        <v>5</v>
      </c>
      <c r="J7" s="162">
        <f t="shared" si="5"/>
        <v>27.5</v>
      </c>
      <c r="K7" s="68">
        <f t="shared" si="4"/>
        <v>48960</v>
      </c>
      <c r="L7" s="169">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3">
        <v>1.0529999999999999</v>
      </c>
      <c r="E8" s="67">
        <v>1</v>
      </c>
      <c r="F8" s="67">
        <v>0.35</v>
      </c>
      <c r="G8" s="67">
        <v>0.1</v>
      </c>
      <c r="H8" s="168">
        <f t="shared" si="0"/>
        <v>1.3029999999999999</v>
      </c>
      <c r="I8" s="162">
        <v>5</v>
      </c>
      <c r="J8" s="162">
        <f t="shared" si="5"/>
        <v>27.5</v>
      </c>
      <c r="K8" s="68">
        <f t="shared" si="4"/>
        <v>48960</v>
      </c>
      <c r="L8" s="169">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8">
        <f t="shared" si="0"/>
        <v>1.3</v>
      </c>
      <c r="I9" s="188">
        <v>5</v>
      </c>
      <c r="J9" s="188">
        <f t="shared" si="5"/>
        <v>27.5</v>
      </c>
      <c r="K9" s="68">
        <f t="shared" si="4"/>
        <v>48960</v>
      </c>
      <c r="L9" s="169">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2"/>
      <c r="E10" s="67"/>
      <c r="F10" s="162"/>
      <c r="G10" s="67"/>
      <c r="H10" s="168"/>
      <c r="I10" s="162">
        <v>5</v>
      </c>
      <c r="J10" s="162">
        <f>40-37.5+25</f>
        <v>27.5</v>
      </c>
      <c r="K10" s="68">
        <f t="shared" si="4"/>
        <v>48960</v>
      </c>
      <c r="P10" s="54">
        <v>2</v>
      </c>
      <c r="Q10" s="55">
        <v>7</v>
      </c>
      <c r="R10" s="55">
        <v>5</v>
      </c>
      <c r="S10" s="56">
        <v>6.6666666666666666E-2</v>
      </c>
      <c r="T10" s="61">
        <v>2040.0000000000002</v>
      </c>
      <c r="U10" s="60">
        <v>1020.0000000000001</v>
      </c>
    </row>
    <row r="11" spans="1:25" x14ac:dyDescent="0.25">
      <c r="D11" s="162"/>
      <c r="E11" s="67"/>
      <c r="F11" s="162"/>
      <c r="G11" s="67"/>
      <c r="H11" s="168"/>
      <c r="I11" s="162">
        <v>5</v>
      </c>
      <c r="J11" s="162">
        <f>40-37.5+25</f>
        <v>27.5</v>
      </c>
      <c r="K11" s="68">
        <f t="shared" si="4"/>
        <v>48960</v>
      </c>
      <c r="P11" s="54">
        <v>1</v>
      </c>
      <c r="Q11" s="55">
        <v>3.5</v>
      </c>
      <c r="R11" s="55">
        <v>2.5</v>
      </c>
      <c r="S11" s="56">
        <v>3.3333333333333333E-2</v>
      </c>
      <c r="T11" s="61">
        <v>1020.0000000000001</v>
      </c>
      <c r="U11" s="60">
        <v>1020.0000000000001</v>
      </c>
    </row>
    <row r="12" spans="1:25" x14ac:dyDescent="0.25">
      <c r="D12" s="162"/>
      <c r="E12" s="67"/>
      <c r="F12" s="162"/>
      <c r="G12" s="67"/>
      <c r="H12" s="168"/>
      <c r="I12" s="162">
        <v>5</v>
      </c>
      <c r="J12" s="162">
        <f>40-37.5+25</f>
        <v>27.5</v>
      </c>
      <c r="K12" s="68">
        <f t="shared" si="4"/>
        <v>48960</v>
      </c>
    </row>
    <row r="14" spans="1:25" x14ac:dyDescent="0.25">
      <c r="H14" s="39"/>
      <c r="P14" s="53" t="s">
        <v>107</v>
      </c>
      <c r="Q14" s="53" t="s">
        <v>108</v>
      </c>
      <c r="R14" s="53" t="s">
        <v>109</v>
      </c>
      <c r="S14" s="53" t="s">
        <v>110</v>
      </c>
      <c r="T14" s="53" t="s">
        <v>111</v>
      </c>
      <c r="U14" s="53" t="s">
        <v>112</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2"/>
      <c r="H17" s="39"/>
      <c r="I17" s="162"/>
      <c r="J17" s="39"/>
      <c r="K17" s="39"/>
      <c r="P17" s="57">
        <v>10</v>
      </c>
      <c r="Q17" s="57">
        <f>3.2*10</f>
        <v>32</v>
      </c>
      <c r="R17" s="62">
        <f>30/12*10</f>
        <v>25</v>
      </c>
      <c r="S17" s="63">
        <f>0.4/12*10</f>
        <v>0.33333333333333331</v>
      </c>
      <c r="T17" s="64">
        <v>48000</v>
      </c>
      <c r="U17" s="64">
        <f>T17/P17</f>
        <v>4800</v>
      </c>
    </row>
    <row r="18" spans="2:21" x14ac:dyDescent="0.25">
      <c r="G18" s="162"/>
      <c r="H18" s="39"/>
      <c r="I18" s="162"/>
      <c r="J18" s="39"/>
      <c r="K18" s="39"/>
      <c r="P18" s="57">
        <v>8</v>
      </c>
      <c r="Q18" s="57">
        <f>3.2*8</f>
        <v>25.6</v>
      </c>
      <c r="R18" s="62">
        <f>30/12*8</f>
        <v>20</v>
      </c>
      <c r="S18" s="63">
        <f>0.4/12*8</f>
        <v>0.26666666666666666</v>
      </c>
      <c r="T18" s="64">
        <v>24000</v>
      </c>
      <c r="U18" s="64">
        <f>T18/P18</f>
        <v>3000</v>
      </c>
    </row>
    <row r="19" spans="2:21" x14ac:dyDescent="0.25">
      <c r="G19" s="162"/>
      <c r="H19" s="39"/>
      <c r="I19" s="162"/>
      <c r="J19" s="39"/>
      <c r="K19" s="39"/>
    </row>
    <row r="20" spans="2:21" x14ac:dyDescent="0.25">
      <c r="G20" s="162"/>
      <c r="H20" s="39"/>
      <c r="I20" s="162"/>
      <c r="J20" s="39"/>
      <c r="K20" s="39"/>
    </row>
    <row r="23" spans="2:21" x14ac:dyDescent="0.25">
      <c r="J23" s="162"/>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tint="-0.499984740745262"/>
  </sheetPr>
  <dimension ref="A1:U76"/>
  <sheetViews>
    <sheetView zoomScale="90" zoomScaleNormal="90" workbookViewId="0">
      <pane ySplit="1" topLeftCell="A2" activePane="bottomLeft" state="frozen"/>
      <selection pane="bottomLeft" activeCell="F11" sqref="F11"/>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45" t="s">
        <v>199</v>
      </c>
      <c r="B1" s="245"/>
      <c r="C1" s="245"/>
      <c r="D1" s="245"/>
      <c r="F1" s="10" t="s">
        <v>3</v>
      </c>
      <c r="G1" s="10" t="s">
        <v>4</v>
      </c>
      <c r="H1" s="10" t="s">
        <v>5</v>
      </c>
      <c r="I1" s="34" t="s">
        <v>85</v>
      </c>
      <c r="J1" s="34" t="s">
        <v>7</v>
      </c>
      <c r="K1" s="34" t="s">
        <v>67</v>
      </c>
      <c r="L1" s="34" t="s">
        <v>182</v>
      </c>
      <c r="M1" s="34" t="s">
        <v>264</v>
      </c>
      <c r="N1" s="131" t="s">
        <v>183</v>
      </c>
      <c r="O1" s="131" t="s">
        <v>184</v>
      </c>
      <c r="P1" s="131" t="s">
        <v>259</v>
      </c>
      <c r="Q1" s="131" t="s">
        <v>117</v>
      </c>
      <c r="R1" s="132" t="s">
        <v>185</v>
      </c>
      <c r="S1" s="132" t="s">
        <v>186</v>
      </c>
      <c r="T1" s="132" t="s">
        <v>259</v>
      </c>
      <c r="U1" s="132" t="s">
        <v>117</v>
      </c>
    </row>
    <row r="2" spans="1:21" x14ac:dyDescent="0.25">
      <c r="A2" s="246" t="s">
        <v>200</v>
      </c>
      <c r="B2" s="247" t="s">
        <v>201</v>
      </c>
      <c r="C2" s="247" t="s">
        <v>202</v>
      </c>
      <c r="D2" s="247" t="s">
        <v>203</v>
      </c>
      <c r="F2" s="205" t="s">
        <v>310</v>
      </c>
      <c r="G2">
        <v>36</v>
      </c>
      <c r="H2">
        <v>92</v>
      </c>
      <c r="I2" s="111">
        <v>14.3</v>
      </c>
      <c r="J2" s="112">
        <v>4</v>
      </c>
      <c r="K2" s="70">
        <v>2448</v>
      </c>
      <c r="L2" s="70">
        <v>1000</v>
      </c>
      <c r="M2" s="127">
        <v>3</v>
      </c>
      <c r="N2" s="70">
        <v>325000</v>
      </c>
      <c r="O2" s="70">
        <f>L2+N2</f>
        <v>326000</v>
      </c>
      <c r="P2" s="133">
        <v>6.5</v>
      </c>
      <c r="Q2" s="161">
        <f>O2/P2</f>
        <v>50153.846153846156</v>
      </c>
      <c r="R2" s="70">
        <v>2375000</v>
      </c>
      <c r="S2" s="70">
        <f>R2+L2</f>
        <v>2376000</v>
      </c>
      <c r="T2" s="134">
        <f>P2</f>
        <v>6.5</v>
      </c>
      <c r="U2" s="161">
        <f>S2/T2</f>
        <v>365538.46153846156</v>
      </c>
    </row>
    <row r="3" spans="1:21" x14ac:dyDescent="0.25">
      <c r="A3" s="246"/>
      <c r="B3" s="247"/>
      <c r="C3" s="247"/>
      <c r="D3" s="247"/>
      <c r="F3" s="205" t="s">
        <v>311</v>
      </c>
      <c r="G3">
        <v>40</v>
      </c>
      <c r="H3">
        <v>26</v>
      </c>
      <c r="I3" s="111">
        <v>14.1</v>
      </c>
      <c r="J3" s="112">
        <v>5</v>
      </c>
      <c r="K3" s="70">
        <v>468</v>
      </c>
      <c r="L3" s="70">
        <v>410000</v>
      </c>
      <c r="M3" s="127">
        <v>3</v>
      </c>
      <c r="N3" s="70">
        <v>335000</v>
      </c>
      <c r="O3" s="70">
        <f>L3+N3</f>
        <v>745000</v>
      </c>
      <c r="P3" s="133">
        <v>8</v>
      </c>
      <c r="Q3" s="161">
        <f>O3/P3</f>
        <v>93125</v>
      </c>
      <c r="R3" s="70">
        <v>2390000</v>
      </c>
      <c r="S3" s="70">
        <f>R3+L3</f>
        <v>2800000</v>
      </c>
      <c r="T3" s="134">
        <f>P3</f>
        <v>8</v>
      </c>
      <c r="U3" s="161">
        <f>S3/T3</f>
        <v>350000</v>
      </c>
    </row>
    <row r="4" spans="1:21" x14ac:dyDescent="0.25">
      <c r="A4" s="157" t="s">
        <v>201</v>
      </c>
      <c r="B4" s="158" t="s">
        <v>204</v>
      </c>
      <c r="C4" s="158" t="s">
        <v>205</v>
      </c>
      <c r="D4" s="158" t="s">
        <v>205</v>
      </c>
      <c r="F4" s="205" t="s">
        <v>312</v>
      </c>
      <c r="G4">
        <v>35</v>
      </c>
      <c r="H4">
        <v>85</v>
      </c>
      <c r="I4" s="111">
        <v>18.2</v>
      </c>
      <c r="J4" s="112">
        <v>4</v>
      </c>
      <c r="K4" s="70">
        <v>14808</v>
      </c>
      <c r="L4" s="70">
        <v>1245000</v>
      </c>
      <c r="M4" s="127">
        <v>3</v>
      </c>
      <c r="N4" s="70">
        <v>259000</v>
      </c>
      <c r="O4" s="70">
        <f>L4+N4</f>
        <v>1504000</v>
      </c>
      <c r="P4" s="133">
        <v>6.5</v>
      </c>
      <c r="Q4" s="161">
        <f>O4/P4</f>
        <v>231384.61538461538</v>
      </c>
      <c r="R4" s="70">
        <v>1850000</v>
      </c>
      <c r="S4" s="70">
        <f>R4+L4</f>
        <v>3095000</v>
      </c>
      <c r="T4" s="134">
        <f>P4</f>
        <v>6.5</v>
      </c>
      <c r="U4" s="161">
        <f>S4/T4</f>
        <v>476153.84615384613</v>
      </c>
    </row>
    <row r="5" spans="1:21" x14ac:dyDescent="0.25">
      <c r="A5" s="159" t="s">
        <v>202</v>
      </c>
      <c r="B5" s="160" t="s">
        <v>206</v>
      </c>
      <c r="C5" s="160" t="s">
        <v>207</v>
      </c>
      <c r="D5" s="160" t="s">
        <v>205</v>
      </c>
      <c r="F5" s="205" t="s">
        <v>313</v>
      </c>
      <c r="G5">
        <v>36</v>
      </c>
      <c r="H5">
        <v>97</v>
      </c>
      <c r="I5" s="111">
        <v>14</v>
      </c>
      <c r="J5" s="112">
        <v>5</v>
      </c>
      <c r="K5" s="70">
        <v>4956</v>
      </c>
      <c r="L5" s="70">
        <v>405000</v>
      </c>
      <c r="M5" s="127">
        <v>3</v>
      </c>
      <c r="N5" s="135">
        <v>337500</v>
      </c>
      <c r="O5" s="70">
        <f>L5+N5</f>
        <v>742500</v>
      </c>
      <c r="P5" s="133">
        <v>8</v>
      </c>
      <c r="Q5" s="161">
        <f>O5/P5</f>
        <v>92812.5</v>
      </c>
      <c r="R5" s="70">
        <v>2400000</v>
      </c>
      <c r="S5" s="70">
        <f>R5+L5</f>
        <v>2805000</v>
      </c>
      <c r="T5" s="134">
        <f>P5</f>
        <v>8</v>
      </c>
      <c r="U5" s="161">
        <f>S5/T5</f>
        <v>350625</v>
      </c>
    </row>
    <row r="6" spans="1:21" x14ac:dyDescent="0.25">
      <c r="A6" s="157" t="s">
        <v>203</v>
      </c>
      <c r="B6" s="158" t="s">
        <v>208</v>
      </c>
      <c r="C6" s="158" t="s">
        <v>209</v>
      </c>
      <c r="D6" s="158" t="s">
        <v>210</v>
      </c>
      <c r="F6" s="205" t="s">
        <v>315</v>
      </c>
      <c r="G6">
        <v>40</v>
      </c>
      <c r="H6">
        <v>71</v>
      </c>
      <c r="I6" s="111">
        <v>15.3</v>
      </c>
      <c r="J6" s="112">
        <v>5</v>
      </c>
      <c r="K6" s="70">
        <v>840</v>
      </c>
      <c r="L6" s="70">
        <v>325000</v>
      </c>
      <c r="M6" s="127">
        <v>3</v>
      </c>
      <c r="N6" s="70">
        <v>305000</v>
      </c>
      <c r="O6" s="70">
        <f>L6+N6</f>
        <v>630000</v>
      </c>
      <c r="P6" s="133">
        <v>8</v>
      </c>
      <c r="Q6" s="161">
        <f>O6/P6</f>
        <v>78750</v>
      </c>
      <c r="R6" s="70">
        <v>2200000</v>
      </c>
      <c r="S6" s="70">
        <f>R6+L6</f>
        <v>2525000</v>
      </c>
      <c r="T6" s="134">
        <f>P6</f>
        <v>8</v>
      </c>
      <c r="U6" s="161">
        <f>S6/T6</f>
        <v>315625</v>
      </c>
    </row>
    <row r="7" spans="1:21" x14ac:dyDescent="0.25">
      <c r="A7" s="159" t="s">
        <v>211</v>
      </c>
      <c r="B7" s="160" t="s">
        <v>212</v>
      </c>
      <c r="C7" s="160" t="s">
        <v>213</v>
      </c>
      <c r="D7" s="160" t="s">
        <v>214</v>
      </c>
      <c r="I7" s="111">
        <v>0</v>
      </c>
      <c r="J7" s="112">
        <v>0</v>
      </c>
      <c r="K7" s="70"/>
      <c r="L7" s="70"/>
      <c r="M7" s="127">
        <v>3</v>
      </c>
      <c r="N7" s="70"/>
      <c r="O7" s="70">
        <f t="shared" ref="O7:O14" si="0">L7+N7</f>
        <v>0</v>
      </c>
      <c r="P7" s="133">
        <v>9</v>
      </c>
      <c r="Q7" s="161">
        <f t="shared" ref="Q7:Q14" si="1">O7/P7</f>
        <v>0</v>
      </c>
      <c r="R7" s="70"/>
      <c r="S7" s="70">
        <f t="shared" ref="S7:S14" si="2">R7+L7</f>
        <v>0</v>
      </c>
      <c r="T7" s="134">
        <f t="shared" ref="T7:T14" si="3">P7</f>
        <v>9</v>
      </c>
      <c r="U7" s="161">
        <f t="shared" ref="U7:U14" si="4">S7/T7</f>
        <v>0</v>
      </c>
    </row>
    <row r="8" spans="1:21" x14ac:dyDescent="0.25">
      <c r="A8" s="157" t="s">
        <v>215</v>
      </c>
      <c r="B8" s="158" t="s">
        <v>216</v>
      </c>
      <c r="C8" s="158" t="s">
        <v>217</v>
      </c>
      <c r="D8" s="158" t="s">
        <v>218</v>
      </c>
      <c r="F8" s="205" t="s">
        <v>314</v>
      </c>
      <c r="G8">
        <v>38</v>
      </c>
      <c r="H8">
        <v>105</v>
      </c>
      <c r="I8" s="111">
        <v>17.8</v>
      </c>
      <c r="J8" s="112">
        <v>4</v>
      </c>
      <c r="K8" s="70">
        <v>1080</v>
      </c>
      <c r="L8" s="70">
        <v>320000</v>
      </c>
      <c r="M8" s="127">
        <v>3</v>
      </c>
      <c r="N8" s="70">
        <v>269000</v>
      </c>
      <c r="O8" s="70">
        <f t="shared" si="0"/>
        <v>589000</v>
      </c>
      <c r="P8" s="133">
        <v>6.5</v>
      </c>
      <c r="Q8" s="161">
        <f t="shared" si="1"/>
        <v>90615.38461538461</v>
      </c>
      <c r="R8" s="70">
        <v>1900000</v>
      </c>
      <c r="S8" s="70">
        <f t="shared" si="2"/>
        <v>2220000</v>
      </c>
      <c r="T8" s="134">
        <f t="shared" si="3"/>
        <v>6.5</v>
      </c>
      <c r="U8" s="161">
        <f t="shared" si="4"/>
        <v>341538.46153846156</v>
      </c>
    </row>
    <row r="9" spans="1:21" x14ac:dyDescent="0.25">
      <c r="A9" s="159" t="s">
        <v>219</v>
      </c>
      <c r="B9" s="160" t="s">
        <v>220</v>
      </c>
      <c r="C9" s="160" t="s">
        <v>221</v>
      </c>
      <c r="D9" s="160" t="s">
        <v>222</v>
      </c>
      <c r="F9" s="205" t="s">
        <v>316</v>
      </c>
      <c r="G9">
        <v>40</v>
      </c>
      <c r="H9">
        <v>43</v>
      </c>
      <c r="I9" s="111">
        <v>33.4</v>
      </c>
      <c r="J9" s="112">
        <v>4</v>
      </c>
      <c r="K9" s="70">
        <f>470*1.2</f>
        <v>564</v>
      </c>
      <c r="L9" s="70">
        <v>920000</v>
      </c>
      <c r="M9" s="127">
        <v>3</v>
      </c>
      <c r="N9" s="70">
        <v>125000</v>
      </c>
      <c r="O9" s="70">
        <f t="shared" si="0"/>
        <v>1045000</v>
      </c>
      <c r="P9" s="133">
        <v>6.5</v>
      </c>
      <c r="Q9" s="161">
        <f t="shared" si="1"/>
        <v>160769.23076923078</v>
      </c>
      <c r="R9" s="70">
        <v>1050000</v>
      </c>
      <c r="S9" s="70">
        <f t="shared" si="2"/>
        <v>1970000</v>
      </c>
      <c r="T9" s="134">
        <f t="shared" si="3"/>
        <v>6.5</v>
      </c>
      <c r="U9" s="161">
        <f t="shared" si="4"/>
        <v>303076.92307692306</v>
      </c>
    </row>
    <row r="10" spans="1:21" x14ac:dyDescent="0.25">
      <c r="A10" s="157" t="s">
        <v>223</v>
      </c>
      <c r="B10" s="158" t="s">
        <v>224</v>
      </c>
      <c r="C10" s="158" t="s">
        <v>225</v>
      </c>
      <c r="D10" s="158" t="s">
        <v>226</v>
      </c>
      <c r="F10" s="205" t="s">
        <v>317</v>
      </c>
      <c r="G10">
        <v>38</v>
      </c>
      <c r="H10">
        <v>73</v>
      </c>
      <c r="I10" s="111">
        <v>15.5</v>
      </c>
      <c r="J10" s="112">
        <v>4</v>
      </c>
      <c r="K10" s="70">
        <v>1280</v>
      </c>
      <c r="L10" s="70">
        <v>10000</v>
      </c>
      <c r="M10" s="127">
        <v>3</v>
      </c>
      <c r="N10" s="70">
        <v>305000</v>
      </c>
      <c r="O10" s="70">
        <f t="shared" si="0"/>
        <v>315000</v>
      </c>
      <c r="P10" s="133">
        <v>6.5</v>
      </c>
      <c r="Q10" s="161">
        <f t="shared" si="1"/>
        <v>48461.538461538461</v>
      </c>
      <c r="R10" s="70">
        <v>2200000</v>
      </c>
      <c r="S10" s="70">
        <f t="shared" si="2"/>
        <v>2210000</v>
      </c>
      <c r="T10" s="134">
        <f t="shared" si="3"/>
        <v>6.5</v>
      </c>
      <c r="U10" s="161">
        <f t="shared" si="4"/>
        <v>340000</v>
      </c>
    </row>
    <row r="11" spans="1:21" x14ac:dyDescent="0.25">
      <c r="A11" s="159" t="s">
        <v>227</v>
      </c>
      <c r="B11" s="160" t="s">
        <v>228</v>
      </c>
      <c r="C11" s="160" t="s">
        <v>229</v>
      </c>
      <c r="D11" s="160" t="s">
        <v>230</v>
      </c>
      <c r="F11" s="205" t="s">
        <v>318</v>
      </c>
      <c r="G11">
        <v>38</v>
      </c>
      <c r="H11">
        <v>33</v>
      </c>
      <c r="I11" s="111">
        <v>16.7</v>
      </c>
      <c r="J11" s="112">
        <v>4</v>
      </c>
      <c r="K11" s="70">
        <v>1224</v>
      </c>
      <c r="L11" s="70">
        <v>10000</v>
      </c>
      <c r="M11" s="127">
        <v>3</v>
      </c>
      <c r="N11" s="135">
        <v>283000</v>
      </c>
      <c r="O11" s="70">
        <f t="shared" si="0"/>
        <v>293000</v>
      </c>
      <c r="P11" s="133">
        <v>6.5</v>
      </c>
      <c r="Q11" s="161">
        <f t="shared" si="1"/>
        <v>45076.923076923078</v>
      </c>
      <c r="R11" s="70">
        <v>2005000</v>
      </c>
      <c r="S11" s="70">
        <f t="shared" si="2"/>
        <v>2015000</v>
      </c>
      <c r="T11" s="134">
        <f t="shared" si="3"/>
        <v>6.5</v>
      </c>
      <c r="U11" s="161">
        <f t="shared" si="4"/>
        <v>310000</v>
      </c>
    </row>
    <row r="12" spans="1:21" x14ac:dyDescent="0.25">
      <c r="A12" s="157" t="s">
        <v>231</v>
      </c>
      <c r="B12" s="158" t="s">
        <v>232</v>
      </c>
      <c r="C12" s="158" t="s">
        <v>233</v>
      </c>
      <c r="D12" s="158" t="s">
        <v>234</v>
      </c>
      <c r="F12" s="205" t="s">
        <v>319</v>
      </c>
      <c r="G12">
        <v>38</v>
      </c>
      <c r="H12">
        <v>106</v>
      </c>
      <c r="I12" s="111">
        <v>15.1</v>
      </c>
      <c r="J12" s="112">
        <v>4</v>
      </c>
      <c r="K12" s="70">
        <v>1368</v>
      </c>
      <c r="L12" s="70">
        <v>5000</v>
      </c>
      <c r="M12" s="127">
        <v>3</v>
      </c>
      <c r="N12" s="70">
        <v>315000</v>
      </c>
      <c r="O12" s="70">
        <f t="shared" si="0"/>
        <v>320000</v>
      </c>
      <c r="P12" s="133">
        <v>6.5</v>
      </c>
      <c r="Q12" s="161">
        <f t="shared" si="1"/>
        <v>49230.769230769234</v>
      </c>
      <c r="R12" s="70">
        <v>2242290</v>
      </c>
      <c r="S12" s="70">
        <f t="shared" si="2"/>
        <v>2247290</v>
      </c>
      <c r="T12" s="134">
        <f t="shared" si="3"/>
        <v>6.5</v>
      </c>
      <c r="U12" s="161">
        <f t="shared" si="4"/>
        <v>345736.92307692306</v>
      </c>
    </row>
    <row r="13" spans="1:21" x14ac:dyDescent="0.25">
      <c r="A13" s="159" t="s">
        <v>235</v>
      </c>
      <c r="B13" s="160" t="s">
        <v>236</v>
      </c>
      <c r="C13" s="160" t="s">
        <v>237</v>
      </c>
      <c r="D13" s="160" t="s">
        <v>238</v>
      </c>
      <c r="F13" s="205" t="s">
        <v>322</v>
      </c>
      <c r="G13">
        <v>58</v>
      </c>
      <c r="H13">
        <v>49</v>
      </c>
      <c r="I13" s="111">
        <v>16</v>
      </c>
      <c r="J13" s="112">
        <v>4</v>
      </c>
      <c r="K13" s="70">
        <v>300</v>
      </c>
      <c r="L13" s="70">
        <v>125000</v>
      </c>
      <c r="M13" s="127">
        <v>3</v>
      </c>
      <c r="N13" s="70">
        <v>296000</v>
      </c>
      <c r="O13" s="70">
        <f t="shared" si="0"/>
        <v>421000</v>
      </c>
      <c r="P13" s="133">
        <v>6.5</v>
      </c>
      <c r="Q13" s="161">
        <f t="shared" si="1"/>
        <v>64769.230769230766</v>
      </c>
      <c r="R13" s="70">
        <v>2105000</v>
      </c>
      <c r="S13" s="70">
        <f t="shared" si="2"/>
        <v>2230000</v>
      </c>
      <c r="T13" s="134">
        <f t="shared" si="3"/>
        <v>6.5</v>
      </c>
      <c r="U13" s="161">
        <f t="shared" si="4"/>
        <v>343076.92307692306</v>
      </c>
    </row>
    <row r="14" spans="1:21" x14ac:dyDescent="0.25">
      <c r="A14" s="157" t="s">
        <v>239</v>
      </c>
      <c r="B14" s="158" t="s">
        <v>240</v>
      </c>
      <c r="C14" s="158" t="s">
        <v>241</v>
      </c>
      <c r="D14" s="158" t="s">
        <v>242</v>
      </c>
      <c r="I14" s="111">
        <v>0</v>
      </c>
      <c r="J14" s="112">
        <v>0</v>
      </c>
      <c r="K14" s="70"/>
      <c r="L14" s="70"/>
      <c r="M14" s="127">
        <v>3</v>
      </c>
      <c r="N14" s="70"/>
      <c r="O14" s="70">
        <f t="shared" si="0"/>
        <v>0</v>
      </c>
      <c r="P14" s="133">
        <v>9</v>
      </c>
      <c r="Q14" s="161">
        <f t="shared" si="1"/>
        <v>0</v>
      </c>
      <c r="R14" s="70"/>
      <c r="S14" s="70">
        <f t="shared" si="2"/>
        <v>0</v>
      </c>
      <c r="T14" s="134">
        <f t="shared" si="3"/>
        <v>9</v>
      </c>
      <c r="U14" s="161">
        <f t="shared" si="4"/>
        <v>0</v>
      </c>
    </row>
    <row r="15" spans="1:21" x14ac:dyDescent="0.25">
      <c r="A15" s="159" t="s">
        <v>243</v>
      </c>
      <c r="B15" s="160" t="s">
        <v>244</v>
      </c>
      <c r="C15" s="160" t="s">
        <v>245</v>
      </c>
      <c r="D15" s="160" t="s">
        <v>246</v>
      </c>
      <c r="F15" s="205" t="s">
        <v>424</v>
      </c>
      <c r="G15">
        <v>40</v>
      </c>
      <c r="H15">
        <v>1</v>
      </c>
      <c r="I15" s="111">
        <v>16.100000000000001</v>
      </c>
      <c r="J15" s="112">
        <v>5</v>
      </c>
      <c r="K15" s="70">
        <v>492</v>
      </c>
      <c r="L15" s="70">
        <v>1100000</v>
      </c>
      <c r="M15" s="127">
        <v>2</v>
      </c>
      <c r="N15" s="70">
        <v>296000</v>
      </c>
      <c r="O15" s="70">
        <f t="shared" ref="O15:O46" si="5">L15+N15</f>
        <v>1396000</v>
      </c>
      <c r="P15" s="133">
        <v>8</v>
      </c>
      <c r="Q15" s="161">
        <f t="shared" ref="Q15:Q46" si="6">O15/P15</f>
        <v>174500</v>
      </c>
      <c r="R15" s="70">
        <v>2100000</v>
      </c>
      <c r="S15" s="70">
        <f t="shared" ref="S15:S46" si="7">R15+L15</f>
        <v>3200000</v>
      </c>
      <c r="T15" s="134">
        <f t="shared" ref="T15:T46" si="8">P15</f>
        <v>8</v>
      </c>
      <c r="U15" s="161">
        <f t="shared" ref="U15:U46" si="9">S15/T15</f>
        <v>400000</v>
      </c>
    </row>
    <row r="16" spans="1:21" x14ac:dyDescent="0.25">
      <c r="A16" s="157" t="s">
        <v>247</v>
      </c>
      <c r="B16" s="158" t="s">
        <v>248</v>
      </c>
      <c r="C16" s="158" t="s">
        <v>249</v>
      </c>
      <c r="D16" s="158" t="s">
        <v>250</v>
      </c>
      <c r="F16" s="205" t="s">
        <v>425</v>
      </c>
      <c r="G16">
        <v>36</v>
      </c>
      <c r="H16">
        <v>0</v>
      </c>
      <c r="I16" s="111">
        <v>27</v>
      </c>
      <c r="J16" s="112">
        <v>5</v>
      </c>
      <c r="K16" s="70">
        <v>7812</v>
      </c>
      <c r="L16" s="70">
        <v>3500000</v>
      </c>
      <c r="M16" s="127">
        <v>3</v>
      </c>
      <c r="N16" s="135">
        <v>161800</v>
      </c>
      <c r="O16" s="70">
        <f t="shared" si="5"/>
        <v>3661800</v>
      </c>
      <c r="P16" s="133">
        <v>8</v>
      </c>
      <c r="Q16" s="161">
        <f t="shared" si="6"/>
        <v>457725</v>
      </c>
      <c r="R16" s="70">
        <v>1150800</v>
      </c>
      <c r="S16" s="70">
        <f t="shared" si="7"/>
        <v>4650800</v>
      </c>
      <c r="T16" s="134">
        <f t="shared" si="8"/>
        <v>8</v>
      </c>
      <c r="U16" s="161">
        <f t="shared" si="9"/>
        <v>581350</v>
      </c>
    </row>
    <row r="17" spans="1:21" x14ac:dyDescent="0.25">
      <c r="A17" s="159" t="s">
        <v>251</v>
      </c>
      <c r="B17" s="160" t="s">
        <v>252</v>
      </c>
      <c r="C17" s="160" t="s">
        <v>253</v>
      </c>
      <c r="D17" s="160" t="s">
        <v>254</v>
      </c>
      <c r="I17" s="111">
        <v>0</v>
      </c>
      <c r="J17" s="112">
        <v>0</v>
      </c>
      <c r="K17" s="70"/>
      <c r="L17" s="70"/>
      <c r="M17" s="127">
        <v>3</v>
      </c>
      <c r="N17" s="70"/>
      <c r="O17" s="70">
        <f t="shared" si="5"/>
        <v>0</v>
      </c>
      <c r="P17" s="133">
        <v>9</v>
      </c>
      <c r="Q17" s="161">
        <f t="shared" si="6"/>
        <v>0</v>
      </c>
      <c r="R17" s="70"/>
      <c r="S17" s="70">
        <f t="shared" si="7"/>
        <v>0</v>
      </c>
      <c r="T17" s="134">
        <f t="shared" si="8"/>
        <v>9</v>
      </c>
      <c r="U17" s="161">
        <f t="shared" si="9"/>
        <v>0</v>
      </c>
    </row>
    <row r="18" spans="1:21" x14ac:dyDescent="0.25">
      <c r="A18" s="157" t="s">
        <v>255</v>
      </c>
      <c r="B18" s="158" t="s">
        <v>256</v>
      </c>
      <c r="C18" s="158" t="s">
        <v>257</v>
      </c>
      <c r="D18" s="158" t="s">
        <v>258</v>
      </c>
      <c r="I18" s="111">
        <v>0</v>
      </c>
      <c r="J18" s="112">
        <v>0</v>
      </c>
      <c r="K18" s="70"/>
      <c r="L18" s="70"/>
      <c r="M18" s="127">
        <v>3</v>
      </c>
      <c r="N18" s="70"/>
      <c r="O18" s="70">
        <f t="shared" si="5"/>
        <v>0</v>
      </c>
      <c r="P18" s="133">
        <v>9</v>
      </c>
      <c r="Q18" s="161">
        <f t="shared" si="6"/>
        <v>0</v>
      </c>
      <c r="R18" s="70"/>
      <c r="S18" s="70">
        <f t="shared" si="7"/>
        <v>0</v>
      </c>
      <c r="T18" s="134">
        <f t="shared" si="8"/>
        <v>9</v>
      </c>
      <c r="U18" s="161">
        <f t="shared" si="9"/>
        <v>0</v>
      </c>
    </row>
    <row r="19" spans="1:21" x14ac:dyDescent="0.25">
      <c r="I19" s="111">
        <v>0</v>
      </c>
      <c r="J19" s="112">
        <v>0</v>
      </c>
      <c r="K19" s="70"/>
      <c r="L19" s="70"/>
      <c r="M19" s="127">
        <v>3</v>
      </c>
      <c r="N19" s="70"/>
      <c r="O19" s="70">
        <f t="shared" si="5"/>
        <v>0</v>
      </c>
      <c r="P19" s="133">
        <v>9</v>
      </c>
      <c r="Q19" s="161">
        <f t="shared" si="6"/>
        <v>0</v>
      </c>
      <c r="R19" s="70"/>
      <c r="S19" s="70">
        <f t="shared" si="7"/>
        <v>0</v>
      </c>
      <c r="T19" s="134">
        <f t="shared" si="8"/>
        <v>9</v>
      </c>
      <c r="U19" s="161">
        <f t="shared" si="9"/>
        <v>0</v>
      </c>
    </row>
    <row r="20" spans="1:21" x14ac:dyDescent="0.25">
      <c r="A20" s="10" t="s">
        <v>197</v>
      </c>
      <c r="B20" s="10" t="s">
        <v>198</v>
      </c>
      <c r="I20" s="111">
        <v>0</v>
      </c>
      <c r="J20" s="112">
        <v>0</v>
      </c>
      <c r="K20" s="70"/>
      <c r="L20" s="70"/>
      <c r="M20" s="127">
        <v>3</v>
      </c>
      <c r="N20" s="70"/>
      <c r="O20" s="70">
        <f t="shared" si="5"/>
        <v>0</v>
      </c>
      <c r="P20" s="133">
        <v>9</v>
      </c>
      <c r="Q20" s="161">
        <f t="shared" si="6"/>
        <v>0</v>
      </c>
      <c r="R20" s="70"/>
      <c r="S20" s="70">
        <f t="shared" si="7"/>
        <v>0</v>
      </c>
      <c r="T20" s="134">
        <f t="shared" si="8"/>
        <v>9</v>
      </c>
      <c r="U20" s="161">
        <f t="shared" si="9"/>
        <v>0</v>
      </c>
    </row>
    <row r="21" spans="1:21" x14ac:dyDescent="0.25">
      <c r="A21" s="189" t="s">
        <v>196</v>
      </c>
      <c r="B21" s="189">
        <v>2</v>
      </c>
      <c r="I21" s="111">
        <v>0</v>
      </c>
      <c r="J21" s="112">
        <v>0</v>
      </c>
      <c r="K21" s="70"/>
      <c r="L21" s="70"/>
      <c r="M21" s="127">
        <v>3</v>
      </c>
      <c r="N21" s="135"/>
      <c r="O21" s="70">
        <f t="shared" si="5"/>
        <v>0</v>
      </c>
      <c r="P21" s="133">
        <v>9</v>
      </c>
      <c r="Q21" s="161">
        <f t="shared" si="6"/>
        <v>0</v>
      </c>
      <c r="R21" s="70"/>
      <c r="S21" s="70">
        <f t="shared" si="7"/>
        <v>0</v>
      </c>
      <c r="T21" s="134">
        <f t="shared" si="8"/>
        <v>9</v>
      </c>
      <c r="U21" s="161">
        <f t="shared" si="9"/>
        <v>0</v>
      </c>
    </row>
    <row r="22" spans="1:21" x14ac:dyDescent="0.25">
      <c r="A22" s="189" t="s">
        <v>195</v>
      </c>
      <c r="B22" s="189">
        <v>1.5</v>
      </c>
      <c r="I22" s="111">
        <v>0</v>
      </c>
      <c r="J22" s="112">
        <v>0</v>
      </c>
      <c r="K22" s="70"/>
      <c r="L22" s="70"/>
      <c r="M22" s="127">
        <v>3</v>
      </c>
      <c r="N22" s="70"/>
      <c r="O22" s="70">
        <f t="shared" si="5"/>
        <v>0</v>
      </c>
      <c r="P22" s="133">
        <v>9</v>
      </c>
      <c r="Q22" s="161">
        <f t="shared" si="6"/>
        <v>0</v>
      </c>
      <c r="R22" s="70"/>
      <c r="S22" s="70">
        <f t="shared" si="7"/>
        <v>0</v>
      </c>
      <c r="T22" s="134">
        <f t="shared" si="8"/>
        <v>9</v>
      </c>
      <c r="U22" s="161">
        <f t="shared" si="9"/>
        <v>0</v>
      </c>
    </row>
    <row r="23" spans="1:21" x14ac:dyDescent="0.25">
      <c r="A23" s="189" t="s">
        <v>194</v>
      </c>
      <c r="B23" s="189">
        <v>1.5</v>
      </c>
      <c r="I23" s="111">
        <v>0</v>
      </c>
      <c r="J23" s="112">
        <v>0</v>
      </c>
      <c r="K23" s="70"/>
      <c r="L23" s="70"/>
      <c r="M23" s="127">
        <v>3</v>
      </c>
      <c r="N23" s="70"/>
      <c r="O23" s="70">
        <f t="shared" si="5"/>
        <v>0</v>
      </c>
      <c r="P23" s="133">
        <v>9</v>
      </c>
      <c r="Q23" s="161">
        <f t="shared" si="6"/>
        <v>0</v>
      </c>
      <c r="R23" s="70"/>
      <c r="S23" s="70">
        <f t="shared" si="7"/>
        <v>0</v>
      </c>
      <c r="T23" s="134">
        <f t="shared" si="8"/>
        <v>9</v>
      </c>
      <c r="U23" s="161">
        <f t="shared" si="9"/>
        <v>0</v>
      </c>
    </row>
    <row r="24" spans="1:21" x14ac:dyDescent="0.25">
      <c r="A24" s="189" t="s">
        <v>191</v>
      </c>
      <c r="B24" s="189">
        <v>1.5</v>
      </c>
      <c r="I24" s="111">
        <v>0</v>
      </c>
      <c r="J24" s="112">
        <v>0</v>
      </c>
      <c r="K24" s="70"/>
      <c r="L24" s="70"/>
      <c r="M24" s="127">
        <v>3</v>
      </c>
      <c r="N24" s="70"/>
      <c r="O24" s="70">
        <f t="shared" si="5"/>
        <v>0</v>
      </c>
      <c r="P24" s="133">
        <v>9</v>
      </c>
      <c r="Q24" s="161">
        <f t="shared" si="6"/>
        <v>0</v>
      </c>
      <c r="R24" s="70"/>
      <c r="S24" s="70">
        <f t="shared" si="7"/>
        <v>0</v>
      </c>
      <c r="T24" s="134">
        <f t="shared" si="8"/>
        <v>9</v>
      </c>
      <c r="U24" s="161">
        <f t="shared" si="9"/>
        <v>0</v>
      </c>
    </row>
    <row r="25" spans="1:21" x14ac:dyDescent="0.25">
      <c r="A25" s="189" t="s">
        <v>192</v>
      </c>
      <c r="B25" s="189">
        <v>1.5</v>
      </c>
      <c r="I25" s="111">
        <v>0</v>
      </c>
      <c r="J25" s="112">
        <v>0</v>
      </c>
      <c r="K25" s="70"/>
      <c r="L25" s="70"/>
      <c r="M25" s="127">
        <v>3</v>
      </c>
      <c r="N25" s="70"/>
      <c r="O25" s="70">
        <f t="shared" si="5"/>
        <v>0</v>
      </c>
      <c r="P25" s="133">
        <v>9</v>
      </c>
      <c r="Q25" s="161">
        <f t="shared" si="6"/>
        <v>0</v>
      </c>
      <c r="R25" s="70"/>
      <c r="S25" s="70">
        <f t="shared" si="7"/>
        <v>0</v>
      </c>
      <c r="T25" s="134">
        <f t="shared" si="8"/>
        <v>9</v>
      </c>
      <c r="U25" s="161">
        <f t="shared" si="9"/>
        <v>0</v>
      </c>
    </row>
    <row r="26" spans="1:21" x14ac:dyDescent="0.25">
      <c r="A26" s="189" t="s">
        <v>193</v>
      </c>
      <c r="B26" s="189">
        <v>1.5</v>
      </c>
      <c r="I26" s="111">
        <v>0</v>
      </c>
      <c r="J26" s="112">
        <v>0</v>
      </c>
      <c r="K26" s="70"/>
      <c r="L26" s="70"/>
      <c r="M26" s="127">
        <v>3</v>
      </c>
      <c r="N26" s="135"/>
      <c r="O26" s="70">
        <f t="shared" si="5"/>
        <v>0</v>
      </c>
      <c r="P26" s="133">
        <v>9</v>
      </c>
      <c r="Q26" s="161">
        <f t="shared" si="6"/>
        <v>0</v>
      </c>
      <c r="R26" s="70"/>
      <c r="S26" s="70">
        <f t="shared" si="7"/>
        <v>0</v>
      </c>
      <c r="T26" s="134">
        <f t="shared" si="8"/>
        <v>9</v>
      </c>
      <c r="U26" s="161">
        <f t="shared" si="9"/>
        <v>0</v>
      </c>
    </row>
    <row r="27" spans="1:21" x14ac:dyDescent="0.25">
      <c r="A27" s="189"/>
      <c r="B27" s="189"/>
      <c r="I27" s="111">
        <v>0</v>
      </c>
      <c r="J27" s="112">
        <v>0</v>
      </c>
      <c r="K27" s="70"/>
      <c r="L27" s="70"/>
      <c r="M27" s="127">
        <v>3</v>
      </c>
      <c r="N27" s="70"/>
      <c r="O27" s="70">
        <f t="shared" si="5"/>
        <v>0</v>
      </c>
      <c r="P27" s="133">
        <v>9</v>
      </c>
      <c r="Q27" s="161">
        <f t="shared" si="6"/>
        <v>0</v>
      </c>
      <c r="R27" s="70"/>
      <c r="S27" s="70">
        <f t="shared" si="7"/>
        <v>0</v>
      </c>
      <c r="T27" s="134">
        <f t="shared" si="8"/>
        <v>9</v>
      </c>
      <c r="U27" s="161">
        <f t="shared" si="9"/>
        <v>0</v>
      </c>
    </row>
    <row r="28" spans="1:21" x14ac:dyDescent="0.25">
      <c r="A28" s="10" t="s">
        <v>260</v>
      </c>
      <c r="B28" s="10" t="s">
        <v>261</v>
      </c>
      <c r="I28" s="111">
        <v>0</v>
      </c>
      <c r="J28" s="112">
        <v>0</v>
      </c>
      <c r="K28" s="70"/>
      <c r="L28" s="70"/>
      <c r="M28" s="127">
        <v>3</v>
      </c>
      <c r="N28" s="70"/>
      <c r="O28" s="70">
        <f t="shared" si="5"/>
        <v>0</v>
      </c>
      <c r="P28" s="133">
        <v>9</v>
      </c>
      <c r="Q28" s="161">
        <f t="shared" si="6"/>
        <v>0</v>
      </c>
      <c r="R28" s="70"/>
      <c r="S28" s="70">
        <f t="shared" si="7"/>
        <v>0</v>
      </c>
      <c r="T28" s="134">
        <f t="shared" si="8"/>
        <v>9</v>
      </c>
      <c r="U28" s="161">
        <f t="shared" si="9"/>
        <v>0</v>
      </c>
    </row>
    <row r="29" spans="1:21" x14ac:dyDescent="0.25">
      <c r="A29" s="189" t="s">
        <v>135</v>
      </c>
      <c r="B29" s="39">
        <v>9.5</v>
      </c>
      <c r="I29" s="111">
        <v>0</v>
      </c>
      <c r="J29" s="112">
        <v>0</v>
      </c>
      <c r="K29" s="70"/>
      <c r="L29" s="70"/>
      <c r="M29" s="127">
        <v>3</v>
      </c>
      <c r="N29" s="70"/>
      <c r="O29" s="70">
        <f t="shared" si="5"/>
        <v>0</v>
      </c>
      <c r="P29" s="133">
        <v>9</v>
      </c>
      <c r="Q29" s="161">
        <f t="shared" si="6"/>
        <v>0</v>
      </c>
      <c r="R29" s="70"/>
      <c r="S29" s="70">
        <f t="shared" si="7"/>
        <v>0</v>
      </c>
      <c r="T29" s="134">
        <f t="shared" si="8"/>
        <v>9</v>
      </c>
      <c r="U29" s="161">
        <f t="shared" si="9"/>
        <v>0</v>
      </c>
    </row>
    <row r="30" spans="1:21" x14ac:dyDescent="0.25">
      <c r="A30" s="189" t="s">
        <v>103</v>
      </c>
      <c r="B30" s="39">
        <v>8</v>
      </c>
      <c r="I30" s="111">
        <v>0</v>
      </c>
      <c r="J30" s="112">
        <v>0</v>
      </c>
      <c r="K30" s="70"/>
      <c r="L30" s="70"/>
      <c r="M30" s="127">
        <v>3</v>
      </c>
      <c r="N30" s="70"/>
      <c r="O30" s="70">
        <f t="shared" si="5"/>
        <v>0</v>
      </c>
      <c r="P30" s="133">
        <v>9</v>
      </c>
      <c r="Q30" s="161">
        <f t="shared" si="6"/>
        <v>0</v>
      </c>
      <c r="R30" s="70"/>
      <c r="S30" s="70">
        <f t="shared" si="7"/>
        <v>0</v>
      </c>
      <c r="T30" s="134">
        <f t="shared" si="8"/>
        <v>9</v>
      </c>
      <c r="U30" s="161">
        <f t="shared" si="9"/>
        <v>0</v>
      </c>
    </row>
    <row r="31" spans="1:21" x14ac:dyDescent="0.25">
      <c r="A31" s="189" t="s">
        <v>104</v>
      </c>
      <c r="B31" s="39">
        <f>B30-1.5</f>
        <v>6.5</v>
      </c>
      <c r="I31" s="111">
        <v>0</v>
      </c>
      <c r="J31" s="112">
        <v>0</v>
      </c>
      <c r="K31" s="70"/>
      <c r="L31" s="70"/>
      <c r="M31" s="127">
        <v>3</v>
      </c>
      <c r="N31" s="135"/>
      <c r="O31" s="70">
        <f t="shared" si="5"/>
        <v>0</v>
      </c>
      <c r="P31" s="133">
        <v>9</v>
      </c>
      <c r="Q31" s="161">
        <f t="shared" si="6"/>
        <v>0</v>
      </c>
      <c r="R31" s="70"/>
      <c r="S31" s="70">
        <f t="shared" si="7"/>
        <v>0</v>
      </c>
      <c r="T31" s="134">
        <f t="shared" si="8"/>
        <v>9</v>
      </c>
      <c r="U31" s="161">
        <f t="shared" si="9"/>
        <v>0</v>
      </c>
    </row>
    <row r="32" spans="1:21" x14ac:dyDescent="0.25">
      <c r="A32" s="189" t="s">
        <v>105</v>
      </c>
      <c r="B32" s="39">
        <f>B31-1.5</f>
        <v>5</v>
      </c>
      <c r="I32" s="111">
        <v>0</v>
      </c>
      <c r="J32" s="112">
        <v>0</v>
      </c>
      <c r="K32" s="70"/>
      <c r="L32" s="70"/>
      <c r="M32" s="127">
        <v>3</v>
      </c>
      <c r="N32" s="70"/>
      <c r="O32" s="70">
        <f t="shared" si="5"/>
        <v>0</v>
      </c>
      <c r="P32" s="133">
        <v>9</v>
      </c>
      <c r="Q32" s="161">
        <f t="shared" si="6"/>
        <v>0</v>
      </c>
      <c r="R32" s="70"/>
      <c r="S32" s="70">
        <f t="shared" si="7"/>
        <v>0</v>
      </c>
      <c r="T32" s="134">
        <f t="shared" si="8"/>
        <v>9</v>
      </c>
      <c r="U32" s="161">
        <f t="shared" si="9"/>
        <v>0</v>
      </c>
    </row>
    <row r="33" spans="1:21" x14ac:dyDescent="0.25">
      <c r="A33" s="189" t="s">
        <v>106</v>
      </c>
      <c r="B33" s="39">
        <f>2+1.5</f>
        <v>3.5</v>
      </c>
      <c r="I33" s="111">
        <v>0</v>
      </c>
      <c r="J33" s="112">
        <v>0</v>
      </c>
      <c r="K33" s="70"/>
      <c r="L33" s="70"/>
      <c r="M33" s="127">
        <v>3</v>
      </c>
      <c r="N33" s="70"/>
      <c r="O33" s="70">
        <f t="shared" si="5"/>
        <v>0</v>
      </c>
      <c r="P33" s="133">
        <v>9</v>
      </c>
      <c r="Q33" s="161">
        <f t="shared" si="6"/>
        <v>0</v>
      </c>
      <c r="R33" s="70"/>
      <c r="S33" s="70">
        <f t="shared" si="7"/>
        <v>0</v>
      </c>
      <c r="T33" s="134">
        <f t="shared" si="8"/>
        <v>9</v>
      </c>
      <c r="U33" s="161">
        <f t="shared" si="9"/>
        <v>0</v>
      </c>
    </row>
    <row r="34" spans="1:21" x14ac:dyDescent="0.25">
      <c r="A34" s="189" t="s">
        <v>263</v>
      </c>
      <c r="B34" s="39">
        <v>2</v>
      </c>
      <c r="I34" s="111">
        <v>0</v>
      </c>
      <c r="J34" s="112">
        <v>0</v>
      </c>
      <c r="K34" s="70"/>
      <c r="L34" s="70"/>
      <c r="M34" s="127">
        <v>3</v>
      </c>
      <c r="N34" s="70"/>
      <c r="O34" s="70">
        <f t="shared" si="5"/>
        <v>0</v>
      </c>
      <c r="P34" s="133">
        <v>9</v>
      </c>
      <c r="Q34" s="161">
        <f t="shared" si="6"/>
        <v>0</v>
      </c>
      <c r="R34" s="70"/>
      <c r="S34" s="70">
        <f t="shared" si="7"/>
        <v>0</v>
      </c>
      <c r="T34" s="134">
        <f t="shared" si="8"/>
        <v>9</v>
      </c>
      <c r="U34" s="161">
        <f t="shared" si="9"/>
        <v>0</v>
      </c>
    </row>
    <row r="35" spans="1:21" x14ac:dyDescent="0.25">
      <c r="A35" s="189" t="s">
        <v>262</v>
      </c>
      <c r="B35" s="39">
        <v>1</v>
      </c>
      <c r="I35" s="111">
        <v>0</v>
      </c>
      <c r="J35" s="112">
        <v>0</v>
      </c>
      <c r="K35" s="70"/>
      <c r="L35" s="70"/>
      <c r="M35" s="127">
        <v>3</v>
      </c>
      <c r="N35" s="70"/>
      <c r="O35" s="70">
        <f t="shared" si="5"/>
        <v>0</v>
      </c>
      <c r="P35" s="133">
        <v>9</v>
      </c>
      <c r="Q35" s="161">
        <f t="shared" si="6"/>
        <v>0</v>
      </c>
      <c r="R35" s="70"/>
      <c r="S35" s="70">
        <f t="shared" si="7"/>
        <v>0</v>
      </c>
      <c r="T35" s="134">
        <f t="shared" si="8"/>
        <v>9</v>
      </c>
      <c r="U35" s="161">
        <f t="shared" si="9"/>
        <v>0</v>
      </c>
    </row>
    <row r="36" spans="1:21" x14ac:dyDescent="0.25">
      <c r="I36" s="111">
        <v>0</v>
      </c>
      <c r="J36" s="112">
        <v>0</v>
      </c>
      <c r="K36" s="70"/>
      <c r="L36" s="70"/>
      <c r="M36" s="127">
        <v>3</v>
      </c>
      <c r="N36" s="135"/>
      <c r="O36" s="70">
        <f t="shared" si="5"/>
        <v>0</v>
      </c>
      <c r="P36" s="133">
        <v>9</v>
      </c>
      <c r="Q36" s="161">
        <f t="shared" si="6"/>
        <v>0</v>
      </c>
      <c r="R36" s="70"/>
      <c r="S36" s="70">
        <f t="shared" si="7"/>
        <v>0</v>
      </c>
      <c r="T36" s="134">
        <f t="shared" si="8"/>
        <v>9</v>
      </c>
      <c r="U36" s="161">
        <f t="shared" si="9"/>
        <v>0</v>
      </c>
    </row>
    <row r="37" spans="1:21" x14ac:dyDescent="0.25">
      <c r="I37" s="111">
        <v>0</v>
      </c>
      <c r="J37" s="112">
        <v>0</v>
      </c>
      <c r="K37" s="70"/>
      <c r="L37" s="70"/>
      <c r="M37" s="127">
        <v>3</v>
      </c>
      <c r="N37" s="70"/>
      <c r="O37" s="70">
        <f t="shared" si="5"/>
        <v>0</v>
      </c>
      <c r="P37" s="133">
        <v>9</v>
      </c>
      <c r="Q37" s="161">
        <f t="shared" si="6"/>
        <v>0</v>
      </c>
      <c r="R37" s="70"/>
      <c r="S37" s="70">
        <f t="shared" si="7"/>
        <v>0</v>
      </c>
      <c r="T37" s="134">
        <f t="shared" si="8"/>
        <v>9</v>
      </c>
      <c r="U37" s="161">
        <f t="shared" si="9"/>
        <v>0</v>
      </c>
    </row>
    <row r="38" spans="1:21" x14ac:dyDescent="0.25">
      <c r="I38" s="111">
        <v>0</v>
      </c>
      <c r="J38" s="112">
        <v>0</v>
      </c>
      <c r="K38" s="70"/>
      <c r="L38" s="70"/>
      <c r="M38" s="127">
        <v>3</v>
      </c>
      <c r="N38" s="70"/>
      <c r="O38" s="70">
        <f t="shared" si="5"/>
        <v>0</v>
      </c>
      <c r="P38" s="133">
        <v>9</v>
      </c>
      <c r="Q38" s="161">
        <f t="shared" si="6"/>
        <v>0</v>
      </c>
      <c r="R38" s="70"/>
      <c r="S38" s="70">
        <f t="shared" si="7"/>
        <v>0</v>
      </c>
      <c r="T38" s="134">
        <f t="shared" si="8"/>
        <v>9</v>
      </c>
      <c r="U38" s="161">
        <f t="shared" si="9"/>
        <v>0</v>
      </c>
    </row>
    <row r="39" spans="1:21" x14ac:dyDescent="0.25">
      <c r="I39" s="111">
        <v>0</v>
      </c>
      <c r="J39" s="112">
        <v>0</v>
      </c>
      <c r="K39" s="70"/>
      <c r="L39" s="70"/>
      <c r="M39" s="127">
        <v>3</v>
      </c>
      <c r="N39" s="70"/>
      <c r="O39" s="70">
        <f t="shared" si="5"/>
        <v>0</v>
      </c>
      <c r="P39" s="133">
        <v>9</v>
      </c>
      <c r="Q39" s="161">
        <f t="shared" si="6"/>
        <v>0</v>
      </c>
      <c r="R39" s="70"/>
      <c r="S39" s="70">
        <f t="shared" si="7"/>
        <v>0</v>
      </c>
      <c r="T39" s="134">
        <f t="shared" si="8"/>
        <v>9</v>
      </c>
      <c r="U39" s="161">
        <f t="shared" si="9"/>
        <v>0</v>
      </c>
    </row>
    <row r="40" spans="1:21" x14ac:dyDescent="0.25">
      <c r="I40" s="111">
        <v>0</v>
      </c>
      <c r="J40" s="112">
        <v>0</v>
      </c>
      <c r="K40" s="70"/>
      <c r="L40" s="70"/>
      <c r="M40" s="127">
        <v>3</v>
      </c>
      <c r="N40" s="70"/>
      <c r="O40" s="70">
        <f t="shared" si="5"/>
        <v>0</v>
      </c>
      <c r="P40" s="133">
        <v>9</v>
      </c>
      <c r="Q40" s="161">
        <f t="shared" si="6"/>
        <v>0</v>
      </c>
      <c r="R40" s="70"/>
      <c r="S40" s="70">
        <f t="shared" si="7"/>
        <v>0</v>
      </c>
      <c r="T40" s="134">
        <f t="shared" si="8"/>
        <v>9</v>
      </c>
      <c r="U40" s="161">
        <f t="shared" si="9"/>
        <v>0</v>
      </c>
    </row>
    <row r="41" spans="1:21" x14ac:dyDescent="0.25">
      <c r="I41" s="111">
        <v>0</v>
      </c>
      <c r="J41" s="112">
        <v>0</v>
      </c>
      <c r="K41" s="70"/>
      <c r="L41" s="70"/>
      <c r="M41" s="127">
        <v>3</v>
      </c>
      <c r="N41" s="135"/>
      <c r="O41" s="70">
        <f t="shared" si="5"/>
        <v>0</v>
      </c>
      <c r="P41" s="133">
        <v>9</v>
      </c>
      <c r="Q41" s="161">
        <f t="shared" si="6"/>
        <v>0</v>
      </c>
      <c r="R41" s="70"/>
      <c r="S41" s="70">
        <f t="shared" si="7"/>
        <v>0</v>
      </c>
      <c r="T41" s="134">
        <f t="shared" si="8"/>
        <v>9</v>
      </c>
      <c r="U41" s="161">
        <f t="shared" si="9"/>
        <v>0</v>
      </c>
    </row>
    <row r="42" spans="1:21" x14ac:dyDescent="0.25">
      <c r="I42" s="111">
        <v>0</v>
      </c>
      <c r="J42" s="112">
        <v>0</v>
      </c>
      <c r="K42" s="70"/>
      <c r="L42" s="70"/>
      <c r="M42" s="127">
        <v>3</v>
      </c>
      <c r="N42" s="70"/>
      <c r="O42" s="70">
        <f t="shared" si="5"/>
        <v>0</v>
      </c>
      <c r="P42" s="133">
        <v>9</v>
      </c>
      <c r="Q42" s="161">
        <f t="shared" si="6"/>
        <v>0</v>
      </c>
      <c r="R42" s="70"/>
      <c r="S42" s="70">
        <f t="shared" si="7"/>
        <v>0</v>
      </c>
      <c r="T42" s="134">
        <f t="shared" si="8"/>
        <v>9</v>
      </c>
      <c r="U42" s="161">
        <f t="shared" si="9"/>
        <v>0</v>
      </c>
    </row>
    <row r="43" spans="1:21" x14ac:dyDescent="0.25">
      <c r="I43" s="111">
        <v>0</v>
      </c>
      <c r="J43" s="112">
        <v>0</v>
      </c>
      <c r="K43" s="70"/>
      <c r="L43" s="70"/>
      <c r="M43" s="127">
        <v>3</v>
      </c>
      <c r="N43" s="70"/>
      <c r="O43" s="70">
        <f t="shared" si="5"/>
        <v>0</v>
      </c>
      <c r="P43" s="133">
        <v>9</v>
      </c>
      <c r="Q43" s="161">
        <f t="shared" si="6"/>
        <v>0</v>
      </c>
      <c r="R43" s="70"/>
      <c r="S43" s="70">
        <f t="shared" si="7"/>
        <v>0</v>
      </c>
      <c r="T43" s="134">
        <f t="shared" si="8"/>
        <v>9</v>
      </c>
      <c r="U43" s="161">
        <f t="shared" si="9"/>
        <v>0</v>
      </c>
    </row>
    <row r="44" spans="1:21" x14ac:dyDescent="0.25">
      <c r="I44" s="111">
        <v>0</v>
      </c>
      <c r="J44" s="112">
        <v>0</v>
      </c>
      <c r="K44" s="70"/>
      <c r="L44" s="70"/>
      <c r="M44" s="127">
        <v>3</v>
      </c>
      <c r="N44" s="70"/>
      <c r="O44" s="70">
        <f t="shared" si="5"/>
        <v>0</v>
      </c>
      <c r="P44" s="133">
        <v>9</v>
      </c>
      <c r="Q44" s="161">
        <f t="shared" si="6"/>
        <v>0</v>
      </c>
      <c r="R44" s="70"/>
      <c r="S44" s="70">
        <f t="shared" si="7"/>
        <v>0</v>
      </c>
      <c r="T44" s="134">
        <f t="shared" si="8"/>
        <v>9</v>
      </c>
      <c r="U44" s="161">
        <f t="shared" si="9"/>
        <v>0</v>
      </c>
    </row>
    <row r="45" spans="1:21" x14ac:dyDescent="0.25">
      <c r="I45" s="111">
        <v>0</v>
      </c>
      <c r="J45" s="112">
        <v>0</v>
      </c>
      <c r="K45" s="70"/>
      <c r="L45" s="70"/>
      <c r="M45" s="127">
        <v>3</v>
      </c>
      <c r="N45" s="70"/>
      <c r="O45" s="70">
        <f t="shared" si="5"/>
        <v>0</v>
      </c>
      <c r="P45" s="133">
        <v>9</v>
      </c>
      <c r="Q45" s="161">
        <f t="shared" si="6"/>
        <v>0</v>
      </c>
      <c r="R45" s="70"/>
      <c r="S45" s="70">
        <f t="shared" si="7"/>
        <v>0</v>
      </c>
      <c r="T45" s="134">
        <f t="shared" si="8"/>
        <v>9</v>
      </c>
      <c r="U45" s="161">
        <f t="shared" si="9"/>
        <v>0</v>
      </c>
    </row>
    <row r="46" spans="1:21" x14ac:dyDescent="0.25">
      <c r="I46" s="111">
        <v>0</v>
      </c>
      <c r="J46" s="112">
        <v>0</v>
      </c>
      <c r="K46" s="70"/>
      <c r="L46" s="70"/>
      <c r="M46" s="127">
        <v>3</v>
      </c>
      <c r="N46" s="70"/>
      <c r="O46" s="70">
        <f t="shared" si="5"/>
        <v>0</v>
      </c>
      <c r="P46" s="133">
        <v>9</v>
      </c>
      <c r="Q46" s="161">
        <f t="shared" si="6"/>
        <v>0</v>
      </c>
      <c r="R46" s="70"/>
      <c r="S46" s="70">
        <f t="shared" si="7"/>
        <v>0</v>
      </c>
      <c r="T46" s="134">
        <f t="shared" si="8"/>
        <v>9</v>
      </c>
      <c r="U46" s="161">
        <f t="shared" si="9"/>
        <v>0</v>
      </c>
    </row>
    <row r="47" spans="1:21" x14ac:dyDescent="0.25">
      <c r="I47" s="111">
        <v>0</v>
      </c>
      <c r="J47" s="112">
        <v>0</v>
      </c>
      <c r="K47" s="70"/>
      <c r="L47" s="70"/>
      <c r="M47" s="127">
        <v>3</v>
      </c>
      <c r="N47" s="135"/>
      <c r="O47" s="70">
        <f t="shared" ref="O47:O76" si="10">L47+N47</f>
        <v>0</v>
      </c>
      <c r="P47" s="133">
        <v>9</v>
      </c>
      <c r="Q47" s="161">
        <f t="shared" ref="Q47:Q76" si="11">O47/P47</f>
        <v>0</v>
      </c>
      <c r="R47" s="70"/>
      <c r="S47" s="70">
        <f t="shared" ref="S47:S76" si="12">R47+L47</f>
        <v>0</v>
      </c>
      <c r="T47" s="134">
        <f t="shared" ref="T47:T76" si="13">P47</f>
        <v>9</v>
      </c>
      <c r="U47" s="161">
        <f t="shared" ref="U47:U76" si="14">S47/T47</f>
        <v>0</v>
      </c>
    </row>
    <row r="48" spans="1:21" x14ac:dyDescent="0.25">
      <c r="I48" s="111">
        <v>0</v>
      </c>
      <c r="J48" s="112">
        <v>0</v>
      </c>
      <c r="K48" s="70"/>
      <c r="L48" s="70"/>
      <c r="M48" s="127">
        <v>3</v>
      </c>
      <c r="N48" s="70"/>
      <c r="O48" s="70">
        <f t="shared" si="10"/>
        <v>0</v>
      </c>
      <c r="P48" s="133">
        <v>9</v>
      </c>
      <c r="Q48" s="161">
        <f t="shared" si="11"/>
        <v>0</v>
      </c>
      <c r="R48" s="70"/>
      <c r="S48" s="70">
        <f t="shared" si="12"/>
        <v>0</v>
      </c>
      <c r="T48" s="134">
        <f t="shared" si="13"/>
        <v>9</v>
      </c>
      <c r="U48" s="161">
        <f t="shared" si="14"/>
        <v>0</v>
      </c>
    </row>
    <row r="49" spans="1:21" x14ac:dyDescent="0.25">
      <c r="I49" s="111">
        <v>0</v>
      </c>
      <c r="J49" s="112">
        <v>0</v>
      </c>
      <c r="K49" s="70"/>
      <c r="L49" s="70"/>
      <c r="M49" s="127">
        <v>3</v>
      </c>
      <c r="N49" s="70"/>
      <c r="O49" s="70">
        <f t="shared" si="10"/>
        <v>0</v>
      </c>
      <c r="P49" s="133">
        <v>9</v>
      </c>
      <c r="Q49" s="161">
        <f t="shared" si="11"/>
        <v>0</v>
      </c>
      <c r="R49" s="70"/>
      <c r="S49" s="70">
        <f t="shared" si="12"/>
        <v>0</v>
      </c>
      <c r="T49" s="134">
        <f t="shared" si="13"/>
        <v>9</v>
      </c>
      <c r="U49" s="161">
        <f t="shared" si="14"/>
        <v>0</v>
      </c>
    </row>
    <row r="50" spans="1:21" x14ac:dyDescent="0.25">
      <c r="A50" s="30"/>
      <c r="I50" s="111">
        <v>0</v>
      </c>
      <c r="J50" s="112">
        <v>0</v>
      </c>
      <c r="K50" s="70"/>
      <c r="L50" s="70"/>
      <c r="M50" s="127">
        <v>3</v>
      </c>
      <c r="N50" s="70"/>
      <c r="O50" s="70">
        <f t="shared" si="10"/>
        <v>0</v>
      </c>
      <c r="P50" s="133">
        <v>9</v>
      </c>
      <c r="Q50" s="161">
        <f t="shared" si="11"/>
        <v>0</v>
      </c>
      <c r="R50" s="70"/>
      <c r="S50" s="70">
        <f t="shared" si="12"/>
        <v>0</v>
      </c>
      <c r="T50" s="134">
        <f t="shared" si="13"/>
        <v>9</v>
      </c>
      <c r="U50" s="161">
        <f t="shared" si="14"/>
        <v>0</v>
      </c>
    </row>
    <row r="51" spans="1:21" x14ac:dyDescent="0.25">
      <c r="A51" s="30"/>
      <c r="I51" s="111">
        <v>0</v>
      </c>
      <c r="J51" s="112">
        <v>0</v>
      </c>
      <c r="K51" s="70"/>
      <c r="L51" s="70"/>
      <c r="M51" s="127">
        <v>3</v>
      </c>
      <c r="N51" s="70"/>
      <c r="O51" s="70">
        <f t="shared" si="10"/>
        <v>0</v>
      </c>
      <c r="P51" s="133">
        <v>9</v>
      </c>
      <c r="Q51" s="161">
        <f t="shared" si="11"/>
        <v>0</v>
      </c>
      <c r="R51" s="70"/>
      <c r="S51" s="70">
        <f t="shared" si="12"/>
        <v>0</v>
      </c>
      <c r="T51" s="134">
        <f t="shared" si="13"/>
        <v>9</v>
      </c>
      <c r="U51" s="161">
        <f t="shared" si="14"/>
        <v>0</v>
      </c>
    </row>
    <row r="52" spans="1:21" x14ac:dyDescent="0.25">
      <c r="A52" s="30"/>
      <c r="I52" s="111">
        <v>0</v>
      </c>
      <c r="J52" s="112">
        <v>0</v>
      </c>
      <c r="K52" s="70"/>
      <c r="L52" s="70"/>
      <c r="M52" s="127">
        <v>3</v>
      </c>
      <c r="N52" s="135"/>
      <c r="O52" s="70">
        <f t="shared" si="10"/>
        <v>0</v>
      </c>
      <c r="P52" s="133">
        <v>9</v>
      </c>
      <c r="Q52" s="161">
        <f t="shared" si="11"/>
        <v>0</v>
      </c>
      <c r="R52" s="70"/>
      <c r="S52" s="70">
        <f t="shared" si="12"/>
        <v>0</v>
      </c>
      <c r="T52" s="134">
        <f t="shared" si="13"/>
        <v>9</v>
      </c>
      <c r="U52" s="161">
        <f t="shared" si="14"/>
        <v>0</v>
      </c>
    </row>
    <row r="53" spans="1:21" x14ac:dyDescent="0.25">
      <c r="I53" s="111">
        <v>0</v>
      </c>
      <c r="J53" s="112">
        <v>0</v>
      </c>
      <c r="K53" s="70"/>
      <c r="L53" s="70"/>
      <c r="M53" s="127">
        <v>3</v>
      </c>
      <c r="N53" s="70"/>
      <c r="O53" s="70">
        <f t="shared" si="10"/>
        <v>0</v>
      </c>
      <c r="P53" s="133">
        <v>9</v>
      </c>
      <c r="Q53" s="161">
        <f t="shared" si="11"/>
        <v>0</v>
      </c>
      <c r="R53" s="70"/>
      <c r="S53" s="70">
        <f t="shared" si="12"/>
        <v>0</v>
      </c>
      <c r="T53" s="134">
        <f t="shared" si="13"/>
        <v>9</v>
      </c>
      <c r="U53" s="161">
        <f t="shared" si="14"/>
        <v>0</v>
      </c>
    </row>
    <row r="54" spans="1:21" x14ac:dyDescent="0.25">
      <c r="I54" s="111">
        <v>0</v>
      </c>
      <c r="J54" s="112">
        <v>0</v>
      </c>
      <c r="K54" s="70"/>
      <c r="L54" s="70"/>
      <c r="M54" s="127">
        <v>3</v>
      </c>
      <c r="N54" s="70"/>
      <c r="O54" s="70">
        <f t="shared" si="10"/>
        <v>0</v>
      </c>
      <c r="P54" s="133">
        <v>9</v>
      </c>
      <c r="Q54" s="161">
        <f t="shared" si="11"/>
        <v>0</v>
      </c>
      <c r="R54" s="70"/>
      <c r="S54" s="70">
        <f t="shared" si="12"/>
        <v>0</v>
      </c>
      <c r="T54" s="134">
        <f t="shared" si="13"/>
        <v>9</v>
      </c>
      <c r="U54" s="161">
        <f t="shared" si="14"/>
        <v>0</v>
      </c>
    </row>
    <row r="55" spans="1:21" x14ac:dyDescent="0.25">
      <c r="I55" s="111">
        <v>0</v>
      </c>
      <c r="J55" s="112">
        <v>0</v>
      </c>
      <c r="K55" s="70"/>
      <c r="L55" s="70"/>
      <c r="M55" s="127">
        <v>3</v>
      </c>
      <c r="N55" s="70"/>
      <c r="O55" s="70">
        <f t="shared" si="10"/>
        <v>0</v>
      </c>
      <c r="P55" s="133">
        <v>9</v>
      </c>
      <c r="Q55" s="161">
        <f t="shared" si="11"/>
        <v>0</v>
      </c>
      <c r="R55" s="70"/>
      <c r="S55" s="70">
        <f t="shared" si="12"/>
        <v>0</v>
      </c>
      <c r="T55" s="134">
        <f t="shared" si="13"/>
        <v>9</v>
      </c>
      <c r="U55" s="161">
        <f t="shared" si="14"/>
        <v>0</v>
      </c>
    </row>
    <row r="56" spans="1:21" x14ac:dyDescent="0.25">
      <c r="I56" s="111">
        <v>0</v>
      </c>
      <c r="J56" s="112">
        <v>0</v>
      </c>
      <c r="K56" s="70"/>
      <c r="L56" s="70"/>
      <c r="M56" s="127">
        <v>3</v>
      </c>
      <c r="N56" s="70"/>
      <c r="O56" s="70">
        <f t="shared" si="10"/>
        <v>0</v>
      </c>
      <c r="P56" s="133">
        <v>9</v>
      </c>
      <c r="Q56" s="161">
        <f t="shared" si="11"/>
        <v>0</v>
      </c>
      <c r="R56" s="70"/>
      <c r="S56" s="70">
        <f t="shared" si="12"/>
        <v>0</v>
      </c>
      <c r="T56" s="134">
        <f t="shared" si="13"/>
        <v>9</v>
      </c>
      <c r="U56" s="161">
        <f t="shared" si="14"/>
        <v>0</v>
      </c>
    </row>
    <row r="57" spans="1:21" x14ac:dyDescent="0.25">
      <c r="A57" s="30"/>
      <c r="I57" s="111">
        <v>0</v>
      </c>
      <c r="J57" s="112">
        <v>0</v>
      </c>
      <c r="K57" s="70"/>
      <c r="L57" s="70"/>
      <c r="M57" s="127">
        <v>3</v>
      </c>
      <c r="N57" s="70"/>
      <c r="O57" s="70">
        <f t="shared" si="10"/>
        <v>0</v>
      </c>
      <c r="P57" s="133">
        <v>9</v>
      </c>
      <c r="Q57" s="161">
        <f t="shared" si="11"/>
        <v>0</v>
      </c>
      <c r="R57" s="70"/>
      <c r="S57" s="70">
        <f t="shared" si="12"/>
        <v>0</v>
      </c>
      <c r="T57" s="134">
        <f t="shared" si="13"/>
        <v>9</v>
      </c>
      <c r="U57" s="161">
        <f t="shared" si="14"/>
        <v>0</v>
      </c>
    </row>
    <row r="58" spans="1:21" x14ac:dyDescent="0.25">
      <c r="A58" s="30"/>
      <c r="I58" s="111">
        <v>0</v>
      </c>
      <c r="J58" s="112">
        <v>0</v>
      </c>
      <c r="K58" s="70"/>
      <c r="L58" s="70"/>
      <c r="M58" s="127">
        <v>3</v>
      </c>
      <c r="N58" s="135"/>
      <c r="O58" s="70">
        <f t="shared" si="10"/>
        <v>0</v>
      </c>
      <c r="P58" s="133">
        <v>9</v>
      </c>
      <c r="Q58" s="161">
        <f t="shared" si="11"/>
        <v>0</v>
      </c>
      <c r="R58" s="70"/>
      <c r="S58" s="70">
        <f t="shared" si="12"/>
        <v>0</v>
      </c>
      <c r="T58" s="134">
        <f t="shared" si="13"/>
        <v>9</v>
      </c>
      <c r="U58" s="161">
        <f t="shared" si="14"/>
        <v>0</v>
      </c>
    </row>
    <row r="59" spans="1:21" x14ac:dyDescent="0.25">
      <c r="A59" s="30"/>
      <c r="I59" s="111">
        <v>0</v>
      </c>
      <c r="J59" s="112">
        <v>0</v>
      </c>
      <c r="K59" s="70"/>
      <c r="L59" s="70"/>
      <c r="M59" s="127">
        <v>3</v>
      </c>
      <c r="N59" s="70"/>
      <c r="O59" s="70">
        <f t="shared" si="10"/>
        <v>0</v>
      </c>
      <c r="P59" s="133">
        <v>9</v>
      </c>
      <c r="Q59" s="161">
        <f t="shared" si="11"/>
        <v>0</v>
      </c>
      <c r="R59" s="70"/>
      <c r="S59" s="70">
        <f t="shared" si="12"/>
        <v>0</v>
      </c>
      <c r="T59" s="134">
        <f t="shared" si="13"/>
        <v>9</v>
      </c>
      <c r="U59" s="161">
        <f t="shared" si="14"/>
        <v>0</v>
      </c>
    </row>
    <row r="60" spans="1:21" x14ac:dyDescent="0.25">
      <c r="I60" s="111">
        <v>0</v>
      </c>
      <c r="J60" s="112">
        <v>0</v>
      </c>
      <c r="K60" s="70"/>
      <c r="L60" s="70"/>
      <c r="M60" s="127">
        <v>3</v>
      </c>
      <c r="N60" s="70"/>
      <c r="O60" s="70">
        <f t="shared" si="10"/>
        <v>0</v>
      </c>
      <c r="P60" s="133">
        <v>9</v>
      </c>
      <c r="Q60" s="161">
        <f t="shared" si="11"/>
        <v>0</v>
      </c>
      <c r="R60" s="70"/>
      <c r="S60" s="70">
        <f t="shared" si="12"/>
        <v>0</v>
      </c>
      <c r="T60" s="134">
        <f t="shared" si="13"/>
        <v>9</v>
      </c>
      <c r="U60" s="161">
        <f t="shared" si="14"/>
        <v>0</v>
      </c>
    </row>
    <row r="61" spans="1:21" x14ac:dyDescent="0.25">
      <c r="I61" s="111">
        <v>0</v>
      </c>
      <c r="J61" s="112">
        <v>0</v>
      </c>
      <c r="K61" s="70"/>
      <c r="L61" s="70"/>
      <c r="M61" s="127">
        <v>3</v>
      </c>
      <c r="N61" s="70"/>
      <c r="O61" s="70">
        <f t="shared" si="10"/>
        <v>0</v>
      </c>
      <c r="P61" s="133">
        <v>9</v>
      </c>
      <c r="Q61" s="161">
        <f t="shared" si="11"/>
        <v>0</v>
      </c>
      <c r="R61" s="70"/>
      <c r="S61" s="70">
        <f t="shared" si="12"/>
        <v>0</v>
      </c>
      <c r="T61" s="134">
        <f t="shared" si="13"/>
        <v>9</v>
      </c>
      <c r="U61" s="161">
        <f t="shared" si="14"/>
        <v>0</v>
      </c>
    </row>
    <row r="62" spans="1:21" x14ac:dyDescent="0.25">
      <c r="I62" s="111">
        <v>0</v>
      </c>
      <c r="J62" s="112">
        <v>0</v>
      </c>
      <c r="K62" s="70"/>
      <c r="L62" s="70"/>
      <c r="M62" s="127">
        <v>3</v>
      </c>
      <c r="N62" s="70"/>
      <c r="O62" s="70">
        <f t="shared" si="10"/>
        <v>0</v>
      </c>
      <c r="P62" s="133">
        <v>9</v>
      </c>
      <c r="Q62" s="161">
        <f t="shared" si="11"/>
        <v>0</v>
      </c>
      <c r="R62" s="70"/>
      <c r="S62" s="70">
        <f t="shared" si="12"/>
        <v>0</v>
      </c>
      <c r="T62" s="134">
        <f t="shared" si="13"/>
        <v>9</v>
      </c>
      <c r="U62" s="161">
        <f t="shared" si="14"/>
        <v>0</v>
      </c>
    </row>
    <row r="63" spans="1:21" x14ac:dyDescent="0.25">
      <c r="I63" s="111">
        <v>0</v>
      </c>
      <c r="J63" s="112">
        <v>0</v>
      </c>
      <c r="K63" s="70"/>
      <c r="L63" s="70"/>
      <c r="M63" s="127">
        <v>3</v>
      </c>
      <c r="N63" s="135"/>
      <c r="O63" s="70">
        <f t="shared" si="10"/>
        <v>0</v>
      </c>
      <c r="P63" s="133">
        <v>9</v>
      </c>
      <c r="Q63" s="161">
        <f t="shared" si="11"/>
        <v>0</v>
      </c>
      <c r="R63" s="70"/>
      <c r="S63" s="70">
        <f t="shared" si="12"/>
        <v>0</v>
      </c>
      <c r="T63" s="134">
        <f t="shared" si="13"/>
        <v>9</v>
      </c>
      <c r="U63" s="161">
        <f t="shared" si="14"/>
        <v>0</v>
      </c>
    </row>
    <row r="64" spans="1:21" x14ac:dyDescent="0.25">
      <c r="I64" s="111">
        <v>0</v>
      </c>
      <c r="J64" s="112">
        <v>0</v>
      </c>
      <c r="K64" s="70"/>
      <c r="L64" s="70"/>
      <c r="M64" s="127">
        <v>3</v>
      </c>
      <c r="N64" s="70"/>
      <c r="O64" s="70">
        <f t="shared" si="10"/>
        <v>0</v>
      </c>
      <c r="P64" s="133">
        <v>9</v>
      </c>
      <c r="Q64" s="161">
        <f t="shared" si="11"/>
        <v>0</v>
      </c>
      <c r="R64" s="70"/>
      <c r="S64" s="70">
        <f t="shared" si="12"/>
        <v>0</v>
      </c>
      <c r="T64" s="134">
        <f t="shared" si="13"/>
        <v>9</v>
      </c>
      <c r="U64" s="161">
        <f t="shared" si="14"/>
        <v>0</v>
      </c>
    </row>
    <row r="65" spans="9:21" x14ac:dyDescent="0.25">
      <c r="I65" s="111">
        <v>0</v>
      </c>
      <c r="J65" s="112">
        <v>0</v>
      </c>
      <c r="K65" s="70"/>
      <c r="L65" s="70"/>
      <c r="M65" s="127">
        <v>3</v>
      </c>
      <c r="N65" s="70"/>
      <c r="O65" s="70">
        <f t="shared" si="10"/>
        <v>0</v>
      </c>
      <c r="P65" s="133">
        <v>9</v>
      </c>
      <c r="Q65" s="161">
        <f t="shared" si="11"/>
        <v>0</v>
      </c>
      <c r="R65" s="70"/>
      <c r="S65" s="70">
        <f t="shared" si="12"/>
        <v>0</v>
      </c>
      <c r="T65" s="134">
        <f t="shared" si="13"/>
        <v>9</v>
      </c>
      <c r="U65" s="161">
        <f t="shared" si="14"/>
        <v>0</v>
      </c>
    </row>
    <row r="66" spans="9:21" x14ac:dyDescent="0.25">
      <c r="I66" s="111">
        <v>0</v>
      </c>
      <c r="J66" s="112">
        <v>0</v>
      </c>
      <c r="K66" s="70"/>
      <c r="L66" s="70"/>
      <c r="M66" s="127">
        <v>3</v>
      </c>
      <c r="N66" s="70"/>
      <c r="O66" s="70">
        <f t="shared" si="10"/>
        <v>0</v>
      </c>
      <c r="P66" s="133">
        <v>9</v>
      </c>
      <c r="Q66" s="161">
        <f t="shared" si="11"/>
        <v>0</v>
      </c>
      <c r="R66" s="70"/>
      <c r="S66" s="70">
        <f t="shared" si="12"/>
        <v>0</v>
      </c>
      <c r="T66" s="134">
        <f t="shared" si="13"/>
        <v>9</v>
      </c>
      <c r="U66" s="161">
        <f t="shared" si="14"/>
        <v>0</v>
      </c>
    </row>
    <row r="67" spans="9:21" x14ac:dyDescent="0.25">
      <c r="I67" s="111">
        <v>0</v>
      </c>
      <c r="J67" s="112">
        <v>0</v>
      </c>
      <c r="K67" s="70"/>
      <c r="L67" s="70"/>
      <c r="M67" s="127">
        <v>3</v>
      </c>
      <c r="N67" s="70"/>
      <c r="O67" s="70">
        <f t="shared" si="10"/>
        <v>0</v>
      </c>
      <c r="P67" s="133">
        <v>9</v>
      </c>
      <c r="Q67" s="161">
        <f t="shared" si="11"/>
        <v>0</v>
      </c>
      <c r="R67" s="70"/>
      <c r="S67" s="70">
        <f t="shared" si="12"/>
        <v>0</v>
      </c>
      <c r="T67" s="134">
        <f t="shared" si="13"/>
        <v>9</v>
      </c>
      <c r="U67" s="161">
        <f t="shared" si="14"/>
        <v>0</v>
      </c>
    </row>
    <row r="68" spans="9:21" x14ac:dyDescent="0.25">
      <c r="I68" s="111">
        <v>0</v>
      </c>
      <c r="J68" s="112">
        <v>0</v>
      </c>
      <c r="K68" s="70"/>
      <c r="L68" s="70"/>
      <c r="M68" s="127">
        <v>3</v>
      </c>
      <c r="N68" s="70"/>
      <c r="O68" s="70">
        <f t="shared" si="10"/>
        <v>0</v>
      </c>
      <c r="P68" s="133">
        <v>9</v>
      </c>
      <c r="Q68" s="161">
        <f t="shared" si="11"/>
        <v>0</v>
      </c>
      <c r="R68" s="70"/>
      <c r="S68" s="70">
        <f t="shared" si="12"/>
        <v>0</v>
      </c>
      <c r="T68" s="134">
        <f t="shared" si="13"/>
        <v>9</v>
      </c>
      <c r="U68" s="161">
        <f t="shared" si="14"/>
        <v>0</v>
      </c>
    </row>
    <row r="69" spans="9:21" x14ac:dyDescent="0.25">
      <c r="I69" s="111">
        <v>0</v>
      </c>
      <c r="J69" s="112">
        <v>0</v>
      </c>
      <c r="K69" s="70"/>
      <c r="L69" s="70"/>
      <c r="M69" s="127">
        <v>3</v>
      </c>
      <c r="N69" s="135"/>
      <c r="O69" s="70">
        <f t="shared" si="10"/>
        <v>0</v>
      </c>
      <c r="P69" s="133">
        <v>9</v>
      </c>
      <c r="Q69" s="161">
        <f t="shared" si="11"/>
        <v>0</v>
      </c>
      <c r="R69" s="70"/>
      <c r="S69" s="70">
        <f t="shared" si="12"/>
        <v>0</v>
      </c>
      <c r="T69" s="134">
        <f t="shared" si="13"/>
        <v>9</v>
      </c>
      <c r="U69" s="161">
        <f t="shared" si="14"/>
        <v>0</v>
      </c>
    </row>
    <row r="70" spans="9:21" x14ac:dyDescent="0.25">
      <c r="I70" s="111">
        <v>0</v>
      </c>
      <c r="J70" s="112">
        <v>0</v>
      </c>
      <c r="K70" s="70"/>
      <c r="L70" s="70"/>
      <c r="M70" s="127">
        <v>3</v>
      </c>
      <c r="N70" s="70"/>
      <c r="O70" s="70">
        <f t="shared" si="10"/>
        <v>0</v>
      </c>
      <c r="P70" s="133">
        <v>9</v>
      </c>
      <c r="Q70" s="161">
        <f t="shared" si="11"/>
        <v>0</v>
      </c>
      <c r="R70" s="70"/>
      <c r="S70" s="70">
        <f t="shared" si="12"/>
        <v>0</v>
      </c>
      <c r="T70" s="134">
        <f t="shared" si="13"/>
        <v>9</v>
      </c>
      <c r="U70" s="161">
        <f t="shared" si="14"/>
        <v>0</v>
      </c>
    </row>
    <row r="71" spans="9:21" x14ac:dyDescent="0.25">
      <c r="I71" s="111">
        <v>0</v>
      </c>
      <c r="J71" s="112">
        <v>0</v>
      </c>
      <c r="K71" s="70"/>
      <c r="L71" s="70"/>
      <c r="M71" s="127">
        <v>3</v>
      </c>
      <c r="N71" s="70"/>
      <c r="O71" s="70">
        <f t="shared" si="10"/>
        <v>0</v>
      </c>
      <c r="P71" s="133">
        <v>9</v>
      </c>
      <c r="Q71" s="161">
        <f t="shared" si="11"/>
        <v>0</v>
      </c>
      <c r="R71" s="70"/>
      <c r="S71" s="70">
        <f t="shared" si="12"/>
        <v>0</v>
      </c>
      <c r="T71" s="134">
        <f t="shared" si="13"/>
        <v>9</v>
      </c>
      <c r="U71" s="161">
        <f t="shared" si="14"/>
        <v>0</v>
      </c>
    </row>
    <row r="72" spans="9:21" x14ac:dyDescent="0.25">
      <c r="I72" s="111">
        <v>0</v>
      </c>
      <c r="J72" s="112">
        <v>0</v>
      </c>
      <c r="K72" s="70"/>
      <c r="L72" s="70"/>
      <c r="M72" s="127">
        <v>3</v>
      </c>
      <c r="N72" s="70"/>
      <c r="O72" s="70">
        <f t="shared" si="10"/>
        <v>0</v>
      </c>
      <c r="P72" s="133">
        <v>9</v>
      </c>
      <c r="Q72" s="161">
        <f t="shared" si="11"/>
        <v>0</v>
      </c>
      <c r="R72" s="70"/>
      <c r="S72" s="70">
        <f t="shared" si="12"/>
        <v>0</v>
      </c>
      <c r="T72" s="134">
        <f t="shared" si="13"/>
        <v>9</v>
      </c>
      <c r="U72" s="161">
        <f t="shared" si="14"/>
        <v>0</v>
      </c>
    </row>
    <row r="73" spans="9:21" x14ac:dyDescent="0.25">
      <c r="I73" s="111">
        <v>0</v>
      </c>
      <c r="J73" s="112">
        <v>0</v>
      </c>
      <c r="K73" s="70"/>
      <c r="L73" s="70"/>
      <c r="M73" s="127">
        <v>3</v>
      </c>
      <c r="N73" s="70"/>
      <c r="O73" s="70">
        <f t="shared" si="10"/>
        <v>0</v>
      </c>
      <c r="P73" s="133">
        <v>9</v>
      </c>
      <c r="Q73" s="161">
        <f t="shared" si="11"/>
        <v>0</v>
      </c>
      <c r="R73" s="70"/>
      <c r="S73" s="70">
        <f t="shared" si="12"/>
        <v>0</v>
      </c>
      <c r="T73" s="134">
        <f t="shared" si="13"/>
        <v>9</v>
      </c>
      <c r="U73" s="161">
        <f t="shared" si="14"/>
        <v>0</v>
      </c>
    </row>
    <row r="74" spans="9:21" x14ac:dyDescent="0.25">
      <c r="I74" s="111">
        <v>0</v>
      </c>
      <c r="J74" s="112">
        <v>0</v>
      </c>
      <c r="K74" s="70"/>
      <c r="L74" s="70"/>
      <c r="M74" s="127">
        <v>3</v>
      </c>
      <c r="N74" s="135"/>
      <c r="O74" s="70">
        <f t="shared" si="10"/>
        <v>0</v>
      </c>
      <c r="P74" s="133">
        <v>9</v>
      </c>
      <c r="Q74" s="161">
        <f t="shared" si="11"/>
        <v>0</v>
      </c>
      <c r="R74" s="70"/>
      <c r="S74" s="70">
        <f t="shared" si="12"/>
        <v>0</v>
      </c>
      <c r="T74" s="134">
        <f t="shared" si="13"/>
        <v>9</v>
      </c>
      <c r="U74" s="161">
        <f t="shared" si="14"/>
        <v>0</v>
      </c>
    </row>
    <row r="75" spans="9:21" x14ac:dyDescent="0.25">
      <c r="I75" s="111">
        <v>0</v>
      </c>
      <c r="J75" s="112">
        <v>0</v>
      </c>
      <c r="K75" s="70"/>
      <c r="L75" s="70"/>
      <c r="M75" s="127">
        <v>3</v>
      </c>
      <c r="N75" s="70"/>
      <c r="O75" s="70">
        <f t="shared" si="10"/>
        <v>0</v>
      </c>
      <c r="P75" s="133">
        <v>9</v>
      </c>
      <c r="Q75" s="161">
        <f t="shared" si="11"/>
        <v>0</v>
      </c>
      <c r="R75" s="70"/>
      <c r="S75" s="70">
        <f t="shared" si="12"/>
        <v>0</v>
      </c>
      <c r="T75" s="134">
        <f t="shared" si="13"/>
        <v>9</v>
      </c>
      <c r="U75" s="161">
        <f t="shared" si="14"/>
        <v>0</v>
      </c>
    </row>
    <row r="76" spans="9:21" x14ac:dyDescent="0.25">
      <c r="I76" s="111">
        <v>0</v>
      </c>
      <c r="J76" s="112">
        <v>0</v>
      </c>
      <c r="K76" s="70"/>
      <c r="L76" s="70"/>
      <c r="M76" s="127">
        <v>3</v>
      </c>
      <c r="N76" s="70"/>
      <c r="O76" s="70">
        <f t="shared" si="10"/>
        <v>0</v>
      </c>
      <c r="P76" s="133">
        <v>9</v>
      </c>
      <c r="Q76" s="161">
        <f t="shared" si="11"/>
        <v>0</v>
      </c>
      <c r="R76" s="70"/>
      <c r="S76" s="70">
        <f t="shared" si="12"/>
        <v>0</v>
      </c>
      <c r="T76" s="134">
        <f t="shared" si="13"/>
        <v>9</v>
      </c>
      <c r="U76" s="161">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T32"/>
  <sheetViews>
    <sheetView workbookViewId="0">
      <selection activeCell="C7" sqref="C7"/>
    </sheetView>
  </sheetViews>
  <sheetFormatPr baseColWidth="10" defaultColWidth="11.42578125" defaultRowHeight="15" x14ac:dyDescent="0.25"/>
  <cols>
    <col min="1" max="1" width="12.28515625" bestFit="1" customWidth="1"/>
    <col min="2" max="2" width="15.85546875" bestFit="1" customWidth="1"/>
    <col min="3" max="3" width="10.7109375" bestFit="1" customWidth="1"/>
    <col min="4" max="4" width="7.7109375" bestFit="1" customWidth="1"/>
    <col min="5" max="5" width="5.140625" customWidth="1"/>
    <col min="6" max="6" width="5.28515625" style="223" bestFit="1" customWidth="1"/>
    <col min="7" max="7" width="20.85546875" bestFit="1" customWidth="1"/>
    <col min="8" max="8" width="5.85546875" style="210" customWidth="1"/>
    <col min="9" max="9" width="6.85546875" customWidth="1"/>
    <col min="10" max="10" width="5.28515625" style="223" bestFit="1" customWidth="1"/>
    <col min="11" max="11" width="21.7109375" bestFit="1" customWidth="1"/>
    <col min="12" max="12" width="5.85546875" customWidth="1"/>
    <col min="13" max="13" width="6.140625" customWidth="1"/>
    <col min="14" max="14" width="5.28515625" style="223" bestFit="1" customWidth="1"/>
    <col min="15" max="15" width="22" bestFit="1" customWidth="1"/>
    <col min="16" max="16" width="5.85546875" customWidth="1"/>
    <col min="17" max="17" width="5.140625" customWidth="1"/>
    <col min="18" max="18" width="5.28515625" style="223" bestFit="1" customWidth="1"/>
    <col min="19" max="19" width="21.28515625" bestFit="1" customWidth="1"/>
    <col min="20" max="20" width="5.85546875" customWidth="1"/>
  </cols>
  <sheetData>
    <row r="1" spans="1:20" x14ac:dyDescent="0.25">
      <c r="A1" s="211" t="s">
        <v>330</v>
      </c>
      <c r="F1" s="222" t="s">
        <v>377</v>
      </c>
      <c r="G1" s="248" t="s">
        <v>337</v>
      </c>
      <c r="H1" s="248"/>
      <c r="J1" s="222" t="s">
        <v>377</v>
      </c>
      <c r="K1" s="248" t="s">
        <v>378</v>
      </c>
      <c r="L1" s="248"/>
      <c r="N1" s="222" t="s">
        <v>377</v>
      </c>
      <c r="O1" s="248" t="s">
        <v>389</v>
      </c>
      <c r="P1" s="248"/>
      <c r="R1" s="222" t="s">
        <v>377</v>
      </c>
      <c r="S1" s="248" t="s">
        <v>408</v>
      </c>
      <c r="T1" s="248"/>
    </row>
    <row r="2" spans="1:20" x14ac:dyDescent="0.25">
      <c r="A2" s="30">
        <v>43634</v>
      </c>
      <c r="F2" s="66">
        <v>1</v>
      </c>
      <c r="G2" s="212" t="s">
        <v>338</v>
      </c>
      <c r="H2" s="210" t="s">
        <v>339</v>
      </c>
      <c r="J2" s="66">
        <v>1</v>
      </c>
      <c r="K2" s="212" t="s">
        <v>361</v>
      </c>
      <c r="L2" s="210">
        <v>175</v>
      </c>
      <c r="N2" s="66">
        <v>1</v>
      </c>
      <c r="O2" s="212" t="s">
        <v>361</v>
      </c>
      <c r="P2" s="210">
        <v>71</v>
      </c>
      <c r="R2" s="66">
        <v>1</v>
      </c>
      <c r="S2" s="212" t="s">
        <v>346</v>
      </c>
      <c r="T2" s="210">
        <v>58</v>
      </c>
    </row>
    <row r="3" spans="1:20" x14ac:dyDescent="0.25">
      <c r="F3" s="66">
        <v>2</v>
      </c>
      <c r="G3" s="212" t="s">
        <v>340</v>
      </c>
      <c r="H3" s="210" t="s">
        <v>341</v>
      </c>
      <c r="J3" s="66">
        <v>2</v>
      </c>
      <c r="K3" s="212" t="s">
        <v>379</v>
      </c>
      <c r="L3" s="210">
        <v>155</v>
      </c>
      <c r="N3" s="66">
        <v>2</v>
      </c>
      <c r="O3" s="212" t="s">
        <v>382</v>
      </c>
      <c r="P3" s="210">
        <v>29</v>
      </c>
      <c r="R3" s="66">
        <v>2</v>
      </c>
      <c r="S3" s="212" t="s">
        <v>380</v>
      </c>
      <c r="T3" s="210">
        <v>57</v>
      </c>
    </row>
    <row r="4" spans="1:20" x14ac:dyDescent="0.25">
      <c r="A4" s="211" t="s">
        <v>331</v>
      </c>
      <c r="F4" s="66">
        <v>3</v>
      </c>
      <c r="G4" s="212" t="s">
        <v>342</v>
      </c>
      <c r="H4" s="210" t="s">
        <v>343</v>
      </c>
      <c r="J4" s="66">
        <v>3</v>
      </c>
      <c r="K4" s="212" t="s">
        <v>347</v>
      </c>
      <c r="L4" s="210">
        <v>145</v>
      </c>
      <c r="N4" s="66">
        <v>3</v>
      </c>
      <c r="O4" s="212" t="s">
        <v>390</v>
      </c>
      <c r="P4" s="210">
        <v>16</v>
      </c>
      <c r="R4" s="66">
        <v>3</v>
      </c>
      <c r="S4" s="212" t="s">
        <v>340</v>
      </c>
      <c r="T4" s="210">
        <v>44</v>
      </c>
    </row>
    <row r="5" spans="1:20" x14ac:dyDescent="0.25">
      <c r="A5" s="234" t="s">
        <v>332</v>
      </c>
      <c r="B5" t="s">
        <v>447</v>
      </c>
      <c r="C5" s="30">
        <v>42847</v>
      </c>
      <c r="D5" t="s">
        <v>333</v>
      </c>
      <c r="F5" s="66">
        <v>4</v>
      </c>
      <c r="G5" s="212" t="s">
        <v>344</v>
      </c>
      <c r="H5" s="210" t="s">
        <v>345</v>
      </c>
      <c r="J5" s="66">
        <v>4</v>
      </c>
      <c r="K5" s="212" t="s">
        <v>344</v>
      </c>
      <c r="L5" s="210">
        <v>144</v>
      </c>
      <c r="N5" s="66">
        <v>4</v>
      </c>
      <c r="O5" s="212" t="s">
        <v>391</v>
      </c>
      <c r="P5" s="210">
        <v>12</v>
      </c>
      <c r="R5" s="66">
        <v>4</v>
      </c>
      <c r="S5" s="212" t="s">
        <v>338</v>
      </c>
      <c r="T5" s="210">
        <v>42</v>
      </c>
    </row>
    <row r="6" spans="1:20" x14ac:dyDescent="0.25">
      <c r="A6" s="234" t="s">
        <v>334</v>
      </c>
      <c r="B6" t="s">
        <v>335</v>
      </c>
      <c r="C6" s="30">
        <v>42991</v>
      </c>
      <c r="D6" t="s">
        <v>336</v>
      </c>
      <c r="F6" s="66">
        <v>5</v>
      </c>
      <c r="G6" s="212" t="s">
        <v>346</v>
      </c>
      <c r="H6" s="210" t="s">
        <v>345</v>
      </c>
      <c r="J6" s="66">
        <v>5</v>
      </c>
      <c r="K6" s="212" t="s">
        <v>338</v>
      </c>
      <c r="L6" s="210">
        <v>141</v>
      </c>
      <c r="N6" s="66">
        <v>5</v>
      </c>
      <c r="O6" s="212" t="s">
        <v>392</v>
      </c>
      <c r="P6" s="210">
        <v>11</v>
      </c>
      <c r="R6" s="66">
        <v>5</v>
      </c>
      <c r="S6" s="220" t="s">
        <v>275</v>
      </c>
      <c r="T6" s="214">
        <v>40</v>
      </c>
    </row>
    <row r="7" spans="1:20" x14ac:dyDescent="0.25">
      <c r="F7" s="66">
        <v>6</v>
      </c>
      <c r="G7" s="212" t="s">
        <v>347</v>
      </c>
      <c r="H7" s="210" t="s">
        <v>348</v>
      </c>
      <c r="J7" s="66">
        <v>6</v>
      </c>
      <c r="K7" s="212" t="s">
        <v>380</v>
      </c>
      <c r="L7" s="210">
        <v>140</v>
      </c>
      <c r="N7" s="66">
        <v>5</v>
      </c>
      <c r="O7" s="212" t="s">
        <v>393</v>
      </c>
      <c r="P7" s="210">
        <v>11</v>
      </c>
      <c r="R7" s="66">
        <v>6</v>
      </c>
      <c r="S7" s="212" t="s">
        <v>342</v>
      </c>
      <c r="T7" s="210">
        <v>27</v>
      </c>
    </row>
    <row r="8" spans="1:20" x14ac:dyDescent="0.25">
      <c r="F8" s="66">
        <v>7</v>
      </c>
      <c r="G8" s="212" t="s">
        <v>349</v>
      </c>
      <c r="H8" s="210" t="s">
        <v>350</v>
      </c>
      <c r="J8" s="66">
        <v>7</v>
      </c>
      <c r="K8" s="212" t="s">
        <v>383</v>
      </c>
      <c r="L8" s="210">
        <v>135</v>
      </c>
      <c r="N8" s="66">
        <v>7</v>
      </c>
      <c r="O8" s="212" t="s">
        <v>394</v>
      </c>
      <c r="P8" s="210">
        <v>6</v>
      </c>
      <c r="R8" s="66">
        <v>7</v>
      </c>
      <c r="S8" s="220" t="s">
        <v>436</v>
      </c>
      <c r="T8" s="234">
        <v>24</v>
      </c>
    </row>
    <row r="9" spans="1:20" x14ac:dyDescent="0.25">
      <c r="F9" s="66">
        <v>8</v>
      </c>
      <c r="G9" s="212" t="s">
        <v>352</v>
      </c>
      <c r="H9" s="210" t="s">
        <v>351</v>
      </c>
      <c r="J9" s="66">
        <v>8</v>
      </c>
      <c r="K9" s="212" t="s">
        <v>352</v>
      </c>
      <c r="L9" s="210">
        <v>111</v>
      </c>
      <c r="N9" s="66">
        <v>8</v>
      </c>
      <c r="O9" s="215" t="s">
        <v>440</v>
      </c>
      <c r="P9" s="210">
        <v>6</v>
      </c>
      <c r="R9" s="66">
        <v>8</v>
      </c>
      <c r="S9" s="212" t="s">
        <v>385</v>
      </c>
      <c r="T9" s="210">
        <v>22</v>
      </c>
    </row>
    <row r="10" spans="1:20" x14ac:dyDescent="0.25">
      <c r="F10" s="66">
        <v>9</v>
      </c>
      <c r="G10" s="212" t="s">
        <v>353</v>
      </c>
      <c r="H10" s="210" t="s">
        <v>351</v>
      </c>
      <c r="J10" s="66">
        <v>9</v>
      </c>
      <c r="K10" s="212" t="s">
        <v>381</v>
      </c>
      <c r="L10" s="210">
        <v>105</v>
      </c>
      <c r="N10" s="66">
        <v>9</v>
      </c>
      <c r="O10" s="212" t="s">
        <v>395</v>
      </c>
      <c r="P10" s="210">
        <v>4</v>
      </c>
      <c r="R10" s="66">
        <v>9</v>
      </c>
      <c r="S10" s="212" t="s">
        <v>409</v>
      </c>
      <c r="T10" s="210">
        <v>20</v>
      </c>
    </row>
    <row r="11" spans="1:20" x14ac:dyDescent="0.25">
      <c r="F11" s="66">
        <v>10</v>
      </c>
      <c r="G11" s="212" t="s">
        <v>354</v>
      </c>
      <c r="H11" s="210" t="s">
        <v>351</v>
      </c>
      <c r="J11" s="66">
        <v>10</v>
      </c>
      <c r="K11" s="212" t="s">
        <v>382</v>
      </c>
      <c r="L11" s="210">
        <v>93</v>
      </c>
      <c r="N11" s="66">
        <v>10</v>
      </c>
      <c r="O11" s="212" t="s">
        <v>396</v>
      </c>
      <c r="P11" s="210">
        <v>3</v>
      </c>
      <c r="R11" s="66">
        <v>10</v>
      </c>
      <c r="S11" s="212" t="s">
        <v>388</v>
      </c>
      <c r="T11" s="210">
        <v>13</v>
      </c>
    </row>
    <row r="12" spans="1:20" x14ac:dyDescent="0.25">
      <c r="F12" s="66">
        <v>11</v>
      </c>
      <c r="G12" s="212" t="s">
        <v>355</v>
      </c>
      <c r="H12" s="210" t="s">
        <v>351</v>
      </c>
      <c r="J12" s="66">
        <v>11</v>
      </c>
      <c r="K12" s="220" t="s">
        <v>270</v>
      </c>
      <c r="L12" s="210">
        <v>87</v>
      </c>
      <c r="N12" s="66">
        <v>10</v>
      </c>
      <c r="O12" s="215" t="s">
        <v>418</v>
      </c>
      <c r="P12" s="210">
        <v>3</v>
      </c>
      <c r="R12" s="66">
        <v>10</v>
      </c>
      <c r="S12" s="212" t="s">
        <v>410</v>
      </c>
      <c r="T12" s="210">
        <v>12</v>
      </c>
    </row>
    <row r="13" spans="1:20" x14ac:dyDescent="0.25">
      <c r="F13" s="66">
        <v>12</v>
      </c>
      <c r="G13" s="212" t="s">
        <v>357</v>
      </c>
      <c r="H13" s="210" t="s">
        <v>356</v>
      </c>
      <c r="J13" s="66">
        <v>12</v>
      </c>
      <c r="K13" s="212" t="s">
        <v>368</v>
      </c>
      <c r="L13" s="210">
        <v>83</v>
      </c>
      <c r="N13" s="66">
        <v>12</v>
      </c>
      <c r="O13" s="212" t="s">
        <v>397</v>
      </c>
      <c r="P13" s="210">
        <v>2</v>
      </c>
      <c r="R13" s="66">
        <v>10</v>
      </c>
      <c r="S13" s="219" t="s">
        <v>327</v>
      </c>
      <c r="T13" s="210">
        <v>12</v>
      </c>
    </row>
    <row r="14" spans="1:20" x14ac:dyDescent="0.25">
      <c r="F14" s="66">
        <v>13</v>
      </c>
      <c r="G14" s="212" t="s">
        <v>358</v>
      </c>
      <c r="H14" s="210" t="s">
        <v>356</v>
      </c>
      <c r="J14" s="66">
        <v>13</v>
      </c>
      <c r="K14" s="220" t="s">
        <v>444</v>
      </c>
      <c r="L14" s="210">
        <v>81</v>
      </c>
      <c r="N14" s="66">
        <v>12</v>
      </c>
      <c r="O14" s="219" t="s">
        <v>419</v>
      </c>
      <c r="P14" s="218">
        <v>2</v>
      </c>
      <c r="R14" s="66">
        <v>13</v>
      </c>
      <c r="S14" s="212" t="s">
        <v>411</v>
      </c>
      <c r="T14" s="210">
        <v>11</v>
      </c>
    </row>
    <row r="15" spans="1:20" x14ac:dyDescent="0.25">
      <c r="F15" s="66">
        <v>14</v>
      </c>
      <c r="G15" s="212" t="s">
        <v>359</v>
      </c>
      <c r="H15" s="210" t="s">
        <v>356</v>
      </c>
      <c r="J15" s="66">
        <v>14</v>
      </c>
      <c r="K15" s="212" t="s">
        <v>369</v>
      </c>
      <c r="L15" s="210">
        <v>78</v>
      </c>
      <c r="N15" s="66">
        <v>14</v>
      </c>
      <c r="O15" s="212" t="s">
        <v>398</v>
      </c>
      <c r="P15" s="210">
        <v>1</v>
      </c>
      <c r="R15" s="66">
        <v>13</v>
      </c>
      <c r="S15" s="212" t="s">
        <v>392</v>
      </c>
      <c r="T15" s="210">
        <v>11</v>
      </c>
    </row>
    <row r="16" spans="1:20" x14ac:dyDescent="0.25">
      <c r="F16" s="66">
        <v>15</v>
      </c>
      <c r="G16" s="212" t="s">
        <v>360</v>
      </c>
      <c r="H16" s="210" t="s">
        <v>356</v>
      </c>
      <c r="J16" s="66">
        <v>15</v>
      </c>
      <c r="K16" s="220" t="s">
        <v>275</v>
      </c>
      <c r="L16" s="210">
        <v>77</v>
      </c>
      <c r="N16" s="66">
        <v>14</v>
      </c>
      <c r="O16" s="212" t="s">
        <v>399</v>
      </c>
      <c r="P16" s="210">
        <v>1</v>
      </c>
      <c r="R16" s="66">
        <v>14</v>
      </c>
      <c r="S16" s="212" t="s">
        <v>412</v>
      </c>
      <c r="T16" s="210">
        <v>8</v>
      </c>
    </row>
    <row r="17" spans="6:20" x14ac:dyDescent="0.25">
      <c r="F17" s="66">
        <v>16</v>
      </c>
      <c r="G17" s="212" t="s">
        <v>361</v>
      </c>
      <c r="H17" s="210" t="s">
        <v>356</v>
      </c>
      <c r="J17" s="66">
        <v>16</v>
      </c>
      <c r="K17" s="220" t="s">
        <v>445</v>
      </c>
      <c r="L17" s="210">
        <v>75</v>
      </c>
      <c r="N17" s="66">
        <v>14</v>
      </c>
      <c r="O17" s="212" t="s">
        <v>400</v>
      </c>
      <c r="P17" s="210">
        <v>1</v>
      </c>
      <c r="R17" s="66">
        <v>14</v>
      </c>
      <c r="S17" s="212" t="s">
        <v>413</v>
      </c>
      <c r="T17" s="210">
        <v>8</v>
      </c>
    </row>
    <row r="18" spans="6:20" x14ac:dyDescent="0.25">
      <c r="F18" s="66">
        <v>17</v>
      </c>
      <c r="G18" s="212" t="s">
        <v>363</v>
      </c>
      <c r="H18" s="210" t="s">
        <v>362</v>
      </c>
      <c r="J18" s="66">
        <v>17</v>
      </c>
      <c r="K18" s="236" t="s">
        <v>329</v>
      </c>
      <c r="L18" s="210">
        <v>75</v>
      </c>
      <c r="N18" s="66">
        <v>14</v>
      </c>
      <c r="O18" s="212" t="s">
        <v>401</v>
      </c>
      <c r="P18" s="210">
        <v>1</v>
      </c>
      <c r="R18" s="66">
        <v>14</v>
      </c>
      <c r="S18" s="212" t="s">
        <v>387</v>
      </c>
      <c r="T18" s="210">
        <v>8</v>
      </c>
    </row>
    <row r="19" spans="6:20" x14ac:dyDescent="0.25">
      <c r="F19" s="66">
        <v>18</v>
      </c>
      <c r="G19" s="212" t="s">
        <v>364</v>
      </c>
      <c r="H19" s="210" t="s">
        <v>362</v>
      </c>
      <c r="J19" s="66">
        <v>18</v>
      </c>
      <c r="K19" s="212" t="s">
        <v>359</v>
      </c>
      <c r="L19" s="210">
        <v>67</v>
      </c>
      <c r="N19" s="66">
        <v>14</v>
      </c>
      <c r="O19" s="212" t="s">
        <v>402</v>
      </c>
      <c r="P19" s="210">
        <v>1</v>
      </c>
      <c r="R19" s="66">
        <v>17</v>
      </c>
      <c r="S19" s="212" t="s">
        <v>414</v>
      </c>
      <c r="T19" s="210">
        <v>7</v>
      </c>
    </row>
    <row r="20" spans="6:20" x14ac:dyDescent="0.25">
      <c r="F20" s="66">
        <v>19</v>
      </c>
      <c r="G20" s="212" t="s">
        <v>365</v>
      </c>
      <c r="H20" s="210" t="s">
        <v>362</v>
      </c>
      <c r="J20" s="66">
        <v>19</v>
      </c>
      <c r="K20" s="212" t="s">
        <v>346</v>
      </c>
      <c r="L20" s="210">
        <v>64</v>
      </c>
      <c r="N20" s="66">
        <v>14</v>
      </c>
      <c r="O20" s="212" t="s">
        <v>403</v>
      </c>
      <c r="P20" s="210">
        <v>1</v>
      </c>
      <c r="R20" s="66">
        <v>17</v>
      </c>
      <c r="S20" s="212" t="s">
        <v>415</v>
      </c>
      <c r="T20" s="210">
        <v>7</v>
      </c>
    </row>
    <row r="21" spans="6:20" x14ac:dyDescent="0.25">
      <c r="F21" s="66">
        <v>20</v>
      </c>
      <c r="G21" s="212" t="s">
        <v>366</v>
      </c>
      <c r="H21" s="210" t="s">
        <v>362</v>
      </c>
      <c r="J21" s="66">
        <v>20</v>
      </c>
      <c r="K21" s="212" t="s">
        <v>370</v>
      </c>
      <c r="L21" s="210">
        <v>60</v>
      </c>
      <c r="N21" s="66">
        <v>14</v>
      </c>
      <c r="O21" s="212" t="s">
        <v>404</v>
      </c>
      <c r="P21" s="210">
        <v>1</v>
      </c>
      <c r="R21" s="66">
        <v>19</v>
      </c>
      <c r="S21" s="212" t="s">
        <v>416</v>
      </c>
      <c r="T21" s="210">
        <v>6</v>
      </c>
    </row>
    <row r="22" spans="6:20" x14ac:dyDescent="0.25">
      <c r="F22" s="66">
        <v>21</v>
      </c>
      <c r="G22" s="212" t="s">
        <v>367</v>
      </c>
      <c r="H22" s="210" t="s">
        <v>362</v>
      </c>
      <c r="J22" s="66">
        <v>20</v>
      </c>
      <c r="K22" s="212" t="s">
        <v>360</v>
      </c>
      <c r="L22" s="210">
        <v>60</v>
      </c>
      <c r="N22" s="66">
        <v>14</v>
      </c>
      <c r="O22" s="212" t="s">
        <v>405</v>
      </c>
      <c r="P22" s="210">
        <v>1</v>
      </c>
      <c r="R22" s="66">
        <v>19</v>
      </c>
      <c r="S22" s="212" t="s">
        <v>417</v>
      </c>
      <c r="T22" s="210">
        <v>6</v>
      </c>
    </row>
    <row r="23" spans="6:20" x14ac:dyDescent="0.25">
      <c r="F23" s="66">
        <v>22</v>
      </c>
      <c r="G23" s="212" t="s">
        <v>368</v>
      </c>
      <c r="H23" s="210" t="s">
        <v>362</v>
      </c>
      <c r="J23" s="66">
        <v>22</v>
      </c>
      <c r="K23" s="212" t="s">
        <v>384</v>
      </c>
      <c r="L23" s="210">
        <v>58</v>
      </c>
      <c r="N23" s="66">
        <v>14</v>
      </c>
      <c r="O23" s="212" t="s">
        <v>406</v>
      </c>
      <c r="P23" s="210">
        <v>1</v>
      </c>
      <c r="R23" s="66">
        <v>19</v>
      </c>
      <c r="S23" s="212" t="s">
        <v>383</v>
      </c>
      <c r="T23" s="210">
        <v>6</v>
      </c>
    </row>
    <row r="24" spans="6:20" x14ac:dyDescent="0.25">
      <c r="F24" s="66">
        <v>23</v>
      </c>
      <c r="G24" s="212" t="s">
        <v>369</v>
      </c>
      <c r="H24" s="210" t="s">
        <v>362</v>
      </c>
      <c r="J24" s="66">
        <v>23</v>
      </c>
      <c r="K24" s="212" t="s">
        <v>385</v>
      </c>
      <c r="L24" s="210">
        <v>57</v>
      </c>
      <c r="N24" s="66">
        <v>14</v>
      </c>
      <c r="O24" s="212" t="s">
        <v>407</v>
      </c>
      <c r="P24" s="210">
        <v>1</v>
      </c>
      <c r="R24" s="66">
        <v>19</v>
      </c>
      <c r="S24" s="220" t="s">
        <v>448</v>
      </c>
      <c r="T24" s="237">
        <v>6</v>
      </c>
    </row>
    <row r="25" spans="6:20" x14ac:dyDescent="0.25">
      <c r="F25" s="66">
        <v>24</v>
      </c>
      <c r="G25" s="212" t="s">
        <v>370</v>
      </c>
      <c r="H25" s="210" t="s">
        <v>362</v>
      </c>
      <c r="J25" s="66">
        <v>23</v>
      </c>
      <c r="K25" s="212" t="s">
        <v>340</v>
      </c>
      <c r="L25" s="210">
        <v>57</v>
      </c>
      <c r="N25" s="66">
        <v>14</v>
      </c>
      <c r="O25" s="215" t="s">
        <v>446</v>
      </c>
      <c r="P25" s="210">
        <v>1</v>
      </c>
    </row>
    <row r="26" spans="6:20" x14ac:dyDescent="0.25">
      <c r="F26" s="66">
        <v>25</v>
      </c>
      <c r="G26" s="212" t="s">
        <v>371</v>
      </c>
      <c r="H26" s="210" t="s">
        <v>362</v>
      </c>
      <c r="J26" s="66">
        <v>25</v>
      </c>
      <c r="K26" s="212" t="s">
        <v>386</v>
      </c>
      <c r="L26" s="210">
        <v>56</v>
      </c>
      <c r="O26" s="110"/>
      <c r="P26" s="210"/>
    </row>
    <row r="27" spans="6:20" x14ac:dyDescent="0.25">
      <c r="F27" s="66">
        <v>26</v>
      </c>
      <c r="G27" s="212" t="s">
        <v>372</v>
      </c>
      <c r="H27" s="210" t="s">
        <v>362</v>
      </c>
      <c r="J27" s="66">
        <v>26</v>
      </c>
      <c r="K27" s="212" t="s">
        <v>364</v>
      </c>
      <c r="L27" s="210">
        <v>56</v>
      </c>
      <c r="O27" s="110"/>
      <c r="P27" s="210"/>
    </row>
    <row r="28" spans="6:20" x14ac:dyDescent="0.25">
      <c r="F28" s="66">
        <v>27</v>
      </c>
      <c r="G28" s="212" t="s">
        <v>373</v>
      </c>
      <c r="H28" s="210" t="s">
        <v>362</v>
      </c>
      <c r="J28" s="66">
        <v>27</v>
      </c>
      <c r="K28" s="212" t="s">
        <v>349</v>
      </c>
      <c r="L28" s="210">
        <v>54</v>
      </c>
      <c r="O28" s="110"/>
      <c r="P28" s="210"/>
    </row>
    <row r="29" spans="6:20" x14ac:dyDescent="0.25">
      <c r="F29" s="66">
        <v>28</v>
      </c>
      <c r="G29" s="212" t="s">
        <v>374</v>
      </c>
      <c r="H29" s="210" t="s">
        <v>362</v>
      </c>
      <c r="J29" s="66">
        <v>28</v>
      </c>
      <c r="K29" s="235" t="s">
        <v>426</v>
      </c>
      <c r="L29" s="221">
        <v>52</v>
      </c>
      <c r="O29" s="110"/>
      <c r="P29" s="210"/>
    </row>
    <row r="30" spans="6:20" x14ac:dyDescent="0.25">
      <c r="F30" s="66">
        <v>29</v>
      </c>
      <c r="G30" s="212" t="s">
        <v>375</v>
      </c>
      <c r="H30" s="210" t="s">
        <v>362</v>
      </c>
      <c r="J30" s="66">
        <v>29</v>
      </c>
      <c r="K30" s="212" t="s">
        <v>373</v>
      </c>
      <c r="L30" s="210">
        <v>51</v>
      </c>
      <c r="O30" s="110"/>
      <c r="P30" s="210"/>
    </row>
    <row r="31" spans="6:20" x14ac:dyDescent="0.25">
      <c r="F31" s="66">
        <v>30</v>
      </c>
      <c r="G31" s="212" t="s">
        <v>376</v>
      </c>
      <c r="H31" s="210" t="s">
        <v>362</v>
      </c>
      <c r="J31" s="66">
        <v>29</v>
      </c>
      <c r="K31" s="212" t="s">
        <v>387</v>
      </c>
      <c r="L31" s="210">
        <v>51</v>
      </c>
      <c r="O31" s="110"/>
      <c r="P31" s="210"/>
    </row>
    <row r="32" spans="6:20" x14ac:dyDescent="0.25">
      <c r="J32"/>
    </row>
  </sheetData>
  <mergeCells count="4">
    <mergeCell ref="G1:H1"/>
    <mergeCell ref="K1:L1"/>
    <mergeCell ref="O1:P1"/>
    <mergeCell ref="S1:T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55AEB-9B8E-41CD-9B4A-A4779F3B6E5A}">
  <dimension ref="A1:T28"/>
  <sheetViews>
    <sheetView workbookViewId="0">
      <selection activeCell="J13" sqref="J13"/>
    </sheetView>
  </sheetViews>
  <sheetFormatPr baseColWidth="10" defaultRowHeight="15" x14ac:dyDescent="0.25"/>
  <cols>
    <col min="1" max="1" width="19" customWidth="1"/>
    <col min="2" max="3" width="4.5703125" bestFit="1" customWidth="1"/>
    <col min="4" max="4" width="5.85546875" bestFit="1" customWidth="1"/>
    <col min="5" max="5" width="4.5703125" bestFit="1" customWidth="1"/>
    <col min="6" max="6" width="4.85546875" bestFit="1" customWidth="1"/>
    <col min="8" max="8" width="18" bestFit="1" customWidth="1"/>
    <col min="9" max="10" width="4.5703125" bestFit="1" customWidth="1"/>
    <col min="11" max="11" width="7.7109375" bestFit="1" customWidth="1"/>
    <col min="12" max="13" width="6.28515625" bestFit="1" customWidth="1"/>
    <col min="15" max="15" width="18" bestFit="1" customWidth="1"/>
    <col min="16" max="16" width="4.5703125" bestFit="1" customWidth="1"/>
    <col min="17" max="17" width="4.42578125" bestFit="1" customWidth="1"/>
    <col min="18" max="18" width="7.7109375" bestFit="1" customWidth="1"/>
    <col min="19" max="20" width="6.28515625" bestFit="1" customWidth="1"/>
  </cols>
  <sheetData>
    <row r="1" spans="1:20" x14ac:dyDescent="0.25">
      <c r="A1" s="250" t="s">
        <v>3</v>
      </c>
      <c r="B1" s="250" t="s">
        <v>29</v>
      </c>
      <c r="C1" s="250" t="s">
        <v>87</v>
      </c>
      <c r="D1" s="251" t="s">
        <v>453</v>
      </c>
      <c r="E1" s="251" t="s">
        <v>294</v>
      </c>
      <c r="F1" s="251" t="s">
        <v>295</v>
      </c>
      <c r="H1" s="250" t="s">
        <v>454</v>
      </c>
      <c r="I1" s="250" t="s">
        <v>29</v>
      </c>
      <c r="J1" s="250" t="s">
        <v>87</v>
      </c>
      <c r="K1" s="250" t="str">
        <f>D1</f>
        <v>N_CA</v>
      </c>
      <c r="L1" s="251" t="s">
        <v>294</v>
      </c>
      <c r="M1" s="251" t="s">
        <v>295</v>
      </c>
      <c r="O1" s="250" t="s">
        <v>454</v>
      </c>
      <c r="P1" s="250" t="s">
        <v>29</v>
      </c>
      <c r="Q1" s="250" t="s">
        <v>87</v>
      </c>
      <c r="R1" s="250" t="str">
        <f>K1</f>
        <v>N_CA</v>
      </c>
      <c r="S1" s="251" t="s">
        <v>294</v>
      </c>
      <c r="T1" s="251" t="s">
        <v>295</v>
      </c>
    </row>
    <row r="2" spans="1:20" x14ac:dyDescent="0.25">
      <c r="A2" t="str">
        <f>PLANTILLA!D4</f>
        <v>Cosme Fonteboa</v>
      </c>
      <c r="B2" s="32">
        <f ca="1">PLANTILLA!Y4+PLANTILLA!N4+PLANTILLA!J4</f>
        <v>11.931985384480017</v>
      </c>
      <c r="C2" s="32">
        <f ca="1">PLANTILLA!AB4+PLANTILLA!N4+PLANTILLA!J4</f>
        <v>1.6462710987657314</v>
      </c>
      <c r="D2" s="156">
        <f ca="1">(C2*2+B2)/8</f>
        <v>1.9030659477514349</v>
      </c>
      <c r="E2" s="32">
        <f ca="1">D2*PLANTILLA!R4</f>
        <v>1.4385826360873533</v>
      </c>
      <c r="F2" s="32">
        <f ca="1">D2*PLANTILLA!S4</f>
        <v>1.6067750934909708</v>
      </c>
      <c r="H2" s="37" t="str">
        <f>A6</f>
        <v>Berto Abandero</v>
      </c>
      <c r="I2" s="32">
        <f t="shared" ref="I2:M2" ca="1" si="0">B6</f>
        <v>13.968520026141494</v>
      </c>
      <c r="J2" s="32">
        <f t="shared" ca="1" si="0"/>
        <v>11.604883662505131</v>
      </c>
      <c r="K2" s="37">
        <f t="shared" ca="1" si="0"/>
        <v>4.647285918893969</v>
      </c>
      <c r="L2" s="37">
        <f t="shared" ca="1" si="0"/>
        <v>3.5130179465159221</v>
      </c>
      <c r="M2" s="37">
        <f t="shared" ca="1" si="0"/>
        <v>3.9237438280228401</v>
      </c>
      <c r="O2" t="str">
        <f>A2</f>
        <v>Cosme Fonteboa</v>
      </c>
      <c r="P2" s="32">
        <f ca="1">I2</f>
        <v>13.968520026141494</v>
      </c>
      <c r="Q2" s="32">
        <f ca="1">J2</f>
        <v>11.604883662505131</v>
      </c>
      <c r="R2" s="37">
        <f ca="1">D2</f>
        <v>1.9030659477514349</v>
      </c>
      <c r="S2" s="37">
        <f ca="1">E2</f>
        <v>1.4385826360873533</v>
      </c>
      <c r="T2" s="37">
        <f ca="1">F2</f>
        <v>1.6067750934909708</v>
      </c>
    </row>
    <row r="3" spans="1:20" x14ac:dyDescent="0.25">
      <c r="A3" t="str">
        <f>PLANTILLA!D5</f>
        <v>Nicolae Hornet</v>
      </c>
      <c r="B3" s="32">
        <f ca="1">PLANTILLA!Y5+PLANTILLA!N5+PLANTILLA!J5</f>
        <v>5.1948373809043176</v>
      </c>
      <c r="C3" s="32">
        <f ca="1">PLANTILLA!AB5+PLANTILLA!N5+PLANTILLA!J5</f>
        <v>1.1948373809043173</v>
      </c>
      <c r="D3" s="156">
        <f t="shared" ref="D3:D19" ca="1" si="1">(C3*2+B3)/8</f>
        <v>0.94806401783911909</v>
      </c>
      <c r="E3" s="32">
        <f ca="1">D3*PLANTILLA!R5</f>
        <v>0.87773672358657917</v>
      </c>
      <c r="F3" s="32">
        <f ca="1">D3*PLANTILLA!S5</f>
        <v>0.94738658722897595</v>
      </c>
      <c r="H3" s="37" t="str">
        <f>A7</f>
        <v>Guillermo Pedrajas</v>
      </c>
      <c r="I3" s="32">
        <f t="shared" ref="I3:M3" ca="1" si="2">B7</f>
        <v>11.833850009519209</v>
      </c>
      <c r="J3" s="32">
        <f t="shared" ca="1" si="2"/>
        <v>10.611627787296987</v>
      </c>
      <c r="K3" s="37">
        <f t="shared" ca="1" si="2"/>
        <v>4.1321381980141476</v>
      </c>
      <c r="L3" s="37">
        <f t="shared" ca="1" si="2"/>
        <v>3.8256165987594288</v>
      </c>
      <c r="M3" s="37">
        <f t="shared" ca="1" si="2"/>
        <v>4.1291856158593507</v>
      </c>
      <c r="O3" t="str">
        <f>A7</f>
        <v>Guillermo Pedrajas</v>
      </c>
      <c r="P3" s="32">
        <f t="shared" ref="P3:P5" ca="1" si="3">I3</f>
        <v>11.833850009519209</v>
      </c>
      <c r="Q3" s="32">
        <f t="shared" ref="Q3:Q5" ca="1" si="4">J3</f>
        <v>10.611627787296987</v>
      </c>
      <c r="R3" s="37">
        <f ca="1">D7</f>
        <v>4.1321381980141476</v>
      </c>
      <c r="S3" s="37">
        <f ca="1">E7</f>
        <v>3.8256165987594288</v>
      </c>
      <c r="T3" s="37">
        <f ca="1">F7</f>
        <v>4.1291856158593507</v>
      </c>
    </row>
    <row r="4" spans="1:20" x14ac:dyDescent="0.25">
      <c r="A4" t="str">
        <f>PLANTILLA!D6</f>
        <v>Miguel Fernández</v>
      </c>
      <c r="B4" s="32">
        <f ca="1">PLANTILLA!Y6+PLANTILLA!N6+PLANTILLA!J6</f>
        <v>15.859563260861844</v>
      </c>
      <c r="C4" s="32">
        <f ca="1">PLANTILLA!AB6+PLANTILLA!N6+PLANTILLA!J6</f>
        <v>6.3595632608618438</v>
      </c>
      <c r="D4" s="156">
        <f t="shared" ca="1" si="1"/>
        <v>3.5723362228231914</v>
      </c>
      <c r="E4" s="32">
        <f ca="1">D4*PLANTILLA!R6</f>
        <v>2.7004323557422816</v>
      </c>
      <c r="F4" s="32">
        <f ca="1">D4*PLANTILLA!S6</f>
        <v>3.0161544717827224</v>
      </c>
      <c r="H4" t="str">
        <f>A10</f>
        <v>Will Duffill</v>
      </c>
      <c r="I4" s="32">
        <f t="shared" ref="I4:M4" ca="1" si="5">B10</f>
        <v>12.402427625292438</v>
      </c>
      <c r="J4" s="32">
        <f t="shared" ca="1" si="5"/>
        <v>8.8309990538638665</v>
      </c>
      <c r="K4" s="37">
        <f t="shared" ca="1" si="5"/>
        <v>3.7580532166275216</v>
      </c>
      <c r="L4" s="37">
        <f t="shared" ca="1" si="5"/>
        <v>3.1761346655289375</v>
      </c>
      <c r="M4" s="37">
        <f t="shared" ca="1" si="5"/>
        <v>3.476380593873805</v>
      </c>
      <c r="O4" t="str">
        <f t="shared" ref="O4" si="6">A4</f>
        <v>Miguel Fernández</v>
      </c>
      <c r="P4" s="32">
        <f t="shared" ca="1" si="3"/>
        <v>12.402427625292438</v>
      </c>
      <c r="Q4" s="32">
        <f t="shared" ca="1" si="4"/>
        <v>8.8309990538638665</v>
      </c>
      <c r="R4" s="37">
        <f ca="1">D4</f>
        <v>3.5723362228231914</v>
      </c>
      <c r="S4" s="37">
        <f ca="1">E4</f>
        <v>2.7004323557422816</v>
      </c>
      <c r="T4" s="37">
        <f ca="1">F4</f>
        <v>3.0161544717827224</v>
      </c>
    </row>
    <row r="5" spans="1:20" x14ac:dyDescent="0.25">
      <c r="A5" t="str">
        <f>PLANTILLA!D7</f>
        <v>Iván Real Figueroa</v>
      </c>
      <c r="B5" s="32">
        <f ca="1">PLANTILLA!Y7+PLANTILLA!N7+PLANTILLA!J7</f>
        <v>15.952878017619961</v>
      </c>
      <c r="C5" s="32">
        <f ca="1">PLANTILLA!AB7+PLANTILLA!N7+PLANTILLA!J7</f>
        <v>6.5153780176199616</v>
      </c>
      <c r="D5" s="156">
        <f t="shared" ca="1" si="1"/>
        <v>3.6229542566074855</v>
      </c>
      <c r="E5" s="32">
        <f ca="1">D5*PLANTILLA!R7</f>
        <v>3.0619552046586063</v>
      </c>
      <c r="F5" s="32">
        <f ca="1">D5*PLANTILLA!S7</f>
        <v>3.3514075358052833</v>
      </c>
      <c r="H5" s="37" t="str">
        <f>A5</f>
        <v>Iván Real Figueroa</v>
      </c>
      <c r="I5" s="32">
        <f t="shared" ref="I5:M5" ca="1" si="7">B5</f>
        <v>15.952878017619961</v>
      </c>
      <c r="J5" s="32">
        <f t="shared" ca="1" si="7"/>
        <v>6.5153780176199616</v>
      </c>
      <c r="K5" s="37">
        <f t="shared" ca="1" si="7"/>
        <v>3.6229542566074855</v>
      </c>
      <c r="L5" s="37">
        <f t="shared" ca="1" si="7"/>
        <v>3.0619552046586063</v>
      </c>
      <c r="M5" s="37">
        <f t="shared" ca="1" si="7"/>
        <v>3.3514075358052833</v>
      </c>
      <c r="O5" s="37" t="str">
        <f>H5</f>
        <v>Iván Real Figueroa</v>
      </c>
      <c r="P5" s="32">
        <f t="shared" ca="1" si="3"/>
        <v>15.952878017619961</v>
      </c>
      <c r="Q5" s="32">
        <f t="shared" ca="1" si="4"/>
        <v>6.5153780176199616</v>
      </c>
      <c r="R5" s="37">
        <f ca="1">K5</f>
        <v>3.6229542566074855</v>
      </c>
      <c r="S5" s="37">
        <f ca="1">L5</f>
        <v>3.0619552046586063</v>
      </c>
      <c r="T5" s="37">
        <f ca="1">M5</f>
        <v>3.3514075358052833</v>
      </c>
    </row>
    <row r="6" spans="1:20" x14ac:dyDescent="0.25">
      <c r="A6" t="str">
        <f>PLANTILLA!D8</f>
        <v>Berto Abandero</v>
      </c>
      <c r="B6" s="32">
        <f ca="1">PLANTILLA!Y8+PLANTILLA!N8+PLANTILLA!J8</f>
        <v>13.968520026141494</v>
      </c>
      <c r="C6" s="32">
        <f ca="1">PLANTILLA!AB8+PLANTILLA!N8+PLANTILLA!J8</f>
        <v>11.604883662505131</v>
      </c>
      <c r="D6" s="156">
        <f t="shared" ca="1" si="1"/>
        <v>4.647285918893969</v>
      </c>
      <c r="E6" s="32">
        <f ca="1">D6*PLANTILLA!R8</f>
        <v>3.5130179465159221</v>
      </c>
      <c r="F6" s="32">
        <f ca="1">D6*PLANTILLA!S8</f>
        <v>3.9237438280228401</v>
      </c>
      <c r="H6" t="str">
        <f>A4</f>
        <v>Miguel Fernández</v>
      </c>
      <c r="I6" s="32">
        <f t="shared" ref="I6:M6" ca="1" si="8">B4</f>
        <v>15.859563260861844</v>
      </c>
      <c r="J6" s="32">
        <f t="shared" ca="1" si="8"/>
        <v>6.3595632608618438</v>
      </c>
      <c r="K6" s="37">
        <f t="shared" ca="1" si="8"/>
        <v>3.5723362228231914</v>
      </c>
      <c r="L6" s="37">
        <f t="shared" ca="1" si="8"/>
        <v>2.7004323557422816</v>
      </c>
      <c r="M6" s="37">
        <f t="shared" ca="1" si="8"/>
        <v>3.0161544717827224</v>
      </c>
      <c r="R6" s="37"/>
      <c r="S6" s="32"/>
      <c r="T6" s="32"/>
    </row>
    <row r="7" spans="1:20" ht="18.75" x14ac:dyDescent="0.3">
      <c r="A7" t="str">
        <f>PLANTILLA!D9</f>
        <v>Guillermo Pedrajas</v>
      </c>
      <c r="B7" s="32">
        <f ca="1">PLANTILLA!Y9+PLANTILLA!N9+PLANTILLA!J9</f>
        <v>11.833850009519209</v>
      </c>
      <c r="C7" s="32">
        <f ca="1">PLANTILLA!AB9+PLANTILLA!N9+PLANTILLA!J9</f>
        <v>10.611627787296987</v>
      </c>
      <c r="D7" s="156">
        <f t="shared" ca="1" si="1"/>
        <v>4.1321381980141476</v>
      </c>
      <c r="E7" s="32">
        <f ca="1">D7*PLANTILLA!R9</f>
        <v>3.8256165987594288</v>
      </c>
      <c r="F7" s="32">
        <f ca="1">D7*PLANTILLA!S9</f>
        <v>4.1291856158593507</v>
      </c>
      <c r="K7" s="252">
        <f ca="1">SUM(K2:K6)</f>
        <v>19.732767812966319</v>
      </c>
      <c r="L7" s="252">
        <f t="shared" ref="L7:M7" ca="1" si="9">SUM(L2:L6)</f>
        <v>16.277156771205178</v>
      </c>
      <c r="M7" s="252">
        <f t="shared" ca="1" si="9"/>
        <v>17.896872045344001</v>
      </c>
      <c r="N7" s="252"/>
      <c r="O7" s="252"/>
      <c r="P7" s="252"/>
      <c r="Q7" s="252"/>
      <c r="R7" s="252">
        <f ca="1">SUM(R2:R6)</f>
        <v>13.230494625196259</v>
      </c>
      <c r="S7" s="252">
        <f t="shared" ref="S7:T7" ca="1" si="10">SUM(S2:S6)</f>
        <v>11.026586795247669</v>
      </c>
      <c r="T7" s="252">
        <f t="shared" ca="1" si="10"/>
        <v>12.103522716938325</v>
      </c>
    </row>
    <row r="8" spans="1:20" x14ac:dyDescent="0.25">
      <c r="A8" t="str">
        <f>PLANTILLA!D10</f>
        <v>Eckardt Hägerling</v>
      </c>
      <c r="B8" s="32">
        <f ca="1">PLANTILLA!Y10+PLANTILLA!N10+PLANTILLA!J10</f>
        <v>7.4565635744296088</v>
      </c>
      <c r="C8" s="32">
        <f ca="1">PLANTILLA!AB10+PLANTILLA!N10+PLANTILLA!J10</f>
        <v>4.4565635744296088</v>
      </c>
      <c r="D8" s="156">
        <f t="shared" ca="1" si="1"/>
        <v>2.0462113404111033</v>
      </c>
      <c r="E8" s="32">
        <f ca="1">D8*PLANTILLA!R10</f>
        <v>1.7293642204221849</v>
      </c>
      <c r="F8" s="32">
        <f ca="1">D8*PLANTILLA!S10</f>
        <v>1.8928442426776602</v>
      </c>
      <c r="L8" s="115">
        <f ca="1">(K7-L7)/K7</f>
        <v>0.17512044303741686</v>
      </c>
      <c r="M8" s="115">
        <f ca="1">(K7-M7)/K7</f>
        <v>9.3037924787011325E-2</v>
      </c>
      <c r="R8" s="37"/>
    </row>
    <row r="9" spans="1:20" x14ac:dyDescent="0.25">
      <c r="A9" t="str">
        <f>PLANTILLA!D11</f>
        <v>Francesc Añigas</v>
      </c>
      <c r="B9" s="32">
        <f ca="1">PLANTILLA!Y11+PLANTILLA!N11+PLANTILLA!J11</f>
        <v>13.372600697848537</v>
      </c>
      <c r="C9" s="32">
        <f ca="1">PLANTILLA!AB11+PLANTILLA!N11+PLANTILLA!J11</f>
        <v>6.0670451422929803</v>
      </c>
      <c r="D9" s="156">
        <f t="shared" ca="1" si="1"/>
        <v>3.1883363728043124</v>
      </c>
      <c r="E9" s="32">
        <f ca="1">D9*PLANTILLA!R11</f>
        <v>3.1883363728043124</v>
      </c>
      <c r="F9" s="32">
        <f ca="1">D9*PLANTILLA!S11</f>
        <v>3.1883363728043124</v>
      </c>
    </row>
    <row r="10" spans="1:20" x14ac:dyDescent="0.25">
      <c r="A10" t="str">
        <f>PLANTILLA!D12</f>
        <v>Will Duffill</v>
      </c>
      <c r="B10" s="32">
        <f ca="1">PLANTILLA!Y12+PLANTILLA!N12+PLANTILLA!J12</f>
        <v>12.402427625292438</v>
      </c>
      <c r="C10" s="32">
        <f ca="1">PLANTILLA!AB12+PLANTILLA!N12+PLANTILLA!J12</f>
        <v>8.8309990538638665</v>
      </c>
      <c r="D10" s="156">
        <f t="shared" ca="1" si="1"/>
        <v>3.7580532166275216</v>
      </c>
      <c r="E10" s="32">
        <f ca="1">D10*PLANTILLA!R12</f>
        <v>3.1761346655289375</v>
      </c>
      <c r="F10" s="32">
        <f ca="1">D10*PLANTILLA!S12</f>
        <v>3.476380593873805</v>
      </c>
      <c r="H10" s="37"/>
      <c r="I10" s="37"/>
      <c r="J10" s="37"/>
    </row>
    <row r="11" spans="1:20" x14ac:dyDescent="0.25">
      <c r="A11" t="str">
        <f>PLANTILLA!D13</f>
        <v>Valeri Gomis</v>
      </c>
      <c r="B11" s="32">
        <f ca="1">PLANTILLA!Y13+PLANTILLA!N13+PLANTILLA!J13</f>
        <v>11.973856196721009</v>
      </c>
      <c r="C11" s="32">
        <f ca="1">PLANTILLA!AB13+PLANTILLA!N13+PLANTILLA!J13</f>
        <v>7.8309990538638683</v>
      </c>
      <c r="D11" s="156">
        <f t="shared" ca="1" si="1"/>
        <v>3.4544817880560932</v>
      </c>
      <c r="E11" s="32">
        <f ca="1">D11*PLANTILLA!R13</f>
        <v>2.6113427770851882</v>
      </c>
      <c r="F11" s="32">
        <f ca="1">D11*PLANTILLA!S13</f>
        <v>2.9166489498301202</v>
      </c>
    </row>
    <row r="12" spans="1:20" x14ac:dyDescent="0.25">
      <c r="A12" t="str">
        <f>PLANTILLA!D14</f>
        <v>Enrique Cubas</v>
      </c>
      <c r="B12" s="32">
        <f>PLANTILLA!Y14+PLANTILLA!N14+PLANTILLA!J14</f>
        <v>10.983677108908765</v>
      </c>
      <c r="C12" s="32">
        <f>PLANTILLA!AB14+PLANTILLA!N14+PLANTILLA!J14</f>
        <v>8.3836771089087652</v>
      </c>
      <c r="D12" s="156">
        <f t="shared" si="1"/>
        <v>3.4688789158407869</v>
      </c>
      <c r="E12" s="32">
        <f>D12*PLANTILLA!R14</f>
        <v>3.4688789158407869</v>
      </c>
      <c r="F12" s="32">
        <f>D12*PLANTILLA!S14</f>
        <v>3.4688789158407869</v>
      </c>
      <c r="H12" s="250" t="s">
        <v>454</v>
      </c>
      <c r="I12" s="250" t="s">
        <v>29</v>
      </c>
      <c r="J12" s="250" t="s">
        <v>87</v>
      </c>
      <c r="K12" s="250">
        <f>D12</f>
        <v>3.4688789158407869</v>
      </c>
      <c r="L12" s="251" t="s">
        <v>294</v>
      </c>
      <c r="M12" s="251" t="s">
        <v>295</v>
      </c>
      <c r="O12" s="250" t="s">
        <v>454</v>
      </c>
      <c r="P12" s="250" t="s">
        <v>29</v>
      </c>
      <c r="Q12" s="250" t="s">
        <v>87</v>
      </c>
      <c r="R12" s="250">
        <f>K12</f>
        <v>3.4688789158407869</v>
      </c>
      <c r="S12" s="251" t="s">
        <v>294</v>
      </c>
      <c r="T12" s="251" t="s">
        <v>295</v>
      </c>
    </row>
    <row r="13" spans="1:20" x14ac:dyDescent="0.25">
      <c r="A13" t="str">
        <f>PLANTILLA!D15</f>
        <v>J. G. Peñuela</v>
      </c>
      <c r="B13" s="32">
        <f ca="1">PLANTILLA!Y15+PLANTILLA!N15+PLANTILLA!J15</f>
        <v>10.945603797961093</v>
      </c>
      <c r="C13" s="32">
        <f ca="1">PLANTILLA!AB15+PLANTILLA!N15+PLANTILLA!J15</f>
        <v>6.8027466551039497</v>
      </c>
      <c r="D13" s="156">
        <f t="shared" ca="1" si="1"/>
        <v>3.068887138521124</v>
      </c>
      <c r="E13" s="32">
        <f ca="1">D13*PLANTILLA!R15</f>
        <v>2.5936830224027503</v>
      </c>
      <c r="F13" s="32">
        <f ca="1">D13*PLANTILLA!S15</f>
        <v>2.8388687115819424</v>
      </c>
      <c r="H13" s="37" t="str">
        <f>H2</f>
        <v>Berto Abandero</v>
      </c>
      <c r="I13" s="32">
        <f ca="1">I2+0.8</f>
        <v>14.768520026141495</v>
      </c>
      <c r="J13" s="32">
        <f ca="1">J2+3</f>
        <v>14.604883662505131</v>
      </c>
      <c r="K13" s="37">
        <f ca="1">(J13*2+I13)/8</f>
        <v>5.4972859188939696</v>
      </c>
      <c r="L13" s="37">
        <f t="shared" ref="L13:L14" ca="1" si="11">E17</f>
        <v>2.3181074527240306</v>
      </c>
      <c r="M13" s="37">
        <f t="shared" ref="M13:M14" ca="1" si="12">F17</f>
        <v>2.5891299016392422</v>
      </c>
      <c r="O13" t="str">
        <f>A13</f>
        <v>J. G. Peñuela</v>
      </c>
      <c r="P13" s="32">
        <f ca="1">I13</f>
        <v>14.768520026141495</v>
      </c>
      <c r="Q13" s="32">
        <f ca="1">J13</f>
        <v>14.604883662505131</v>
      </c>
      <c r="R13" s="37">
        <f ca="1">D13</f>
        <v>3.068887138521124</v>
      </c>
      <c r="S13" s="37">
        <f ca="1">E13</f>
        <v>2.5936830224027503</v>
      </c>
      <c r="T13" s="37">
        <f ca="1">F13</f>
        <v>2.8388687115819424</v>
      </c>
    </row>
    <row r="14" spans="1:20" x14ac:dyDescent="0.25">
      <c r="A14" t="str">
        <f>PLANTILLA!D16</f>
        <v>David Garcia-Spiess</v>
      </c>
      <c r="B14" s="32">
        <f ca="1">PLANTILLA!Y16+PLANTILLA!N16+PLANTILLA!J16</f>
        <v>10.902637559529586</v>
      </c>
      <c r="C14" s="32">
        <f ca="1">PLANTILLA!AB16+PLANTILLA!N16+PLANTILLA!J16</f>
        <v>8.9026375595295857</v>
      </c>
      <c r="D14" s="156">
        <f t="shared" ca="1" si="1"/>
        <v>3.5884890848235944</v>
      </c>
      <c r="E14" s="32">
        <f ca="1">D14*PLANTILLA!R16</f>
        <v>3.3222953225440919</v>
      </c>
      <c r="F14" s="32">
        <f ca="1">D14*PLANTILLA!S16</f>
        <v>3.5859249622490821</v>
      </c>
      <c r="H14" s="37" t="str">
        <f t="shared" ref="H14:H17" si="13">H3</f>
        <v>Guillermo Pedrajas</v>
      </c>
      <c r="I14" s="32">
        <f t="shared" ref="I14:I17" ca="1" si="14">I3+0.8</f>
        <v>12.633850009519209</v>
      </c>
      <c r="J14" s="32">
        <f t="shared" ref="J14:J17" ca="1" si="15">J3+3</f>
        <v>13.611627787296987</v>
      </c>
      <c r="K14" s="37">
        <f t="shared" ref="K14:K17" ca="1" si="16">(J14*2+I14)/8</f>
        <v>4.9821381980141481</v>
      </c>
      <c r="L14" s="37">
        <f t="shared" ca="1" si="11"/>
        <v>3.6839764455599511</v>
      </c>
      <c r="M14" s="37">
        <f t="shared" ca="1" si="12"/>
        <v>3.6839764455599511</v>
      </c>
      <c r="O14" t="str">
        <f>A18</f>
        <v>Emilio Rojas</v>
      </c>
      <c r="P14" s="32">
        <f t="shared" ref="P14:P16" ca="1" si="17">I14</f>
        <v>12.633850009519209</v>
      </c>
      <c r="Q14" s="32">
        <f t="shared" ref="Q14:Q16" ca="1" si="18">J14</f>
        <v>13.611627787296987</v>
      </c>
      <c r="R14" s="37">
        <f ca="1">D18</f>
        <v>3.6839764455599511</v>
      </c>
      <c r="S14" s="37">
        <f ca="1">E18</f>
        <v>3.6839764455599511</v>
      </c>
      <c r="T14" s="37">
        <f ca="1">F18</f>
        <v>3.6839764455599511</v>
      </c>
    </row>
    <row r="15" spans="1:20" x14ac:dyDescent="0.25">
      <c r="A15" t="str">
        <f>PLANTILLA!D17</f>
        <v>Fabien Fabre</v>
      </c>
      <c r="B15" s="32">
        <f ca="1">PLANTILLA!Y17+PLANTILLA!N17+PLANTILLA!J17</f>
        <v>6.6709156396910823</v>
      </c>
      <c r="C15" s="32">
        <f ca="1">PLANTILLA!AB17+PLANTILLA!N17+PLANTILLA!J17</f>
        <v>5.6709156396910823</v>
      </c>
      <c r="D15" s="156">
        <f t="shared" ca="1" si="1"/>
        <v>2.251593364884156</v>
      </c>
      <c r="E15" s="32">
        <f ca="1">D15*PLANTILLA!R17</f>
        <v>1.9029437122503416</v>
      </c>
      <c r="F15" s="32">
        <f ca="1">D15*PLANTILLA!S17</f>
        <v>2.0828325273165262</v>
      </c>
      <c r="H15" s="37" t="str">
        <f t="shared" si="13"/>
        <v>Will Duffill</v>
      </c>
      <c r="I15" s="32">
        <f t="shared" ca="1" si="14"/>
        <v>13.202427625292438</v>
      </c>
      <c r="J15" s="32">
        <f t="shared" ca="1" si="15"/>
        <v>11.830999053863867</v>
      </c>
      <c r="K15" s="37">
        <f t="shared" ca="1" si="16"/>
        <v>4.6080532166275212</v>
      </c>
      <c r="L15" s="37">
        <f t="shared" ref="L15" si="19">E21</f>
        <v>0</v>
      </c>
      <c r="M15" s="37">
        <f t="shared" ref="M15" si="20">F21</f>
        <v>0</v>
      </c>
      <c r="O15" t="str">
        <f t="shared" ref="O15" si="21">A15</f>
        <v>Fabien Fabre</v>
      </c>
      <c r="P15" s="32">
        <f t="shared" ca="1" si="17"/>
        <v>13.202427625292438</v>
      </c>
      <c r="Q15" s="32">
        <f t="shared" ca="1" si="18"/>
        <v>11.830999053863867</v>
      </c>
      <c r="R15" s="37">
        <f ca="1">D15</f>
        <v>2.251593364884156</v>
      </c>
      <c r="S15" s="37">
        <f ca="1">E15</f>
        <v>1.9029437122503416</v>
      </c>
      <c r="T15" s="37">
        <f ca="1">F15</f>
        <v>2.0828325273165262</v>
      </c>
    </row>
    <row r="16" spans="1:20" x14ac:dyDescent="0.25">
      <c r="A16" t="str">
        <f>PLANTILLA!D18</f>
        <v>Fernando Gazón</v>
      </c>
      <c r="B16" s="32">
        <f ca="1">PLANTILLA!Y18+PLANTILLA!N18+PLANTILLA!J18</f>
        <v>5.5305866782293833</v>
      </c>
      <c r="C16" s="32">
        <f ca="1">PLANTILLA!AB18+PLANTILLA!N18+PLANTILLA!J18</f>
        <v>5.7805866782293833</v>
      </c>
      <c r="D16" s="156">
        <f t="shared" ca="1" si="1"/>
        <v>2.1364700043360187</v>
      </c>
      <c r="E16" s="32">
        <f ca="1">D16*PLANTILLA!R18</f>
        <v>1.8056467142644386</v>
      </c>
      <c r="F16" s="32">
        <f ca="1">D16*PLANTILLA!S18</f>
        <v>1.9763378628076951</v>
      </c>
      <c r="H16" s="37" t="str">
        <f t="shared" si="13"/>
        <v>Iván Real Figueroa</v>
      </c>
      <c r="I16" s="32">
        <f t="shared" ca="1" si="14"/>
        <v>16.75287801761996</v>
      </c>
      <c r="J16" s="32">
        <f t="shared" ca="1" si="15"/>
        <v>9.5153780176199625</v>
      </c>
      <c r="K16" s="37">
        <f t="shared" ca="1" si="16"/>
        <v>4.4729542566074851</v>
      </c>
      <c r="L16" s="37">
        <f t="shared" ref="L16" ca="1" si="22">E16</f>
        <v>1.8056467142644386</v>
      </c>
      <c r="M16" s="37">
        <f t="shared" ref="M16" ca="1" si="23">F16</f>
        <v>1.9763378628076951</v>
      </c>
      <c r="O16" s="37" t="str">
        <f>H16</f>
        <v>Iván Real Figueroa</v>
      </c>
      <c r="P16" s="32">
        <f t="shared" ca="1" si="17"/>
        <v>16.75287801761996</v>
      </c>
      <c r="Q16" s="32">
        <f t="shared" ca="1" si="18"/>
        <v>9.5153780176199625</v>
      </c>
      <c r="R16" s="37">
        <f ca="1">K16</f>
        <v>4.4729542566074851</v>
      </c>
      <c r="S16" s="37">
        <f ca="1">L16</f>
        <v>1.8056467142644386</v>
      </c>
      <c r="T16" s="37">
        <f ca="1">M16</f>
        <v>1.9763378628076951</v>
      </c>
    </row>
    <row r="17" spans="1:20" x14ac:dyDescent="0.25">
      <c r="A17" t="str">
        <f>PLANTILLA!D19</f>
        <v>Miklós Gábriel</v>
      </c>
      <c r="B17" s="32">
        <f ca="1">PLANTILLA!Y19+PLANTILLA!N19+PLANTILLA!J19</f>
        <v>6.8441811096442695</v>
      </c>
      <c r="C17" s="32">
        <f ca="1">PLANTILLA!AB19+PLANTILLA!N19+PLANTILLA!J19</f>
        <v>8.8441811096442695</v>
      </c>
      <c r="D17" s="156">
        <f t="shared" ca="1" si="1"/>
        <v>3.0665679161166013</v>
      </c>
      <c r="E17" s="32">
        <f ca="1">D17*PLANTILLA!R19</f>
        <v>2.3181074527240306</v>
      </c>
      <c r="F17" s="32">
        <f ca="1">D17*PLANTILLA!S19</f>
        <v>2.5891299016392422</v>
      </c>
      <c r="H17" s="37" t="str">
        <f t="shared" si="13"/>
        <v>Miguel Fernández</v>
      </c>
      <c r="I17" s="32">
        <f t="shared" ca="1" si="14"/>
        <v>16.659563260861844</v>
      </c>
      <c r="J17" s="32">
        <f t="shared" ca="1" si="15"/>
        <v>9.3595632608618438</v>
      </c>
      <c r="K17" s="37">
        <f t="shared" ca="1" si="16"/>
        <v>4.4223362228231915</v>
      </c>
      <c r="L17" s="37">
        <f t="shared" ref="L17" ca="1" si="24">E15</f>
        <v>1.9029437122503416</v>
      </c>
      <c r="M17" s="37">
        <f t="shared" ref="M17" ca="1" si="25">F15</f>
        <v>2.0828325273165262</v>
      </c>
      <c r="R17" s="37"/>
      <c r="S17" s="32"/>
      <c r="T17" s="32"/>
    </row>
    <row r="18" spans="1:20" ht="18.75" x14ac:dyDescent="0.3">
      <c r="A18" t="str">
        <f>PLANTILLA!D20</f>
        <v>Emilio Rojas</v>
      </c>
      <c r="B18" s="32">
        <f ca="1">PLANTILLA!Y20+PLANTILLA!N20+PLANTILLA!J20</f>
        <v>7.8239371881598689</v>
      </c>
      <c r="C18" s="32">
        <f ca="1">PLANTILLA!AB20+PLANTILLA!N20+PLANTILLA!J20</f>
        <v>10.823937188159871</v>
      </c>
      <c r="D18" s="156">
        <f t="shared" ca="1" si="1"/>
        <v>3.6839764455599511</v>
      </c>
      <c r="E18" s="32">
        <f ca="1">D18*PLANTILLA!R20</f>
        <v>3.6839764455599511</v>
      </c>
      <c r="F18" s="32">
        <f ca="1">D18*PLANTILLA!S20</f>
        <v>3.6839764455599511</v>
      </c>
      <c r="K18" s="252">
        <f ca="1">SUM(K13:K17)</f>
        <v>23.982767812966316</v>
      </c>
      <c r="L18" s="252">
        <f t="shared" ref="L18:M18" ca="1" si="26">SUM(L13:L17)</f>
        <v>9.7106743247987612</v>
      </c>
      <c r="M18" s="252">
        <f t="shared" ca="1" si="26"/>
        <v>10.332276737323415</v>
      </c>
      <c r="N18" s="252"/>
      <c r="O18" s="252"/>
      <c r="P18" s="252"/>
      <c r="Q18" s="252"/>
      <c r="R18" s="252">
        <f ca="1">SUM(R13:R17)</f>
        <v>13.477411205572716</v>
      </c>
      <c r="S18" s="252">
        <f t="shared" ref="S18:T18" ca="1" si="27">SUM(S13:S17)</f>
        <v>9.9862498944774813</v>
      </c>
      <c r="T18" s="252">
        <f t="shared" ca="1" si="27"/>
        <v>10.582015547266115</v>
      </c>
    </row>
    <row r="19" spans="1:20" x14ac:dyDescent="0.25">
      <c r="A19" t="str">
        <f>PLANTILLA!D21</f>
        <v>Leo Hilpinen</v>
      </c>
      <c r="B19" s="32">
        <f ca="1">PLANTILLA!Y21+PLANTILLA!N21+PLANTILLA!J21</f>
        <v>6.7859524710779526</v>
      </c>
      <c r="C19" s="32">
        <f ca="1">PLANTILLA!AB21+PLANTILLA!N21+PLANTILLA!J21</f>
        <v>10.785952471077954</v>
      </c>
      <c r="D19" s="156">
        <f t="shared" ca="1" si="1"/>
        <v>3.5447321766542323</v>
      </c>
      <c r="E19" s="32">
        <f ca="1">D19*PLANTILLA!R21</f>
        <v>3.2817842974569946</v>
      </c>
      <c r="F19" s="32">
        <f ca="1">D19*PLANTILLA!S21</f>
        <v>3.5421993201845834</v>
      </c>
    </row>
    <row r="20" spans="1:20" x14ac:dyDescent="0.25">
      <c r="B20" s="32"/>
      <c r="C20" s="32"/>
      <c r="D20" s="156"/>
      <c r="E20" s="32"/>
      <c r="F20" s="32"/>
    </row>
    <row r="21" spans="1:20" x14ac:dyDescent="0.25">
      <c r="B21" s="32"/>
      <c r="C21" s="32"/>
      <c r="D21" s="156"/>
      <c r="E21" s="32"/>
      <c r="F21" s="32"/>
    </row>
    <row r="22" spans="1:20" x14ac:dyDescent="0.25">
      <c r="B22" s="32"/>
      <c r="C22" s="32"/>
      <c r="D22" s="156"/>
      <c r="E22" s="32"/>
      <c r="F22" s="32"/>
    </row>
    <row r="23" spans="1:20" x14ac:dyDescent="0.25">
      <c r="B23" s="32"/>
      <c r="C23" s="32"/>
      <c r="D23" s="156"/>
      <c r="E23" s="32"/>
      <c r="F23" s="32"/>
    </row>
    <row r="24" spans="1:20" x14ac:dyDescent="0.25">
      <c r="B24" s="32"/>
      <c r="C24" s="32"/>
      <c r="D24" s="156"/>
      <c r="E24" s="32"/>
      <c r="F24" s="32"/>
    </row>
    <row r="25" spans="1:20" x14ac:dyDescent="0.25">
      <c r="B25" s="32"/>
      <c r="C25" s="32"/>
      <c r="D25" s="156"/>
      <c r="E25" s="32"/>
      <c r="F25" s="32"/>
    </row>
    <row r="26" spans="1:20" x14ac:dyDescent="0.25">
      <c r="B26" s="32"/>
      <c r="C26" s="32"/>
      <c r="D26" s="156"/>
      <c r="E26" s="32"/>
      <c r="F26" s="32"/>
    </row>
    <row r="27" spans="1:20" x14ac:dyDescent="0.25">
      <c r="B27" s="32"/>
      <c r="C27" s="32"/>
      <c r="D27" s="156"/>
      <c r="E27" s="32"/>
      <c r="F27" s="32"/>
    </row>
    <row r="28" spans="1:20" x14ac:dyDescent="0.25">
      <c r="B28" s="32"/>
      <c r="C28" s="32"/>
      <c r="D28" s="156"/>
      <c r="E28" s="32"/>
      <c r="F28" s="32"/>
    </row>
  </sheetData>
  <conditionalFormatting sqref="D2:D28">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96D45-5D29-403B-85C8-15FC2156DFCE}">
  <sheetPr>
    <tabColor rgb="FFFF0000"/>
  </sheetPr>
  <dimension ref="A1:AS36"/>
  <sheetViews>
    <sheetView zoomScaleNormal="100" workbookViewId="0">
      <selection activeCell="K21" sqref="K21"/>
    </sheetView>
  </sheetViews>
  <sheetFormatPr baseColWidth="10" defaultColWidth="11.42578125" defaultRowHeight="15" x14ac:dyDescent="0.25"/>
  <cols>
    <col min="1" max="1" width="5.140625" bestFit="1" customWidth="1"/>
    <col min="2" max="2" width="6.140625" bestFit="1" customWidth="1"/>
    <col min="3" max="3" width="8" bestFit="1" customWidth="1"/>
    <col min="4" max="4" width="13.5703125" bestFit="1" customWidth="1"/>
    <col min="5" max="5" width="4.5703125" bestFit="1" customWidth="1"/>
    <col min="6" max="6" width="5" bestFit="1" customWidth="1"/>
    <col min="7" max="11" width="5.5703125" bestFit="1" customWidth="1"/>
    <col min="12"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3" max="23" width="7.28515625"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style="110" bestFit="1" customWidth="1"/>
    <col min="44" max="45" width="6.140625" style="110" customWidth="1"/>
  </cols>
  <sheetData>
    <row r="1" spans="1:45" x14ac:dyDescent="0.25">
      <c r="N1" s="191">
        <f>SUM(N3:N17)</f>
        <v>123730</v>
      </c>
      <c r="AH1" s="191">
        <f>SUM(AH3:AH17)</f>
        <v>178515.48</v>
      </c>
    </row>
    <row r="2" spans="1:45" x14ac:dyDescent="0.25">
      <c r="A2" s="230" t="s">
        <v>168</v>
      </c>
      <c r="B2" s="230" t="s">
        <v>2</v>
      </c>
      <c r="C2" s="230" t="s">
        <v>82</v>
      </c>
      <c r="D2" s="230" t="s">
        <v>169</v>
      </c>
      <c r="E2" s="230" t="s">
        <v>278</v>
      </c>
      <c r="F2" s="230" t="s">
        <v>279</v>
      </c>
      <c r="G2" s="230" t="s">
        <v>15</v>
      </c>
      <c r="H2" s="230" t="s">
        <v>16</v>
      </c>
      <c r="I2" s="230" t="s">
        <v>17</v>
      </c>
      <c r="J2" s="230" t="s">
        <v>18</v>
      </c>
      <c r="K2" s="230" t="s">
        <v>19</v>
      </c>
      <c r="L2" s="230" t="s">
        <v>20</v>
      </c>
      <c r="M2" s="230" t="s">
        <v>6</v>
      </c>
      <c r="N2" s="230" t="s">
        <v>67</v>
      </c>
      <c r="O2" s="230" t="s">
        <v>280</v>
      </c>
      <c r="P2" s="230" t="s">
        <v>281</v>
      </c>
      <c r="Q2" s="230" t="s">
        <v>282</v>
      </c>
      <c r="R2" s="230" t="s">
        <v>283</v>
      </c>
      <c r="S2" s="230" t="s">
        <v>284</v>
      </c>
      <c r="T2" s="230" t="s">
        <v>285</v>
      </c>
      <c r="U2" s="230" t="s">
        <v>286</v>
      </c>
      <c r="V2" s="230" t="s">
        <v>287</v>
      </c>
      <c r="X2" s="10" t="s">
        <v>168</v>
      </c>
      <c r="Y2" s="10" t="s">
        <v>278</v>
      </c>
      <c r="Z2" s="10" t="s">
        <v>279</v>
      </c>
      <c r="AA2" s="10" t="s">
        <v>15</v>
      </c>
      <c r="AB2" s="10" t="s">
        <v>16</v>
      </c>
      <c r="AC2" s="10" t="s">
        <v>17</v>
      </c>
      <c r="AD2" s="10" t="s">
        <v>18</v>
      </c>
      <c r="AE2" s="10" t="s">
        <v>19</v>
      </c>
      <c r="AF2" s="10" t="s">
        <v>20</v>
      </c>
      <c r="AG2" s="10" t="s">
        <v>6</v>
      </c>
      <c r="AH2" s="10" t="s">
        <v>67</v>
      </c>
      <c r="AI2" s="10" t="s">
        <v>280</v>
      </c>
      <c r="AJ2" s="10" t="s">
        <v>281</v>
      </c>
      <c r="AK2" s="10" t="s">
        <v>282</v>
      </c>
      <c r="AL2" s="10" t="s">
        <v>283</v>
      </c>
      <c r="AM2" s="10" t="s">
        <v>284</v>
      </c>
      <c r="AN2" s="10" t="s">
        <v>285</v>
      </c>
      <c r="AO2" s="10" t="s">
        <v>286</v>
      </c>
      <c r="AP2" s="10" t="s">
        <v>287</v>
      </c>
    </row>
    <row r="3" spans="1:45" x14ac:dyDescent="0.25">
      <c r="A3" t="s">
        <v>28</v>
      </c>
      <c r="B3" s="15" t="s">
        <v>27</v>
      </c>
      <c r="C3" s="18"/>
      <c r="D3" s="18" t="s">
        <v>441</v>
      </c>
      <c r="E3" s="3">
        <f>PLANTILLA!E4</f>
        <v>22</v>
      </c>
      <c r="F3" s="26">
        <f ca="1">PLANTILLA!F4</f>
        <v>46</v>
      </c>
      <c r="G3" s="206">
        <f>PLANTILLA!X4</f>
        <v>15</v>
      </c>
      <c r="H3" s="206">
        <f>PLANTILLA!Y4</f>
        <v>10.285714285714286</v>
      </c>
      <c r="I3" s="206">
        <f>PLANTILLA!Z4</f>
        <v>0</v>
      </c>
      <c r="J3" s="206">
        <f>PLANTILLA!AA4</f>
        <v>0</v>
      </c>
      <c r="K3" s="206">
        <f>PLANTILLA!AB4</f>
        <v>0</v>
      </c>
      <c r="L3" s="206">
        <f>PLANTILLA!AC4</f>
        <v>1</v>
      </c>
      <c r="M3" s="206">
        <f>PLANTILLA!AD4</f>
        <v>1</v>
      </c>
      <c r="N3" s="47">
        <f>PLANTILLA!V4</f>
        <v>27520</v>
      </c>
      <c r="O3" s="224">
        <v>51.5</v>
      </c>
      <c r="P3" s="224">
        <v>39</v>
      </c>
      <c r="Q3" s="224">
        <v>0</v>
      </c>
      <c r="R3" s="190">
        <v>0</v>
      </c>
      <c r="S3" s="190">
        <v>0</v>
      </c>
      <c r="T3" s="190">
        <v>0</v>
      </c>
      <c r="U3" s="190">
        <v>0</v>
      </c>
      <c r="V3" s="233">
        <f>SUM(O3:U3)</f>
        <v>90.5</v>
      </c>
      <c r="X3" t="s">
        <v>28</v>
      </c>
      <c r="Y3" s="18">
        <f>E3+1</f>
        <v>23</v>
      </c>
      <c r="Z3" s="3">
        <f ca="1">F3+(7*$AR$8)-122</f>
        <v>22</v>
      </c>
      <c r="AA3" s="111">
        <f>G3</f>
        <v>15</v>
      </c>
      <c r="AB3" s="111">
        <f>11+6/10</f>
        <v>11.6</v>
      </c>
      <c r="AC3" s="111">
        <f t="shared" ref="AB3:AG18" si="0">I3</f>
        <v>0</v>
      </c>
      <c r="AD3" s="111">
        <f t="shared" si="0"/>
        <v>0</v>
      </c>
      <c r="AE3" s="111">
        <f t="shared" si="0"/>
        <v>0</v>
      </c>
      <c r="AF3" s="111">
        <f t="shared" si="0"/>
        <v>1</v>
      </c>
      <c r="AG3" s="111">
        <f t="shared" si="0"/>
        <v>1</v>
      </c>
      <c r="AH3" s="47">
        <f>(24270+2300)*1.008</f>
        <v>26782.560000000001</v>
      </c>
      <c r="AI3" s="224">
        <f>O3</f>
        <v>51.5</v>
      </c>
      <c r="AJ3" s="224">
        <f>P3+$AR$8</f>
        <v>53</v>
      </c>
      <c r="AK3" s="224">
        <f t="shared" ref="AK3:AO3" si="1">Q3</f>
        <v>0</v>
      </c>
      <c r="AL3" s="224">
        <f t="shared" si="1"/>
        <v>0</v>
      </c>
      <c r="AM3" s="224">
        <f t="shared" si="1"/>
        <v>0</v>
      </c>
      <c r="AN3" s="224">
        <f t="shared" si="1"/>
        <v>0</v>
      </c>
      <c r="AO3" s="224">
        <f t="shared" si="1"/>
        <v>0</v>
      </c>
      <c r="AP3" s="233">
        <f>SUM(AI3:AO3)</f>
        <v>104.5</v>
      </c>
    </row>
    <row r="4" spans="1:45" x14ac:dyDescent="0.25">
      <c r="A4" t="s">
        <v>31</v>
      </c>
      <c r="B4" s="15" t="s">
        <v>29</v>
      </c>
      <c r="C4" s="3"/>
      <c r="D4" s="3" t="s">
        <v>430</v>
      </c>
      <c r="E4" s="3">
        <f>PLANTILLA!E6</f>
        <v>22</v>
      </c>
      <c r="F4" s="3">
        <f ca="1">PLANTILLA!F6</f>
        <v>43</v>
      </c>
      <c r="G4" s="206">
        <f>PLANTILLA!X6</f>
        <v>0</v>
      </c>
      <c r="H4" s="206">
        <f>PLANTILLA!Y6</f>
        <v>14.5</v>
      </c>
      <c r="I4" s="206">
        <f>PLANTILLA!Z6</f>
        <v>5</v>
      </c>
      <c r="J4" s="206">
        <f>PLANTILLA!AA6</f>
        <v>5.4</v>
      </c>
      <c r="K4" s="206">
        <f>PLANTILLA!AB6</f>
        <v>5</v>
      </c>
      <c r="L4" s="206">
        <f>PLANTILLA!AC6</f>
        <v>2</v>
      </c>
      <c r="M4" s="206">
        <f>PLANTILLA!AD6</f>
        <v>1</v>
      </c>
      <c r="N4" s="47">
        <f>PLANTILLA!V6</f>
        <v>18250</v>
      </c>
      <c r="O4" s="224">
        <v>0</v>
      </c>
      <c r="P4" s="224">
        <f>79+8</f>
        <v>87</v>
      </c>
      <c r="Q4" s="224">
        <v>9</v>
      </c>
      <c r="R4" s="190">
        <v>6</v>
      </c>
      <c r="S4" s="190">
        <v>7</v>
      </c>
      <c r="T4" s="190">
        <v>0</v>
      </c>
      <c r="U4" s="190">
        <v>0</v>
      </c>
      <c r="V4" s="233">
        <f t="shared" ref="V4:V13" si="2">SUM(O4:U4)</f>
        <v>109</v>
      </c>
      <c r="X4" t="s">
        <v>31</v>
      </c>
      <c r="Y4" s="18">
        <f t="shared" ref="Y4:Y15" si="3">E4+1</f>
        <v>23</v>
      </c>
      <c r="Z4" s="3">
        <f t="shared" ref="Z4:Z15" ca="1" si="4">F4+(7*$AR$8)-122</f>
        <v>19</v>
      </c>
      <c r="AA4" s="111">
        <f t="shared" ref="AA4:AA18" si="5">G4</f>
        <v>0</v>
      </c>
      <c r="AB4" s="111">
        <f>15+3/18</f>
        <v>15.166666666666666</v>
      </c>
      <c r="AC4" s="111">
        <f t="shared" si="0"/>
        <v>5</v>
      </c>
      <c r="AD4" s="111">
        <f>5+2/10</f>
        <v>5.2</v>
      </c>
      <c r="AE4" s="111">
        <f t="shared" si="0"/>
        <v>5</v>
      </c>
      <c r="AF4" s="111">
        <f t="shared" si="0"/>
        <v>2</v>
      </c>
      <c r="AG4" s="111">
        <f t="shared" si="0"/>
        <v>1</v>
      </c>
      <c r="AH4" s="47">
        <f>(28000+135+130+135)*1.004</f>
        <v>28513.599999999999</v>
      </c>
      <c r="AI4" s="228">
        <f t="shared" ref="AI4:AI18" si="6">O4</f>
        <v>0</v>
      </c>
      <c r="AJ4" s="228">
        <f t="shared" ref="AJ4:AJ15" si="7">P4+$AR$8</f>
        <v>101</v>
      </c>
      <c r="AK4" s="228">
        <f t="shared" ref="AK4:AK18" si="8">Q4</f>
        <v>9</v>
      </c>
      <c r="AL4" s="228">
        <f t="shared" ref="AL4:AL18" si="9">R4</f>
        <v>6</v>
      </c>
      <c r="AM4" s="228">
        <f t="shared" ref="AM4:AM18" si="10">S4</f>
        <v>7</v>
      </c>
      <c r="AN4" s="228">
        <f t="shared" ref="AN4:AN18" si="11">T4</f>
        <v>0</v>
      </c>
      <c r="AO4" s="228">
        <f t="shared" ref="AO4:AO18" si="12">U4</f>
        <v>0</v>
      </c>
      <c r="AP4" s="233">
        <f>SUM(AI4:AO4)</f>
        <v>123</v>
      </c>
    </row>
    <row r="5" spans="1:45" x14ac:dyDescent="0.25">
      <c r="A5" t="s">
        <v>32</v>
      </c>
      <c r="B5" s="15" t="s">
        <v>29</v>
      </c>
      <c r="C5" s="3"/>
      <c r="D5" s="3" t="s">
        <v>431</v>
      </c>
      <c r="E5" s="3">
        <f>PLANTILLA!E8</f>
        <v>22</v>
      </c>
      <c r="F5" s="3">
        <f ca="1">PLANTILLA!F8</f>
        <v>74</v>
      </c>
      <c r="G5" s="206">
        <f>PLANTILLA!X8</f>
        <v>0</v>
      </c>
      <c r="H5" s="206">
        <f>PLANTILLA!Y8</f>
        <v>12.363636363636363</v>
      </c>
      <c r="I5" s="206">
        <f>PLANTILLA!Z8</f>
        <v>3</v>
      </c>
      <c r="J5" s="206">
        <f>PLANTILLA!AA8</f>
        <v>7.1999999999999993</v>
      </c>
      <c r="K5" s="206">
        <f>PLANTILLA!AB8</f>
        <v>10</v>
      </c>
      <c r="L5" s="206">
        <f>PLANTILLA!AC8</f>
        <v>3</v>
      </c>
      <c r="M5" s="206">
        <f>PLANTILLA!AD8</f>
        <v>2</v>
      </c>
      <c r="N5" s="47">
        <f>PLANTILLA!V8</f>
        <v>5710</v>
      </c>
      <c r="O5" s="224">
        <v>0</v>
      </c>
      <c r="P5" s="224">
        <v>60</v>
      </c>
      <c r="Q5" s="224">
        <v>3</v>
      </c>
      <c r="R5" s="190">
        <v>11.5</v>
      </c>
      <c r="S5" s="190">
        <v>29</v>
      </c>
      <c r="T5" s="190">
        <v>2</v>
      </c>
      <c r="U5" s="190">
        <v>0</v>
      </c>
      <c r="V5" s="233">
        <f>SUM(O5:U5)</f>
        <v>105.5</v>
      </c>
      <c r="X5" t="s">
        <v>32</v>
      </c>
      <c r="Y5" s="18">
        <f t="shared" si="3"/>
        <v>23</v>
      </c>
      <c r="Z5" s="3">
        <f t="shared" ca="1" si="4"/>
        <v>50</v>
      </c>
      <c r="AA5" s="111">
        <f t="shared" si="5"/>
        <v>0</v>
      </c>
      <c r="AB5" s="111">
        <f>13+5/12</f>
        <v>13.416666666666666</v>
      </c>
      <c r="AC5" s="111">
        <f t="shared" si="0"/>
        <v>3</v>
      </c>
      <c r="AD5" s="111">
        <f>7+1/12</f>
        <v>7.083333333333333</v>
      </c>
      <c r="AE5" s="111">
        <f t="shared" si="0"/>
        <v>10</v>
      </c>
      <c r="AF5" s="111">
        <f t="shared" si="0"/>
        <v>3</v>
      </c>
      <c r="AG5" s="111">
        <f t="shared" si="0"/>
        <v>2</v>
      </c>
      <c r="AH5" s="47">
        <f>(195+13000+190)*1.008</f>
        <v>13492.08</v>
      </c>
      <c r="AI5" s="228">
        <f t="shared" si="6"/>
        <v>0</v>
      </c>
      <c r="AJ5" s="228">
        <f t="shared" si="7"/>
        <v>74</v>
      </c>
      <c r="AK5" s="228">
        <f t="shared" si="8"/>
        <v>3</v>
      </c>
      <c r="AL5" s="228">
        <f t="shared" si="9"/>
        <v>11.5</v>
      </c>
      <c r="AM5" s="228">
        <f t="shared" si="10"/>
        <v>29</v>
      </c>
      <c r="AN5" s="228">
        <f t="shared" si="11"/>
        <v>2</v>
      </c>
      <c r="AO5" s="228">
        <f t="shared" si="12"/>
        <v>0</v>
      </c>
      <c r="AP5" s="233">
        <f>SUM(AI5:AO5)</f>
        <v>119.5</v>
      </c>
    </row>
    <row r="6" spans="1:45" x14ac:dyDescent="0.25">
      <c r="A6" t="s">
        <v>38</v>
      </c>
      <c r="B6" s="15" t="s">
        <v>29</v>
      </c>
      <c r="C6" s="3"/>
      <c r="D6" s="3" t="s">
        <v>434</v>
      </c>
      <c r="E6" s="3">
        <f>PLANTILLA!E7</f>
        <v>22</v>
      </c>
      <c r="F6" s="26">
        <f ca="1">PLANTILLA!F7</f>
        <v>24</v>
      </c>
      <c r="G6" s="206">
        <f>PLANTILLA!X7</f>
        <v>0</v>
      </c>
      <c r="H6" s="206">
        <f>PLANTILLA!Y7</f>
        <v>14.4375</v>
      </c>
      <c r="I6" s="206">
        <f>PLANTILLA!Z7</f>
        <v>5</v>
      </c>
      <c r="J6" s="206">
        <f>PLANTILLA!AA7</f>
        <v>7</v>
      </c>
      <c r="K6" s="206">
        <f>PLANTILLA!AB7</f>
        <v>5</v>
      </c>
      <c r="L6" s="206">
        <f>PLANTILLA!AC7</f>
        <v>1</v>
      </c>
      <c r="M6" s="206">
        <f>PLANTILLA!AD7</f>
        <v>0</v>
      </c>
      <c r="N6" s="47">
        <f>PLANTILLA!V7</f>
        <v>19870</v>
      </c>
      <c r="O6" s="224">
        <v>0</v>
      </c>
      <c r="P6" s="224">
        <f>79+7</f>
        <v>86</v>
      </c>
      <c r="Q6" s="224">
        <v>9</v>
      </c>
      <c r="R6" s="190">
        <v>10.5</v>
      </c>
      <c r="S6" s="190">
        <v>7</v>
      </c>
      <c r="T6" s="190">
        <v>0</v>
      </c>
      <c r="U6" s="190">
        <v>0</v>
      </c>
      <c r="V6" s="233">
        <f>SUM(O6:U6)</f>
        <v>112.5</v>
      </c>
      <c r="X6" t="s">
        <v>38</v>
      </c>
      <c r="Y6" s="18">
        <f t="shared" si="3"/>
        <v>23</v>
      </c>
      <c r="Z6" s="3">
        <f t="shared" ca="1" si="4"/>
        <v>0</v>
      </c>
      <c r="AA6" s="111">
        <f t="shared" si="5"/>
        <v>0</v>
      </c>
      <c r="AB6" s="111">
        <f>15+3/18</f>
        <v>15.166666666666666</v>
      </c>
      <c r="AC6" s="111">
        <f t="shared" si="0"/>
        <v>5</v>
      </c>
      <c r="AD6" s="111">
        <f>J6+(0.5*AR9)/4</f>
        <v>7</v>
      </c>
      <c r="AE6" s="111">
        <f t="shared" si="0"/>
        <v>5</v>
      </c>
      <c r="AF6" s="111">
        <f t="shared" si="0"/>
        <v>1</v>
      </c>
      <c r="AG6" s="111">
        <f t="shared" si="0"/>
        <v>0</v>
      </c>
      <c r="AH6" s="47">
        <f>(28000+135+130+135)*1.004</f>
        <v>28513.599999999999</v>
      </c>
      <c r="AI6" s="228">
        <f t="shared" si="6"/>
        <v>0</v>
      </c>
      <c r="AJ6" s="228">
        <f t="shared" si="7"/>
        <v>100</v>
      </c>
      <c r="AK6" s="228">
        <f t="shared" si="8"/>
        <v>9</v>
      </c>
      <c r="AL6" s="228">
        <f t="shared" si="9"/>
        <v>10.5</v>
      </c>
      <c r="AM6" s="228">
        <f t="shared" si="10"/>
        <v>7</v>
      </c>
      <c r="AN6" s="228">
        <f t="shared" si="11"/>
        <v>0</v>
      </c>
      <c r="AO6" s="228">
        <f t="shared" si="12"/>
        <v>0</v>
      </c>
      <c r="AP6" s="233">
        <f>SUM(AI6:AO6)</f>
        <v>126.5</v>
      </c>
    </row>
    <row r="7" spans="1:45" x14ac:dyDescent="0.25">
      <c r="A7" t="s">
        <v>40</v>
      </c>
      <c r="B7" s="15" t="s">
        <v>29</v>
      </c>
      <c r="C7" s="3"/>
      <c r="D7" s="3" t="s">
        <v>438</v>
      </c>
      <c r="E7" s="3">
        <f>PLANTILLA!E9</f>
        <v>22</v>
      </c>
      <c r="F7" s="26">
        <f ca="1">PLANTILLA!F9</f>
        <v>59</v>
      </c>
      <c r="G7" s="206">
        <f>PLANTILLA!X9</f>
        <v>0</v>
      </c>
      <c r="H7" s="206">
        <f>PLANTILLA!Y9</f>
        <v>10.222222222222221</v>
      </c>
      <c r="I7" s="206">
        <f>PLANTILLA!Z9</f>
        <v>11</v>
      </c>
      <c r="J7" s="206">
        <f>PLANTILLA!AA9</f>
        <v>4</v>
      </c>
      <c r="K7" s="206">
        <f>PLANTILLA!AB9</f>
        <v>9</v>
      </c>
      <c r="L7" s="206">
        <f>PLANTILLA!AC9</f>
        <v>4</v>
      </c>
      <c r="M7" s="206">
        <f>PLANTILLA!AD9</f>
        <v>1</v>
      </c>
      <c r="N7" s="47">
        <f>PLANTILLA!V9</f>
        <v>6250</v>
      </c>
      <c r="O7" s="224">
        <v>0</v>
      </c>
      <c r="P7" s="224">
        <v>39</v>
      </c>
      <c r="Q7" s="224">
        <v>40</v>
      </c>
      <c r="R7" s="190">
        <v>3.5</v>
      </c>
      <c r="S7" s="190">
        <v>23</v>
      </c>
      <c r="T7" s="190">
        <v>5</v>
      </c>
      <c r="U7" s="190">
        <v>0</v>
      </c>
      <c r="V7" s="233">
        <f t="shared" si="2"/>
        <v>110.5</v>
      </c>
      <c r="X7" t="s">
        <v>40</v>
      </c>
      <c r="Y7" s="18">
        <f t="shared" si="3"/>
        <v>23</v>
      </c>
      <c r="Z7" s="3">
        <f t="shared" ca="1" si="4"/>
        <v>35</v>
      </c>
      <c r="AA7" s="111">
        <f t="shared" si="5"/>
        <v>0</v>
      </c>
      <c r="AB7" s="111">
        <f>11+7/10</f>
        <v>11.7</v>
      </c>
      <c r="AC7" s="111">
        <f t="shared" si="0"/>
        <v>11</v>
      </c>
      <c r="AD7" s="111">
        <f t="shared" si="0"/>
        <v>4</v>
      </c>
      <c r="AE7" s="111">
        <f t="shared" si="0"/>
        <v>9</v>
      </c>
      <c r="AF7" s="111">
        <f t="shared" si="0"/>
        <v>4</v>
      </c>
      <c r="AG7" s="111">
        <f t="shared" si="0"/>
        <v>1</v>
      </c>
      <c r="AH7" s="47">
        <f>(6800+2505+145)*1.008</f>
        <v>9525.6</v>
      </c>
      <c r="AI7" s="228">
        <f t="shared" si="6"/>
        <v>0</v>
      </c>
      <c r="AJ7" s="228">
        <f t="shared" si="7"/>
        <v>53</v>
      </c>
      <c r="AK7" s="228">
        <f t="shared" si="8"/>
        <v>40</v>
      </c>
      <c r="AL7" s="228">
        <f t="shared" si="9"/>
        <v>3.5</v>
      </c>
      <c r="AM7" s="228">
        <f t="shared" si="10"/>
        <v>23</v>
      </c>
      <c r="AN7" s="228">
        <f t="shared" si="11"/>
        <v>5</v>
      </c>
      <c r="AO7" s="228">
        <f t="shared" si="12"/>
        <v>0</v>
      </c>
      <c r="AP7" s="233">
        <f t="shared" ref="AP7:AP13" si="13">SUM(AI7:AO7)</f>
        <v>124.5</v>
      </c>
      <c r="AR7" s="207" t="s">
        <v>323</v>
      </c>
      <c r="AS7" s="207" t="s">
        <v>324</v>
      </c>
    </row>
    <row r="8" spans="1:45" x14ac:dyDescent="0.25">
      <c r="A8" t="s">
        <v>37</v>
      </c>
      <c r="B8" s="15" t="s">
        <v>29</v>
      </c>
      <c r="C8" s="3"/>
      <c r="D8" s="3"/>
      <c r="E8" s="3"/>
      <c r="F8" s="3"/>
      <c r="G8" s="206">
        <v>0</v>
      </c>
      <c r="H8" s="130">
        <v>2</v>
      </c>
      <c r="I8" s="206">
        <v>2</v>
      </c>
      <c r="J8" s="130">
        <v>2</v>
      </c>
      <c r="K8" s="206">
        <v>2</v>
      </c>
      <c r="L8" s="130">
        <v>2</v>
      </c>
      <c r="M8" s="206">
        <v>2</v>
      </c>
      <c r="N8" s="47"/>
      <c r="O8" s="224">
        <v>0</v>
      </c>
      <c r="P8" s="224">
        <v>0</v>
      </c>
      <c r="Q8" s="224">
        <v>0</v>
      </c>
      <c r="R8" s="190">
        <v>0</v>
      </c>
      <c r="S8" s="190">
        <v>0</v>
      </c>
      <c r="T8" s="190">
        <v>0</v>
      </c>
      <c r="U8" s="190">
        <v>0</v>
      </c>
      <c r="V8" s="233">
        <f t="shared" si="2"/>
        <v>0</v>
      </c>
      <c r="X8" t="s">
        <v>37</v>
      </c>
      <c r="Y8" s="18"/>
      <c r="Z8" s="3"/>
      <c r="AA8" s="111">
        <f t="shared" si="5"/>
        <v>0</v>
      </c>
      <c r="AB8" s="111">
        <f t="shared" si="0"/>
        <v>2</v>
      </c>
      <c r="AC8" s="111">
        <f t="shared" si="0"/>
        <v>2</v>
      </c>
      <c r="AD8" s="111">
        <f t="shared" si="0"/>
        <v>2</v>
      </c>
      <c r="AE8" s="111">
        <f t="shared" si="0"/>
        <v>2</v>
      </c>
      <c r="AF8" s="111">
        <f t="shared" si="0"/>
        <v>2</v>
      </c>
      <c r="AG8" s="111">
        <f t="shared" si="0"/>
        <v>2</v>
      </c>
      <c r="AH8" s="47"/>
      <c r="AI8" s="228">
        <f t="shared" si="6"/>
        <v>0</v>
      </c>
      <c r="AJ8" s="228">
        <v>0</v>
      </c>
      <c r="AK8" s="228">
        <f t="shared" si="8"/>
        <v>0</v>
      </c>
      <c r="AL8" s="228">
        <f t="shared" si="9"/>
        <v>0</v>
      </c>
      <c r="AM8" s="228">
        <f t="shared" si="10"/>
        <v>0</v>
      </c>
      <c r="AN8" s="228">
        <f t="shared" si="11"/>
        <v>0</v>
      </c>
      <c r="AO8" s="228">
        <f t="shared" si="12"/>
        <v>0</v>
      </c>
      <c r="AP8" s="233">
        <f t="shared" si="13"/>
        <v>0</v>
      </c>
      <c r="AQ8" s="207" t="s">
        <v>29</v>
      </c>
      <c r="AR8" s="110">
        <f>30-16</f>
        <v>14</v>
      </c>
      <c r="AS8" s="231">
        <f>AR8/16</f>
        <v>0.875</v>
      </c>
    </row>
    <row r="9" spans="1:45" x14ac:dyDescent="0.25">
      <c r="A9" t="s">
        <v>34</v>
      </c>
      <c r="B9" s="15" t="s">
        <v>29</v>
      </c>
      <c r="C9" s="3" t="s">
        <v>272</v>
      </c>
      <c r="D9" s="3" t="s">
        <v>422</v>
      </c>
      <c r="E9" s="3">
        <f>PLANTILLA!E11</f>
        <v>22</v>
      </c>
      <c r="F9" s="3">
        <f ca="1">PLANTILLA!F11</f>
        <v>39</v>
      </c>
      <c r="G9" s="206">
        <f>PLANTILLA!X11</f>
        <v>0</v>
      </c>
      <c r="H9" s="206">
        <f>PLANTILLA!Y11</f>
        <v>11.555555555555555</v>
      </c>
      <c r="I9" s="206">
        <f>PLANTILLA!Z11</f>
        <v>4</v>
      </c>
      <c r="J9" s="206">
        <f>PLANTILLA!AA11</f>
        <v>12.666666666666666</v>
      </c>
      <c r="K9" s="206">
        <f>PLANTILLA!AB11</f>
        <v>4.25</v>
      </c>
      <c r="L9" s="206">
        <f>PLANTILLA!AC11</f>
        <v>7</v>
      </c>
      <c r="M9" s="206">
        <f>PLANTILLA!AD11</f>
        <v>3</v>
      </c>
      <c r="N9" s="47">
        <f>PLANTILLA!V11</f>
        <v>8650</v>
      </c>
      <c r="O9" s="224">
        <v>0</v>
      </c>
      <c r="P9" s="224">
        <f>46+6</f>
        <v>52</v>
      </c>
      <c r="Q9" s="224">
        <v>6</v>
      </c>
      <c r="R9" s="190">
        <v>40.5</v>
      </c>
      <c r="S9" s="190">
        <v>5</v>
      </c>
      <c r="T9" s="190">
        <v>16</v>
      </c>
      <c r="U9" s="190">
        <v>1</v>
      </c>
      <c r="V9" s="233">
        <f t="shared" si="2"/>
        <v>120.5</v>
      </c>
      <c r="X9" t="s">
        <v>34</v>
      </c>
      <c r="Y9" s="18">
        <f t="shared" si="3"/>
        <v>23</v>
      </c>
      <c r="Z9" s="3">
        <f t="shared" ca="1" si="4"/>
        <v>15</v>
      </c>
      <c r="AA9" s="111">
        <f t="shared" si="5"/>
        <v>0</v>
      </c>
      <c r="AB9" s="111">
        <f>12+10/11</f>
        <v>12.909090909090908</v>
      </c>
      <c r="AC9" s="111">
        <f t="shared" si="0"/>
        <v>4</v>
      </c>
      <c r="AD9" s="111">
        <v>12.5</v>
      </c>
      <c r="AE9" s="111">
        <f t="shared" si="0"/>
        <v>4.25</v>
      </c>
      <c r="AF9" s="111">
        <f t="shared" si="0"/>
        <v>7</v>
      </c>
      <c r="AG9" s="111">
        <f t="shared" si="0"/>
        <v>3</v>
      </c>
      <c r="AH9" s="47">
        <f>(12930+2985+125+125+245)*1.012</f>
        <v>16606.920000000002</v>
      </c>
      <c r="AI9" s="228">
        <f t="shared" si="6"/>
        <v>0</v>
      </c>
      <c r="AJ9" s="228">
        <f t="shared" si="7"/>
        <v>66</v>
      </c>
      <c r="AK9" s="228">
        <f t="shared" si="8"/>
        <v>6</v>
      </c>
      <c r="AL9" s="228">
        <f t="shared" si="9"/>
        <v>40.5</v>
      </c>
      <c r="AM9" s="228">
        <f t="shared" si="10"/>
        <v>5</v>
      </c>
      <c r="AN9" s="228">
        <f t="shared" si="11"/>
        <v>16</v>
      </c>
      <c r="AO9" s="228">
        <f t="shared" si="12"/>
        <v>1</v>
      </c>
      <c r="AP9" s="233">
        <f t="shared" si="13"/>
        <v>134.5</v>
      </c>
      <c r="AR9" s="232"/>
      <c r="AS9" s="232"/>
    </row>
    <row r="10" spans="1:45" x14ac:dyDescent="0.25">
      <c r="A10" t="s">
        <v>30</v>
      </c>
      <c r="B10" s="15" t="s">
        <v>29</v>
      </c>
      <c r="C10" s="3" t="s">
        <v>272</v>
      </c>
      <c r="D10" s="3" t="s">
        <v>289</v>
      </c>
      <c r="E10" s="3">
        <f>PLANTILLA!E13</f>
        <v>22</v>
      </c>
      <c r="F10" s="3">
        <f ca="1">PLANTILLA!F13</f>
        <v>39</v>
      </c>
      <c r="G10" s="206">
        <f>PLANTILLA!X13</f>
        <v>0</v>
      </c>
      <c r="H10" s="206">
        <f>PLANTILLA!Y13</f>
        <v>10.142857142857142</v>
      </c>
      <c r="I10" s="206">
        <f>PLANTILLA!Z13</f>
        <v>3</v>
      </c>
      <c r="J10" s="206">
        <f>PLANTILLA!AA13</f>
        <v>12</v>
      </c>
      <c r="K10" s="206">
        <f>PLANTILLA!AB13</f>
        <v>6.0000000000000009</v>
      </c>
      <c r="L10" s="206">
        <f>PLANTILLA!AC13</f>
        <v>7.25</v>
      </c>
      <c r="M10" s="206">
        <f>PLANTILLA!AD13</f>
        <v>3</v>
      </c>
      <c r="N10" s="47">
        <f>PLANTILLA!V13</f>
        <v>5690</v>
      </c>
      <c r="O10" s="224">
        <v>0</v>
      </c>
      <c r="P10" s="224">
        <v>38</v>
      </c>
      <c r="Q10" s="224">
        <v>3</v>
      </c>
      <c r="R10" s="190">
        <v>32.5</v>
      </c>
      <c r="S10" s="190">
        <v>10</v>
      </c>
      <c r="T10" s="190">
        <v>17</v>
      </c>
      <c r="U10" s="190">
        <v>1</v>
      </c>
      <c r="V10" s="233">
        <f t="shared" si="2"/>
        <v>101.5</v>
      </c>
      <c r="X10" t="s">
        <v>30</v>
      </c>
      <c r="Y10" s="18">
        <f t="shared" si="3"/>
        <v>23</v>
      </c>
      <c r="Z10" s="3">
        <f t="shared" ca="1" si="4"/>
        <v>15</v>
      </c>
      <c r="AA10" s="111">
        <f t="shared" si="5"/>
        <v>0</v>
      </c>
      <c r="AB10" s="111">
        <v>12</v>
      </c>
      <c r="AC10" s="111">
        <f t="shared" si="0"/>
        <v>3</v>
      </c>
      <c r="AD10" s="111">
        <v>11.9</v>
      </c>
      <c r="AE10" s="111">
        <f t="shared" si="0"/>
        <v>6.0000000000000009</v>
      </c>
      <c r="AF10" s="111">
        <f t="shared" si="0"/>
        <v>7.25</v>
      </c>
      <c r="AG10" s="111">
        <f t="shared" si="0"/>
        <v>3</v>
      </c>
      <c r="AH10" s="47">
        <f>(12930+2985+125+125+245)*1.012</f>
        <v>16606.920000000002</v>
      </c>
      <c r="AI10" s="228">
        <f t="shared" si="6"/>
        <v>0</v>
      </c>
      <c r="AJ10" s="228">
        <f t="shared" si="7"/>
        <v>52</v>
      </c>
      <c r="AK10" s="228">
        <f t="shared" si="8"/>
        <v>3</v>
      </c>
      <c r="AL10" s="228">
        <f t="shared" si="9"/>
        <v>32.5</v>
      </c>
      <c r="AM10" s="228">
        <f t="shared" si="10"/>
        <v>10</v>
      </c>
      <c r="AN10" s="228">
        <f t="shared" si="11"/>
        <v>17</v>
      </c>
      <c r="AO10" s="228">
        <f t="shared" si="12"/>
        <v>1</v>
      </c>
      <c r="AP10" s="233">
        <f t="shared" si="13"/>
        <v>115.5</v>
      </c>
      <c r="AR10" s="232"/>
      <c r="AS10" s="232"/>
    </row>
    <row r="11" spans="1:45" x14ac:dyDescent="0.25">
      <c r="A11" t="s">
        <v>42</v>
      </c>
      <c r="B11" s="15" t="s">
        <v>325</v>
      </c>
      <c r="C11" s="3"/>
      <c r="D11" s="3"/>
      <c r="E11" s="3"/>
      <c r="F11" s="3"/>
      <c r="G11" s="206">
        <v>0</v>
      </c>
      <c r="H11" s="130">
        <v>2</v>
      </c>
      <c r="I11" s="206">
        <v>2</v>
      </c>
      <c r="J11" s="130">
        <v>2</v>
      </c>
      <c r="K11" s="206">
        <v>2</v>
      </c>
      <c r="L11" s="130">
        <v>2</v>
      </c>
      <c r="M11" s="206">
        <v>2</v>
      </c>
      <c r="N11" s="47"/>
      <c r="O11" s="224">
        <v>0</v>
      </c>
      <c r="P11" s="224">
        <v>0</v>
      </c>
      <c r="Q11" s="224">
        <v>0</v>
      </c>
      <c r="R11" s="190">
        <v>0</v>
      </c>
      <c r="S11" s="190">
        <v>0</v>
      </c>
      <c r="T11" s="190">
        <v>0</v>
      </c>
      <c r="U11" s="190">
        <v>0</v>
      </c>
      <c r="V11" s="233">
        <f t="shared" si="2"/>
        <v>0</v>
      </c>
      <c r="X11" t="s">
        <v>42</v>
      </c>
      <c r="Y11" s="18"/>
      <c r="Z11" s="3"/>
      <c r="AA11" s="111">
        <f t="shared" si="5"/>
        <v>0</v>
      </c>
      <c r="AB11" s="111">
        <f t="shared" si="0"/>
        <v>2</v>
      </c>
      <c r="AC11" s="111">
        <f t="shared" si="0"/>
        <v>2</v>
      </c>
      <c r="AD11" s="111">
        <f t="shared" si="0"/>
        <v>2</v>
      </c>
      <c r="AE11" s="111">
        <f t="shared" si="0"/>
        <v>2</v>
      </c>
      <c r="AF11" s="111">
        <f t="shared" si="0"/>
        <v>2</v>
      </c>
      <c r="AG11" s="111">
        <f t="shared" si="0"/>
        <v>2</v>
      </c>
      <c r="AH11" s="47"/>
      <c r="AI11" s="228">
        <f t="shared" si="6"/>
        <v>0</v>
      </c>
      <c r="AJ11" s="228">
        <v>0</v>
      </c>
      <c r="AK11" s="228">
        <f t="shared" si="8"/>
        <v>0</v>
      </c>
      <c r="AL11" s="228">
        <f t="shared" si="9"/>
        <v>0</v>
      </c>
      <c r="AM11" s="228">
        <f t="shared" si="10"/>
        <v>0</v>
      </c>
      <c r="AN11" s="228">
        <f t="shared" si="11"/>
        <v>0</v>
      </c>
      <c r="AO11" s="228">
        <f t="shared" si="12"/>
        <v>0</v>
      </c>
      <c r="AP11" s="233">
        <f t="shared" si="13"/>
        <v>0</v>
      </c>
    </row>
    <row r="12" spans="1:45" x14ac:dyDescent="0.25">
      <c r="A12" t="s">
        <v>36</v>
      </c>
      <c r="B12" s="15" t="s">
        <v>325</v>
      </c>
      <c r="C12" s="3"/>
      <c r="D12" s="3"/>
      <c r="E12" s="3"/>
      <c r="F12" s="3"/>
      <c r="G12" s="206">
        <v>0</v>
      </c>
      <c r="H12" s="130">
        <v>2</v>
      </c>
      <c r="I12" s="206">
        <v>2</v>
      </c>
      <c r="J12" s="130">
        <v>2</v>
      </c>
      <c r="K12" s="206">
        <v>2</v>
      </c>
      <c r="L12" s="130">
        <v>2</v>
      </c>
      <c r="M12" s="206">
        <v>2</v>
      </c>
      <c r="N12" s="47"/>
      <c r="O12" s="224">
        <v>0</v>
      </c>
      <c r="P12" s="224">
        <v>0</v>
      </c>
      <c r="Q12" s="224">
        <v>0</v>
      </c>
      <c r="R12" s="190">
        <v>0</v>
      </c>
      <c r="S12" s="190">
        <v>0</v>
      </c>
      <c r="T12" s="190">
        <v>0</v>
      </c>
      <c r="U12" s="190">
        <v>0</v>
      </c>
      <c r="V12" s="233">
        <f t="shared" si="2"/>
        <v>0</v>
      </c>
      <c r="X12" t="s">
        <v>36</v>
      </c>
      <c r="Y12" s="18"/>
      <c r="Z12" s="3"/>
      <c r="AA12" s="111">
        <f t="shared" si="5"/>
        <v>0</v>
      </c>
      <c r="AB12" s="111">
        <f t="shared" si="0"/>
        <v>2</v>
      </c>
      <c r="AC12" s="111">
        <f t="shared" si="0"/>
        <v>2</v>
      </c>
      <c r="AD12" s="111">
        <f t="shared" si="0"/>
        <v>2</v>
      </c>
      <c r="AE12" s="111">
        <f t="shared" si="0"/>
        <v>2</v>
      </c>
      <c r="AF12" s="111">
        <f t="shared" si="0"/>
        <v>2</v>
      </c>
      <c r="AG12" s="111">
        <f t="shared" si="0"/>
        <v>2</v>
      </c>
      <c r="AH12" s="47"/>
      <c r="AI12" s="228">
        <f t="shared" si="6"/>
        <v>0</v>
      </c>
      <c r="AJ12" s="228">
        <v>0</v>
      </c>
      <c r="AK12" s="228">
        <f t="shared" si="8"/>
        <v>0</v>
      </c>
      <c r="AL12" s="228">
        <f t="shared" si="9"/>
        <v>0</v>
      </c>
      <c r="AM12" s="228">
        <f t="shared" si="10"/>
        <v>0</v>
      </c>
      <c r="AN12" s="228">
        <f t="shared" si="11"/>
        <v>0</v>
      </c>
      <c r="AO12" s="228">
        <f t="shared" si="12"/>
        <v>0</v>
      </c>
      <c r="AP12" s="233">
        <f t="shared" si="13"/>
        <v>0</v>
      </c>
    </row>
    <row r="13" spans="1:45" x14ac:dyDescent="0.25">
      <c r="A13" t="s">
        <v>35</v>
      </c>
      <c r="B13" s="15" t="s">
        <v>69</v>
      </c>
      <c r="C13" s="3" t="s">
        <v>44</v>
      </c>
      <c r="D13" s="3" t="s">
        <v>288</v>
      </c>
      <c r="E13" s="3">
        <f>PLANTILLA!E14</f>
        <v>22</v>
      </c>
      <c r="F13" s="3">
        <f ca="1">PLANTILLA!F14</f>
        <v>35</v>
      </c>
      <c r="G13" s="206">
        <f>PLANTILLA!X14</f>
        <v>0</v>
      </c>
      <c r="H13" s="206">
        <f>PLANTILLA!Y14</f>
        <v>8.6</v>
      </c>
      <c r="I13" s="206">
        <f>PLANTILLA!Z14</f>
        <v>5.7</v>
      </c>
      <c r="J13" s="206">
        <f>PLANTILLA!AA14</f>
        <v>14.124999999999996</v>
      </c>
      <c r="K13" s="206">
        <f>PLANTILLA!AB14</f>
        <v>6</v>
      </c>
      <c r="L13" s="206">
        <f>PLANTILLA!AC14</f>
        <v>7.5</v>
      </c>
      <c r="M13" s="206">
        <f>PLANTILLA!AD14</f>
        <v>5</v>
      </c>
      <c r="N13" s="47">
        <f>PLANTILLA!V14</f>
        <v>13450</v>
      </c>
      <c r="O13" s="224">
        <v>0</v>
      </c>
      <c r="P13" s="224">
        <v>23</v>
      </c>
      <c r="Q13" s="224">
        <v>10.5</v>
      </c>
      <c r="R13" s="190">
        <v>47.5</v>
      </c>
      <c r="S13" s="190">
        <v>10</v>
      </c>
      <c r="T13" s="190">
        <v>18</v>
      </c>
      <c r="U13" s="190">
        <v>3</v>
      </c>
      <c r="V13" s="233">
        <f t="shared" si="2"/>
        <v>112</v>
      </c>
      <c r="X13" t="s">
        <v>35</v>
      </c>
      <c r="Y13" s="18">
        <f t="shared" si="3"/>
        <v>23</v>
      </c>
      <c r="Z13" s="3">
        <f t="shared" ca="1" si="4"/>
        <v>11</v>
      </c>
      <c r="AA13" s="111">
        <f t="shared" si="5"/>
        <v>0</v>
      </c>
      <c r="AB13" s="111">
        <f>10+6/9</f>
        <v>10.666666666666666</v>
      </c>
      <c r="AC13" s="111">
        <f t="shared" si="0"/>
        <v>5.7</v>
      </c>
      <c r="AD13" s="111">
        <v>14</v>
      </c>
      <c r="AE13" s="111">
        <f t="shared" si="0"/>
        <v>6</v>
      </c>
      <c r="AF13" s="111">
        <f t="shared" si="0"/>
        <v>7.5</v>
      </c>
      <c r="AG13" s="111">
        <f t="shared" si="0"/>
        <v>5</v>
      </c>
      <c r="AH13" s="47">
        <f>(11610+300+145+150+1200)*1.016</f>
        <v>13619.48</v>
      </c>
      <c r="AI13" s="228">
        <f t="shared" si="6"/>
        <v>0</v>
      </c>
      <c r="AJ13" s="228">
        <f t="shared" si="7"/>
        <v>37</v>
      </c>
      <c r="AK13" s="228">
        <f t="shared" si="8"/>
        <v>10.5</v>
      </c>
      <c r="AL13" s="228">
        <f t="shared" si="9"/>
        <v>47.5</v>
      </c>
      <c r="AM13" s="228">
        <f t="shared" si="10"/>
        <v>10</v>
      </c>
      <c r="AN13" s="228">
        <f t="shared" si="11"/>
        <v>18</v>
      </c>
      <c r="AO13" s="228">
        <f t="shared" si="12"/>
        <v>3</v>
      </c>
      <c r="AP13" s="233">
        <f t="shared" si="13"/>
        <v>126</v>
      </c>
    </row>
    <row r="14" spans="1:45" x14ac:dyDescent="0.25">
      <c r="A14" t="s">
        <v>39</v>
      </c>
      <c r="B14" s="15" t="s">
        <v>69</v>
      </c>
      <c r="C14" s="3" t="s">
        <v>44</v>
      </c>
      <c r="D14" s="3" t="s">
        <v>421</v>
      </c>
      <c r="E14" s="3">
        <f>PLANTILLA!E12</f>
        <v>22</v>
      </c>
      <c r="F14" s="3">
        <f ca="1">PLANTILLA!F12</f>
        <v>0</v>
      </c>
      <c r="G14" s="206">
        <f>PLANTILLA!X12</f>
        <v>0</v>
      </c>
      <c r="H14" s="206">
        <f>PLANTILLA!Y12</f>
        <v>10.571428571428571</v>
      </c>
      <c r="I14" s="206">
        <f>PLANTILLA!Z12</f>
        <v>3</v>
      </c>
      <c r="J14" s="206">
        <f>PLANTILLA!AA12</f>
        <v>13</v>
      </c>
      <c r="K14" s="206">
        <f>PLANTILLA!AB12</f>
        <v>7</v>
      </c>
      <c r="L14" s="206">
        <f>PLANTILLA!AC12</f>
        <v>7</v>
      </c>
      <c r="M14" s="206">
        <f>PLANTILLA!AD12</f>
        <v>3</v>
      </c>
      <c r="N14" s="47">
        <f>PLANTILLA!V12</f>
        <v>9290</v>
      </c>
      <c r="O14" s="224">
        <v>0</v>
      </c>
      <c r="P14" s="224">
        <v>41</v>
      </c>
      <c r="Q14" s="224">
        <v>3</v>
      </c>
      <c r="R14" s="190">
        <v>39.5</v>
      </c>
      <c r="S14" s="190">
        <v>14</v>
      </c>
      <c r="T14" s="190">
        <v>16</v>
      </c>
      <c r="U14" s="190">
        <v>1</v>
      </c>
      <c r="V14" s="233">
        <f>SUM(O14:U14)</f>
        <v>114.5</v>
      </c>
      <c r="X14" t="s">
        <v>39</v>
      </c>
      <c r="Y14" s="18">
        <f>E14</f>
        <v>22</v>
      </c>
      <c r="Z14" s="3">
        <f ca="1">F14+(7*$AR$8)</f>
        <v>98</v>
      </c>
      <c r="AA14" s="111">
        <f t="shared" si="5"/>
        <v>0</v>
      </c>
      <c r="AB14" s="111">
        <f>12+2/11</f>
        <v>12.181818181818182</v>
      </c>
      <c r="AC14" s="111">
        <f t="shared" si="0"/>
        <v>3</v>
      </c>
      <c r="AD14" s="111">
        <f>12+5/6</f>
        <v>12.833333333333334</v>
      </c>
      <c r="AE14" s="111">
        <f t="shared" si="0"/>
        <v>7</v>
      </c>
      <c r="AF14" s="111">
        <f t="shared" si="0"/>
        <v>7</v>
      </c>
      <c r="AG14" s="111">
        <f t="shared" si="0"/>
        <v>3</v>
      </c>
      <c r="AH14" s="47">
        <f>(7000+165+125+245+3505)*1.012</f>
        <v>11172.48</v>
      </c>
      <c r="AI14" s="228">
        <f t="shared" si="6"/>
        <v>0</v>
      </c>
      <c r="AJ14" s="228">
        <f t="shared" si="7"/>
        <v>55</v>
      </c>
      <c r="AK14" s="228">
        <f t="shared" si="8"/>
        <v>3</v>
      </c>
      <c r="AL14" s="228">
        <f t="shared" si="9"/>
        <v>39.5</v>
      </c>
      <c r="AM14" s="228">
        <f t="shared" si="10"/>
        <v>14</v>
      </c>
      <c r="AN14" s="228">
        <f t="shared" si="11"/>
        <v>16</v>
      </c>
      <c r="AO14" s="228">
        <f t="shared" si="12"/>
        <v>1</v>
      </c>
      <c r="AP14" s="233">
        <f>SUM(AI14:AO14)</f>
        <v>128.5</v>
      </c>
    </row>
    <row r="15" spans="1:45" x14ac:dyDescent="0.25">
      <c r="A15" t="s">
        <v>33</v>
      </c>
      <c r="B15" s="15" t="s">
        <v>69</v>
      </c>
      <c r="C15" s="3" t="s">
        <v>272</v>
      </c>
      <c r="D15" s="3" t="s">
        <v>290</v>
      </c>
      <c r="E15" s="3">
        <f>PLANTILLA!E15</f>
        <v>22</v>
      </c>
      <c r="F15" s="3">
        <f ca="1">PLANTILLA!F15</f>
        <v>35</v>
      </c>
      <c r="G15" s="206">
        <f>PLANTILLA!X15</f>
        <v>0</v>
      </c>
      <c r="H15" s="206">
        <f>PLANTILLA!Y15</f>
        <v>9.1428571428571423</v>
      </c>
      <c r="I15" s="206">
        <f>PLANTILLA!Z15</f>
        <v>5</v>
      </c>
      <c r="J15" s="206">
        <f>PLANTILLA!AA15</f>
        <v>13.19</v>
      </c>
      <c r="K15" s="206">
        <f>PLANTILLA!AB15</f>
        <v>5</v>
      </c>
      <c r="L15" s="206">
        <f>PLANTILLA!AC15</f>
        <v>7.8016666666666676</v>
      </c>
      <c r="M15" s="206">
        <f>PLANTILLA!AD15</f>
        <v>3</v>
      </c>
      <c r="N15" s="47">
        <f>PLANTILLA!V15</f>
        <v>9050</v>
      </c>
      <c r="O15" s="224">
        <v>0</v>
      </c>
      <c r="P15" s="224">
        <v>31</v>
      </c>
      <c r="Q15" s="224">
        <v>9</v>
      </c>
      <c r="R15" s="190">
        <v>39.880000000000003</v>
      </c>
      <c r="S15" s="190">
        <v>7</v>
      </c>
      <c r="T15" s="190">
        <v>19</v>
      </c>
      <c r="U15" s="190">
        <v>1</v>
      </c>
      <c r="V15" s="233">
        <f>SUM(O15:U15)</f>
        <v>106.88</v>
      </c>
      <c r="X15" t="s">
        <v>33</v>
      </c>
      <c r="Y15" s="18">
        <f t="shared" si="3"/>
        <v>23</v>
      </c>
      <c r="Z15" s="3">
        <f t="shared" ca="1" si="4"/>
        <v>11</v>
      </c>
      <c r="AA15" s="111">
        <f t="shared" si="5"/>
        <v>0</v>
      </c>
      <c r="AB15" s="111">
        <f>11+1/10</f>
        <v>11.1</v>
      </c>
      <c r="AC15" s="111">
        <f t="shared" si="0"/>
        <v>5</v>
      </c>
      <c r="AD15" s="111">
        <f>13+2/6</f>
        <v>13.333333333333334</v>
      </c>
      <c r="AE15" s="111">
        <f t="shared" si="0"/>
        <v>5</v>
      </c>
      <c r="AF15" s="111">
        <f t="shared" si="0"/>
        <v>7.8016666666666676</v>
      </c>
      <c r="AG15" s="111">
        <f t="shared" si="0"/>
        <v>3</v>
      </c>
      <c r="AH15" s="47">
        <f>(9000+135+135+350+3900)*1.012</f>
        <v>13682.24</v>
      </c>
      <c r="AI15" s="228">
        <f t="shared" si="6"/>
        <v>0</v>
      </c>
      <c r="AJ15" s="228">
        <f t="shared" si="7"/>
        <v>45</v>
      </c>
      <c r="AK15" s="228">
        <f t="shared" si="8"/>
        <v>9</v>
      </c>
      <c r="AL15" s="228">
        <f t="shared" si="9"/>
        <v>39.880000000000003</v>
      </c>
      <c r="AM15" s="228">
        <f t="shared" si="10"/>
        <v>7</v>
      </c>
      <c r="AN15" s="228">
        <f t="shared" si="11"/>
        <v>19</v>
      </c>
      <c r="AO15" s="228">
        <f t="shared" si="12"/>
        <v>1</v>
      </c>
      <c r="AP15" s="233">
        <f>SUM(AI15:AO15)</f>
        <v>120.88</v>
      </c>
    </row>
    <row r="16" spans="1:45" x14ac:dyDescent="0.25">
      <c r="A16" t="s">
        <v>41</v>
      </c>
      <c r="B16" s="15" t="s">
        <v>43</v>
      </c>
      <c r="C16" s="3"/>
      <c r="D16" s="3"/>
      <c r="E16" s="3"/>
      <c r="F16" s="3"/>
      <c r="G16" s="206">
        <v>0</v>
      </c>
      <c r="H16" s="130">
        <v>2</v>
      </c>
      <c r="I16" s="206">
        <v>2</v>
      </c>
      <c r="J16" s="130">
        <v>2</v>
      </c>
      <c r="K16" s="206">
        <v>2</v>
      </c>
      <c r="L16" s="130">
        <v>2</v>
      </c>
      <c r="M16" s="206">
        <v>2</v>
      </c>
      <c r="N16" s="47"/>
      <c r="O16" s="224">
        <v>0</v>
      </c>
      <c r="P16" s="224">
        <v>0</v>
      </c>
      <c r="Q16" s="224">
        <v>0</v>
      </c>
      <c r="R16" s="190">
        <v>0</v>
      </c>
      <c r="S16" s="190">
        <v>0</v>
      </c>
      <c r="T16" s="190">
        <v>0</v>
      </c>
      <c r="U16" s="190">
        <v>0</v>
      </c>
      <c r="V16" s="233">
        <f>SUM(O16:U16)</f>
        <v>0</v>
      </c>
      <c r="X16" t="s">
        <v>41</v>
      </c>
      <c r="Y16" s="3"/>
      <c r="Z16" s="3"/>
      <c r="AA16" s="111">
        <f t="shared" si="5"/>
        <v>0</v>
      </c>
      <c r="AB16" s="111">
        <f t="shared" si="0"/>
        <v>2</v>
      </c>
      <c r="AC16" s="111">
        <f t="shared" si="0"/>
        <v>2</v>
      </c>
      <c r="AD16" s="111">
        <f t="shared" si="0"/>
        <v>2</v>
      </c>
      <c r="AE16" s="111">
        <f t="shared" si="0"/>
        <v>2</v>
      </c>
      <c r="AF16" s="111">
        <f t="shared" si="0"/>
        <v>2</v>
      </c>
      <c r="AG16" s="111">
        <f t="shared" si="0"/>
        <v>2</v>
      </c>
      <c r="AH16" s="47"/>
      <c r="AI16" s="228">
        <f t="shared" si="6"/>
        <v>0</v>
      </c>
      <c r="AJ16" s="228">
        <v>0</v>
      </c>
      <c r="AK16" s="228">
        <f t="shared" si="8"/>
        <v>0</v>
      </c>
      <c r="AL16" s="228">
        <f t="shared" si="9"/>
        <v>0</v>
      </c>
      <c r="AM16" s="228">
        <f t="shared" si="10"/>
        <v>0</v>
      </c>
      <c r="AN16" s="228">
        <f t="shared" si="11"/>
        <v>0</v>
      </c>
      <c r="AO16" s="228">
        <f t="shared" si="12"/>
        <v>0</v>
      </c>
      <c r="AP16" s="233">
        <f>SUM(AI16:AO16)</f>
        <v>0</v>
      </c>
    </row>
    <row r="17" spans="1:45" x14ac:dyDescent="0.25">
      <c r="A17" t="s">
        <v>45</v>
      </c>
      <c r="B17" s="15" t="s">
        <v>43</v>
      </c>
      <c r="C17" s="3"/>
      <c r="D17" s="3"/>
      <c r="E17" s="3"/>
      <c r="F17" s="3"/>
      <c r="G17" s="206">
        <v>0</v>
      </c>
      <c r="H17" s="130">
        <v>2</v>
      </c>
      <c r="I17" s="206">
        <v>2</v>
      </c>
      <c r="J17" s="130">
        <v>2</v>
      </c>
      <c r="K17" s="206">
        <v>2</v>
      </c>
      <c r="L17" s="130">
        <v>2</v>
      </c>
      <c r="M17" s="206">
        <v>2</v>
      </c>
      <c r="N17" s="47"/>
      <c r="O17" s="224">
        <v>0</v>
      </c>
      <c r="P17" s="224">
        <v>0</v>
      </c>
      <c r="Q17" s="224">
        <v>0</v>
      </c>
      <c r="R17" s="190">
        <v>0</v>
      </c>
      <c r="S17" s="190">
        <v>0</v>
      </c>
      <c r="T17" s="190">
        <v>0</v>
      </c>
      <c r="U17" s="190">
        <v>0</v>
      </c>
      <c r="V17" s="233">
        <f>SUM(O17:U17)</f>
        <v>0</v>
      </c>
      <c r="X17" t="s">
        <v>45</v>
      </c>
      <c r="Y17" s="3"/>
      <c r="Z17" s="3"/>
      <c r="AA17" s="111">
        <f t="shared" si="5"/>
        <v>0</v>
      </c>
      <c r="AB17" s="111">
        <f t="shared" si="0"/>
        <v>2</v>
      </c>
      <c r="AC17" s="111">
        <f t="shared" si="0"/>
        <v>2</v>
      </c>
      <c r="AD17" s="111">
        <f t="shared" si="0"/>
        <v>2</v>
      </c>
      <c r="AE17" s="111">
        <f t="shared" si="0"/>
        <v>2</v>
      </c>
      <c r="AF17" s="111">
        <f t="shared" si="0"/>
        <v>2</v>
      </c>
      <c r="AG17" s="111">
        <f t="shared" si="0"/>
        <v>2</v>
      </c>
      <c r="AH17" s="47"/>
      <c r="AI17" s="228">
        <f t="shared" si="6"/>
        <v>0</v>
      </c>
      <c r="AJ17" s="228">
        <v>0</v>
      </c>
      <c r="AK17" s="228">
        <f t="shared" si="8"/>
        <v>0</v>
      </c>
      <c r="AL17" s="228">
        <f t="shared" si="9"/>
        <v>0</v>
      </c>
      <c r="AM17" s="228">
        <f t="shared" si="10"/>
        <v>0</v>
      </c>
      <c r="AN17" s="228">
        <f t="shared" si="11"/>
        <v>0</v>
      </c>
      <c r="AO17" s="228">
        <f t="shared" si="12"/>
        <v>0</v>
      </c>
      <c r="AP17" s="233">
        <f>SUM(AI17:AO17)</f>
        <v>0</v>
      </c>
    </row>
    <row r="18" spans="1:45" x14ac:dyDescent="0.25">
      <c r="A18" t="s">
        <v>291</v>
      </c>
      <c r="B18" s="15" t="s">
        <v>43</v>
      </c>
      <c r="C18" s="3"/>
      <c r="D18" s="3"/>
      <c r="E18" s="3"/>
      <c r="F18" s="3"/>
      <c r="G18" s="206">
        <v>0</v>
      </c>
      <c r="H18" s="130">
        <v>2</v>
      </c>
      <c r="I18" s="206">
        <v>2</v>
      </c>
      <c r="J18" s="130">
        <v>2</v>
      </c>
      <c r="K18" s="206">
        <v>2</v>
      </c>
      <c r="L18" s="130">
        <v>2</v>
      </c>
      <c r="M18" s="206">
        <v>2</v>
      </c>
      <c r="N18" s="47"/>
      <c r="O18" s="224">
        <v>0</v>
      </c>
      <c r="P18" s="224">
        <v>0</v>
      </c>
      <c r="Q18" s="224">
        <v>0</v>
      </c>
      <c r="R18" s="190">
        <v>0</v>
      </c>
      <c r="S18" s="190">
        <v>0</v>
      </c>
      <c r="T18" s="190">
        <v>0</v>
      </c>
      <c r="U18" s="190">
        <v>0</v>
      </c>
      <c r="V18" s="233">
        <f>SUM(O18:U18)</f>
        <v>0</v>
      </c>
      <c r="X18" t="s">
        <v>291</v>
      </c>
      <c r="Y18" s="3"/>
      <c r="Z18" s="3"/>
      <c r="AA18" s="111">
        <f t="shared" si="5"/>
        <v>0</v>
      </c>
      <c r="AB18" s="111">
        <f t="shared" si="0"/>
        <v>2</v>
      </c>
      <c r="AC18" s="111">
        <f t="shared" si="0"/>
        <v>2</v>
      </c>
      <c r="AD18" s="111">
        <f t="shared" si="0"/>
        <v>2</v>
      </c>
      <c r="AE18" s="111">
        <f t="shared" si="0"/>
        <v>2</v>
      </c>
      <c r="AF18" s="111">
        <f t="shared" si="0"/>
        <v>2</v>
      </c>
      <c r="AG18" s="111">
        <f t="shared" si="0"/>
        <v>2</v>
      </c>
      <c r="AH18" s="47"/>
      <c r="AI18" s="228">
        <f t="shared" si="6"/>
        <v>0</v>
      </c>
      <c r="AJ18" s="228">
        <v>0</v>
      </c>
      <c r="AK18" s="228">
        <f t="shared" si="8"/>
        <v>0</v>
      </c>
      <c r="AL18" s="228">
        <f t="shared" si="9"/>
        <v>0</v>
      </c>
      <c r="AM18" s="228">
        <f t="shared" si="10"/>
        <v>0</v>
      </c>
      <c r="AN18" s="228">
        <f t="shared" si="11"/>
        <v>0</v>
      </c>
      <c r="AO18" s="228">
        <f t="shared" si="12"/>
        <v>0</v>
      </c>
      <c r="AP18" s="233">
        <f>SUM(AI18:AO18)</f>
        <v>0</v>
      </c>
    </row>
    <row r="19" spans="1:45" x14ac:dyDescent="0.25">
      <c r="N19" s="191">
        <f>SUM(N21:N35)</f>
        <v>256852.38000000009</v>
      </c>
      <c r="AH19" s="191">
        <f>SUM(AH21:AH35)</f>
        <v>265456.36499999999</v>
      </c>
    </row>
    <row r="20" spans="1:45" x14ac:dyDescent="0.25">
      <c r="A20" s="10" t="s">
        <v>168</v>
      </c>
      <c r="B20" s="10" t="s">
        <v>2</v>
      </c>
      <c r="C20" s="10" t="s">
        <v>82</v>
      </c>
      <c r="D20" s="10" t="str">
        <f>D2</f>
        <v>Nombre</v>
      </c>
      <c r="E20" s="10" t="str">
        <f>E2</f>
        <v>Año</v>
      </c>
      <c r="F20" s="10" t="str">
        <f>F2</f>
        <v>Dia</v>
      </c>
      <c r="G20" s="10" t="s">
        <v>15</v>
      </c>
      <c r="H20" s="10" t="s">
        <v>16</v>
      </c>
      <c r="I20" s="10" t="s">
        <v>17</v>
      </c>
      <c r="J20" s="10" t="s">
        <v>18</v>
      </c>
      <c r="K20" s="10" t="s">
        <v>19</v>
      </c>
      <c r="L20" s="10" t="s">
        <v>20</v>
      </c>
      <c r="M20" s="10" t="s">
        <v>6</v>
      </c>
      <c r="N20" s="10" t="s">
        <v>67</v>
      </c>
      <c r="O20" s="10" t="s">
        <v>280</v>
      </c>
      <c r="P20" s="10" t="s">
        <v>281</v>
      </c>
      <c r="Q20" s="10" t="s">
        <v>282</v>
      </c>
      <c r="R20" s="10" t="s">
        <v>283</v>
      </c>
      <c r="S20" s="10" t="s">
        <v>284</v>
      </c>
      <c r="T20" s="10" t="s">
        <v>285</v>
      </c>
      <c r="U20" s="10" t="s">
        <v>286</v>
      </c>
      <c r="V20" s="10" t="s">
        <v>287</v>
      </c>
      <c r="X20" s="10" t="s">
        <v>168</v>
      </c>
      <c r="Y20" s="10" t="str">
        <f>Y2</f>
        <v>Año</v>
      </c>
      <c r="Z20" s="10" t="str">
        <f>Z2</f>
        <v>Dia</v>
      </c>
      <c r="AA20" s="10" t="s">
        <v>15</v>
      </c>
      <c r="AB20" s="10" t="s">
        <v>16</v>
      </c>
      <c r="AC20" s="10" t="s">
        <v>17</v>
      </c>
      <c r="AD20" s="10" t="s">
        <v>18</v>
      </c>
      <c r="AE20" s="10" t="s">
        <v>19</v>
      </c>
      <c r="AF20" s="10" t="s">
        <v>20</v>
      </c>
      <c r="AG20" s="10" t="s">
        <v>6</v>
      </c>
      <c r="AH20" s="10" t="s">
        <v>67</v>
      </c>
      <c r="AI20" s="10" t="s">
        <v>280</v>
      </c>
      <c r="AJ20" s="10" t="s">
        <v>281</v>
      </c>
      <c r="AK20" s="10" t="s">
        <v>282</v>
      </c>
      <c r="AL20" s="10" t="s">
        <v>283</v>
      </c>
      <c r="AM20" s="10" t="s">
        <v>284</v>
      </c>
      <c r="AN20" s="10" t="s">
        <v>285</v>
      </c>
      <c r="AO20" s="10" t="s">
        <v>286</v>
      </c>
      <c r="AP20" s="10" t="s">
        <v>287</v>
      </c>
    </row>
    <row r="21" spans="1:45" x14ac:dyDescent="0.25">
      <c r="A21" t="s">
        <v>28</v>
      </c>
      <c r="B21" s="15" t="s">
        <v>27</v>
      </c>
      <c r="C21" s="18"/>
      <c r="D21" s="18" t="str">
        <f t="shared" ref="D21:D22" si="14">D3</f>
        <v>C. Fonteboa</v>
      </c>
      <c r="E21" s="18">
        <f t="shared" ref="E21" si="15">Y3</f>
        <v>23</v>
      </c>
      <c r="F21" s="18">
        <f t="shared" ref="F21" ca="1" si="16">Z3</f>
        <v>22</v>
      </c>
      <c r="G21" s="111">
        <f t="shared" ref="G21" si="17">AA3</f>
        <v>15</v>
      </c>
      <c r="H21" s="111">
        <f t="shared" ref="H21" si="18">AB3</f>
        <v>11.6</v>
      </c>
      <c r="I21" s="111">
        <f t="shared" ref="I21" si="19">AC3</f>
        <v>0</v>
      </c>
      <c r="J21" s="111">
        <f t="shared" ref="J21" si="20">AD3</f>
        <v>0</v>
      </c>
      <c r="K21" s="111">
        <f t="shared" ref="K21" si="21">AE3</f>
        <v>0</v>
      </c>
      <c r="L21" s="111">
        <f t="shared" ref="L21" si="22">AF3</f>
        <v>1</v>
      </c>
      <c r="M21" s="111">
        <f t="shared" ref="M21" si="23">AG3</f>
        <v>1</v>
      </c>
      <c r="N21" s="47">
        <f>AH3</f>
        <v>26782.560000000001</v>
      </c>
      <c r="O21" s="224">
        <f>AI3</f>
        <v>51.5</v>
      </c>
      <c r="P21" s="229">
        <f t="shared" ref="P21:U21" si="24">AJ3</f>
        <v>53</v>
      </c>
      <c r="Q21" s="229">
        <f t="shared" si="24"/>
        <v>0</v>
      </c>
      <c r="R21" s="229">
        <f t="shared" si="24"/>
        <v>0</v>
      </c>
      <c r="S21" s="229">
        <f t="shared" si="24"/>
        <v>0</v>
      </c>
      <c r="T21" s="229">
        <f t="shared" si="24"/>
        <v>0</v>
      </c>
      <c r="U21" s="229">
        <f t="shared" si="24"/>
        <v>0</v>
      </c>
      <c r="V21" s="66">
        <f>SUM(O21:U21)</f>
        <v>104.5</v>
      </c>
      <c r="X21" t="s">
        <v>28</v>
      </c>
      <c r="Y21" s="18">
        <f>E21+2</f>
        <v>25</v>
      </c>
      <c r="Z21" s="18">
        <f ca="1">F21+(($AR$25+$AR$26)*7)-112-112</f>
        <v>1</v>
      </c>
      <c r="AA21" s="111">
        <f>G21</f>
        <v>15</v>
      </c>
      <c r="AB21" s="111">
        <f>H21</f>
        <v>11.6</v>
      </c>
      <c r="AC21" s="111">
        <f t="shared" ref="AC21:AF22" si="25">I21</f>
        <v>0</v>
      </c>
      <c r="AD21" s="111">
        <f t="shared" si="25"/>
        <v>0</v>
      </c>
      <c r="AE21" s="111">
        <f t="shared" si="25"/>
        <v>0</v>
      </c>
      <c r="AF21" s="111">
        <f t="shared" si="25"/>
        <v>1</v>
      </c>
      <c r="AG21" s="111">
        <v>13.5</v>
      </c>
      <c r="AH21" s="47">
        <f>(24270+2300)*1.038</f>
        <v>27579.66</v>
      </c>
      <c r="AI21" s="224">
        <f>O21</f>
        <v>51.5</v>
      </c>
      <c r="AJ21" s="229">
        <f>P21</f>
        <v>53</v>
      </c>
      <c r="AK21" s="224">
        <f t="shared" ref="AK21:AN36" si="26">Q21</f>
        <v>0</v>
      </c>
      <c r="AL21" s="224">
        <f t="shared" si="26"/>
        <v>0</v>
      </c>
      <c r="AM21" s="224">
        <f t="shared" si="26"/>
        <v>0</v>
      </c>
      <c r="AN21" s="224">
        <f t="shared" si="26"/>
        <v>0</v>
      </c>
      <c r="AO21" s="224">
        <f>U21+$AR$26</f>
        <v>15</v>
      </c>
      <c r="AP21" s="66">
        <f>SUM(AI21:AO21)</f>
        <v>119.5</v>
      </c>
    </row>
    <row r="22" spans="1:45" x14ac:dyDescent="0.25">
      <c r="A22" t="s">
        <v>31</v>
      </c>
      <c r="B22" s="15" t="s">
        <v>29</v>
      </c>
      <c r="C22" s="18"/>
      <c r="D22" s="18" t="str">
        <f t="shared" si="14"/>
        <v>M. Fernandez</v>
      </c>
      <c r="E22" s="18">
        <f t="shared" ref="E22:F22" si="27">Y4</f>
        <v>23</v>
      </c>
      <c r="F22" s="18">
        <f t="shared" ca="1" si="27"/>
        <v>19</v>
      </c>
      <c r="G22" s="111">
        <f t="shared" ref="G22:G34" si="28">AA4</f>
        <v>0</v>
      </c>
      <c r="H22" s="111">
        <f t="shared" ref="H22:H34" si="29">AB4</f>
        <v>15.166666666666666</v>
      </c>
      <c r="I22" s="111">
        <f t="shared" ref="I22:I33" si="30">AC4</f>
        <v>5</v>
      </c>
      <c r="J22" s="111">
        <f t="shared" ref="J22:J33" si="31">AD4</f>
        <v>5.2</v>
      </c>
      <c r="K22" s="111">
        <f t="shared" ref="K22:K33" si="32">AE4</f>
        <v>5</v>
      </c>
      <c r="L22" s="111">
        <f t="shared" ref="L22:L33" si="33">AF4</f>
        <v>2</v>
      </c>
      <c r="M22" s="111">
        <f t="shared" ref="M22:M33" si="34">AG4</f>
        <v>1</v>
      </c>
      <c r="N22" s="47">
        <f t="shared" ref="N22:N33" si="35">AH4</f>
        <v>28513.599999999999</v>
      </c>
      <c r="O22" s="229">
        <f t="shared" ref="O22:O33" si="36">AI4</f>
        <v>0</v>
      </c>
      <c r="P22" s="229">
        <f t="shared" ref="P22:P33" si="37">AJ4</f>
        <v>101</v>
      </c>
      <c r="Q22" s="229">
        <f t="shared" ref="Q22:Q33" si="38">AK4</f>
        <v>9</v>
      </c>
      <c r="R22" s="229">
        <f t="shared" ref="R22:R33" si="39">AL4</f>
        <v>6</v>
      </c>
      <c r="S22" s="229">
        <f t="shared" ref="S22:S33" si="40">AM4</f>
        <v>7</v>
      </c>
      <c r="T22" s="229">
        <f t="shared" ref="T22:T33" si="41">AN4</f>
        <v>0</v>
      </c>
      <c r="U22" s="229">
        <f t="shared" ref="U22:U33" si="42">AO4</f>
        <v>0</v>
      </c>
      <c r="V22" s="66">
        <f>SUM(O22:U22)</f>
        <v>123</v>
      </c>
      <c r="X22" t="s">
        <v>31</v>
      </c>
      <c r="Y22" s="18">
        <f>E22+1</f>
        <v>24</v>
      </c>
      <c r="Z22" s="18">
        <f ca="1">F22+(($AR$25+$AR$26)*7)-112</f>
        <v>110</v>
      </c>
      <c r="AA22" s="111">
        <f>G22</f>
        <v>0</v>
      </c>
      <c r="AB22" s="111">
        <f t="shared" ref="AB22:AB33" si="43">H22</f>
        <v>15.166666666666666</v>
      </c>
      <c r="AC22" s="111">
        <f t="shared" si="25"/>
        <v>5</v>
      </c>
      <c r="AD22" s="111">
        <f t="shared" si="25"/>
        <v>5.2</v>
      </c>
      <c r="AE22" s="111">
        <f>8+3/5</f>
        <v>8.6</v>
      </c>
      <c r="AF22" s="111">
        <f t="shared" si="25"/>
        <v>2</v>
      </c>
      <c r="AG22" s="111">
        <v>13.5</v>
      </c>
      <c r="AH22" s="47">
        <f>(28000+135+140+135)*1.038</f>
        <v>29489.58</v>
      </c>
      <c r="AI22" s="224">
        <f t="shared" ref="AI22:AJ36" si="44">O22</f>
        <v>0</v>
      </c>
      <c r="AJ22" s="229">
        <f t="shared" ref="AJ22:AJ33" si="45">P22</f>
        <v>101</v>
      </c>
      <c r="AK22" s="224">
        <f t="shared" si="26"/>
        <v>9</v>
      </c>
      <c r="AL22" s="224">
        <f t="shared" si="26"/>
        <v>6</v>
      </c>
      <c r="AM22" s="224">
        <f>S22+$AR$25</f>
        <v>21</v>
      </c>
      <c r="AN22" s="224">
        <f t="shared" si="26"/>
        <v>0</v>
      </c>
      <c r="AO22" s="229">
        <f t="shared" ref="AO22:AO36" si="46">U22+$AR$26</f>
        <v>15</v>
      </c>
      <c r="AP22" s="66">
        <f>SUM(AI22:AO22)</f>
        <v>152</v>
      </c>
    </row>
    <row r="23" spans="1:45" x14ac:dyDescent="0.25">
      <c r="A23" t="s">
        <v>32</v>
      </c>
      <c r="B23" s="15" t="s">
        <v>29</v>
      </c>
      <c r="C23" s="18"/>
      <c r="D23" s="18" t="str">
        <f t="shared" ref="D23:D25" si="47">D5</f>
        <v>B. Abandero</v>
      </c>
      <c r="E23" s="18">
        <f t="shared" ref="E23:F23" si="48">Y5</f>
        <v>23</v>
      </c>
      <c r="F23" s="18">
        <f t="shared" ca="1" si="48"/>
        <v>50</v>
      </c>
      <c r="G23" s="111">
        <f t="shared" si="28"/>
        <v>0</v>
      </c>
      <c r="H23" s="111">
        <f t="shared" si="29"/>
        <v>13.416666666666666</v>
      </c>
      <c r="I23" s="111">
        <f t="shared" si="30"/>
        <v>3</v>
      </c>
      <c r="J23" s="111">
        <f t="shared" si="31"/>
        <v>7.083333333333333</v>
      </c>
      <c r="K23" s="111">
        <f t="shared" si="32"/>
        <v>10</v>
      </c>
      <c r="L23" s="111">
        <f t="shared" si="33"/>
        <v>3</v>
      </c>
      <c r="M23" s="111">
        <f t="shared" si="34"/>
        <v>2</v>
      </c>
      <c r="N23" s="47">
        <f t="shared" si="35"/>
        <v>13492.08</v>
      </c>
      <c r="O23" s="229">
        <f t="shared" si="36"/>
        <v>0</v>
      </c>
      <c r="P23" s="229">
        <f t="shared" si="37"/>
        <v>74</v>
      </c>
      <c r="Q23" s="229">
        <f t="shared" si="38"/>
        <v>3</v>
      </c>
      <c r="R23" s="229">
        <f t="shared" si="39"/>
        <v>11.5</v>
      </c>
      <c r="S23" s="229">
        <f t="shared" si="40"/>
        <v>29</v>
      </c>
      <c r="T23" s="229">
        <f t="shared" si="41"/>
        <v>2</v>
      </c>
      <c r="U23" s="229">
        <f t="shared" si="42"/>
        <v>0</v>
      </c>
      <c r="V23" s="66">
        <f>SUM(O23:U23)</f>
        <v>119.5</v>
      </c>
      <c r="X23" t="s">
        <v>32</v>
      </c>
      <c r="Y23" s="18">
        <f>E23+2</f>
        <v>25</v>
      </c>
      <c r="Z23" s="18">
        <f ca="1">F23+(($AR$25+$AR$26)*7)-112-112</f>
        <v>29</v>
      </c>
      <c r="AA23" s="111">
        <f t="shared" ref="AA23:AA36" si="49">G23</f>
        <v>0</v>
      </c>
      <c r="AB23" s="111">
        <f t="shared" si="43"/>
        <v>13.416666666666666</v>
      </c>
      <c r="AC23" s="111">
        <f t="shared" ref="AC23:AC36" si="50">I23</f>
        <v>3</v>
      </c>
      <c r="AD23" s="111">
        <f t="shared" ref="AD23:AD36" si="51">J23</f>
        <v>7.083333333333333</v>
      </c>
      <c r="AE23" s="111">
        <v>12</v>
      </c>
      <c r="AF23" s="111">
        <f t="shared" ref="AF23:AF36" si="52">L23</f>
        <v>3</v>
      </c>
      <c r="AG23" s="111">
        <v>13.5</v>
      </c>
      <c r="AH23" s="47">
        <f>(195+13000+515)*1.038</f>
        <v>14230.98</v>
      </c>
      <c r="AI23" s="224">
        <f t="shared" si="44"/>
        <v>0</v>
      </c>
      <c r="AJ23" s="229">
        <f t="shared" si="45"/>
        <v>74</v>
      </c>
      <c r="AK23" s="224">
        <f t="shared" si="26"/>
        <v>3</v>
      </c>
      <c r="AL23" s="224">
        <f t="shared" si="26"/>
        <v>11.5</v>
      </c>
      <c r="AM23" s="229">
        <f t="shared" ref="AM23:AM36" si="53">S23+$AR$25</f>
        <v>43</v>
      </c>
      <c r="AN23" s="224">
        <f t="shared" si="26"/>
        <v>2</v>
      </c>
      <c r="AO23" s="229">
        <f t="shared" si="46"/>
        <v>15</v>
      </c>
      <c r="AP23" s="66">
        <f>SUM(AI23:AO23)</f>
        <v>148.5</v>
      </c>
      <c r="AQ23" s="207"/>
    </row>
    <row r="24" spans="1:45" x14ac:dyDescent="0.25">
      <c r="A24" t="s">
        <v>38</v>
      </c>
      <c r="B24" s="15" t="s">
        <v>29</v>
      </c>
      <c r="C24" s="3"/>
      <c r="D24" s="18" t="str">
        <f t="shared" si="47"/>
        <v>I. R. Figueroa</v>
      </c>
      <c r="E24" s="18">
        <f t="shared" ref="E24:E25" si="54">Y6</f>
        <v>23</v>
      </c>
      <c r="F24" s="18">
        <f t="shared" ref="F24:F25" ca="1" si="55">Z6</f>
        <v>0</v>
      </c>
      <c r="G24" s="111">
        <f t="shared" si="28"/>
        <v>0</v>
      </c>
      <c r="H24" s="111">
        <f t="shared" si="29"/>
        <v>15.166666666666666</v>
      </c>
      <c r="I24" s="111">
        <f t="shared" si="30"/>
        <v>5</v>
      </c>
      <c r="J24" s="111">
        <f t="shared" si="31"/>
        <v>7</v>
      </c>
      <c r="K24" s="111">
        <f t="shared" si="32"/>
        <v>5</v>
      </c>
      <c r="L24" s="111">
        <f t="shared" si="33"/>
        <v>1</v>
      </c>
      <c r="M24" s="111">
        <f t="shared" si="34"/>
        <v>0</v>
      </c>
      <c r="N24" s="47">
        <f t="shared" si="35"/>
        <v>28513.599999999999</v>
      </c>
      <c r="O24" s="229">
        <f t="shared" si="36"/>
        <v>0</v>
      </c>
      <c r="P24" s="229">
        <f t="shared" si="37"/>
        <v>100</v>
      </c>
      <c r="Q24" s="229">
        <f t="shared" si="38"/>
        <v>9</v>
      </c>
      <c r="R24" s="229">
        <f t="shared" si="39"/>
        <v>10.5</v>
      </c>
      <c r="S24" s="229">
        <f t="shared" si="40"/>
        <v>7</v>
      </c>
      <c r="T24" s="229">
        <f t="shared" si="41"/>
        <v>0</v>
      </c>
      <c r="U24" s="229">
        <f t="shared" si="42"/>
        <v>0</v>
      </c>
      <c r="V24" s="66">
        <f>SUM(O24:U24)</f>
        <v>126.5</v>
      </c>
      <c r="X24" t="s">
        <v>38</v>
      </c>
      <c r="Y24" s="18">
        <f t="shared" ref="Y24" si="56">E24+1</f>
        <v>24</v>
      </c>
      <c r="Z24" s="18">
        <f t="shared" ref="Z24" ca="1" si="57">F24+(($AR$25+$AR$26)*7)-112</f>
        <v>91</v>
      </c>
      <c r="AA24" s="111">
        <f t="shared" si="49"/>
        <v>0</v>
      </c>
      <c r="AB24" s="111">
        <f t="shared" si="43"/>
        <v>15.166666666666666</v>
      </c>
      <c r="AC24" s="111">
        <f t="shared" si="50"/>
        <v>5</v>
      </c>
      <c r="AD24" s="111">
        <f t="shared" si="51"/>
        <v>7</v>
      </c>
      <c r="AE24" s="111">
        <f>8+3/5</f>
        <v>8.6</v>
      </c>
      <c r="AF24" s="111">
        <f t="shared" si="52"/>
        <v>1</v>
      </c>
      <c r="AG24" s="111">
        <v>13.5</v>
      </c>
      <c r="AH24" s="47">
        <f>(28000+135+145+135)*1.038</f>
        <v>29494.77</v>
      </c>
      <c r="AI24" s="224">
        <f t="shared" si="44"/>
        <v>0</v>
      </c>
      <c r="AJ24" s="229">
        <f t="shared" si="45"/>
        <v>100</v>
      </c>
      <c r="AK24" s="224">
        <f t="shared" si="26"/>
        <v>9</v>
      </c>
      <c r="AL24" s="224">
        <f t="shared" si="26"/>
        <v>10.5</v>
      </c>
      <c r="AM24" s="229">
        <f t="shared" si="53"/>
        <v>21</v>
      </c>
      <c r="AN24" s="224">
        <f t="shared" si="26"/>
        <v>0</v>
      </c>
      <c r="AO24" s="229">
        <f t="shared" si="46"/>
        <v>15</v>
      </c>
      <c r="AP24" s="66">
        <f>SUM(AI24:AO24)</f>
        <v>155.5</v>
      </c>
      <c r="AQ24" s="207"/>
      <c r="AR24" s="207" t="s">
        <v>323</v>
      </c>
      <c r="AS24" s="207" t="s">
        <v>324</v>
      </c>
    </row>
    <row r="25" spans="1:45" x14ac:dyDescent="0.25">
      <c r="A25" t="s">
        <v>40</v>
      </c>
      <c r="B25" s="15" t="s">
        <v>29</v>
      </c>
      <c r="C25" s="3"/>
      <c r="D25" s="18" t="str">
        <f t="shared" si="47"/>
        <v>G. Pedrajas</v>
      </c>
      <c r="E25" s="18">
        <f t="shared" si="54"/>
        <v>23</v>
      </c>
      <c r="F25" s="18">
        <f t="shared" ca="1" si="55"/>
        <v>35</v>
      </c>
      <c r="G25" s="111">
        <f t="shared" si="28"/>
        <v>0</v>
      </c>
      <c r="H25" s="111">
        <f t="shared" si="29"/>
        <v>11.7</v>
      </c>
      <c r="I25" s="111">
        <f t="shared" si="30"/>
        <v>11</v>
      </c>
      <c r="J25" s="111">
        <f t="shared" si="31"/>
        <v>4</v>
      </c>
      <c r="K25" s="111">
        <f t="shared" si="32"/>
        <v>9</v>
      </c>
      <c r="L25" s="111">
        <f t="shared" si="33"/>
        <v>4</v>
      </c>
      <c r="M25" s="111">
        <f t="shared" si="34"/>
        <v>1</v>
      </c>
      <c r="N25" s="47">
        <f t="shared" si="35"/>
        <v>9525.6</v>
      </c>
      <c r="O25" s="229">
        <f t="shared" si="36"/>
        <v>0</v>
      </c>
      <c r="P25" s="229">
        <f t="shared" si="37"/>
        <v>53</v>
      </c>
      <c r="Q25" s="229">
        <f t="shared" si="38"/>
        <v>40</v>
      </c>
      <c r="R25" s="229">
        <f t="shared" si="39"/>
        <v>3.5</v>
      </c>
      <c r="S25" s="229">
        <f t="shared" si="40"/>
        <v>23</v>
      </c>
      <c r="T25" s="229">
        <f t="shared" si="41"/>
        <v>5</v>
      </c>
      <c r="U25" s="229">
        <f t="shared" si="42"/>
        <v>0</v>
      </c>
      <c r="V25" s="66">
        <f t="shared" ref="V25:V31" si="58">SUM(O25:U25)</f>
        <v>124.5</v>
      </c>
      <c r="X25" t="s">
        <v>40</v>
      </c>
      <c r="Y25" s="18">
        <f t="shared" ref="Y25:Y34" si="59">E25+2</f>
        <v>25</v>
      </c>
      <c r="Z25" s="18">
        <f t="shared" ref="Z25:Z34" ca="1" si="60">F25+(($AR$25+$AR$26)*7)-112-112</f>
        <v>14</v>
      </c>
      <c r="AA25" s="111">
        <f t="shared" si="49"/>
        <v>0</v>
      </c>
      <c r="AB25" s="111">
        <f t="shared" si="43"/>
        <v>11.7</v>
      </c>
      <c r="AC25" s="111">
        <f t="shared" si="50"/>
        <v>11</v>
      </c>
      <c r="AD25" s="111">
        <f t="shared" si="51"/>
        <v>4</v>
      </c>
      <c r="AE25" s="111">
        <f>11+1/7</f>
        <v>11.142857142857142</v>
      </c>
      <c r="AF25" s="111">
        <f t="shared" si="52"/>
        <v>4</v>
      </c>
      <c r="AG25" s="111">
        <v>13.5</v>
      </c>
      <c r="AH25" s="47">
        <f>(6800+2505+305)*1.038</f>
        <v>9975.18</v>
      </c>
      <c r="AI25" s="224">
        <f t="shared" si="44"/>
        <v>0</v>
      </c>
      <c r="AJ25" s="229">
        <f t="shared" si="45"/>
        <v>53</v>
      </c>
      <c r="AK25" s="224">
        <f t="shared" si="26"/>
        <v>40</v>
      </c>
      <c r="AL25" s="224">
        <f t="shared" si="26"/>
        <v>3.5</v>
      </c>
      <c r="AM25" s="229">
        <f t="shared" si="53"/>
        <v>37</v>
      </c>
      <c r="AN25" s="224">
        <f t="shared" si="26"/>
        <v>5</v>
      </c>
      <c r="AO25" s="229">
        <f t="shared" si="46"/>
        <v>15</v>
      </c>
      <c r="AP25" s="66">
        <f t="shared" ref="AP25:AP31" si="61">SUM(AI25:AO25)</f>
        <v>153.5</v>
      </c>
      <c r="AQ25" s="207" t="s">
        <v>277</v>
      </c>
      <c r="AR25" s="110">
        <v>14</v>
      </c>
      <c r="AS25" s="231">
        <f>AR25/16</f>
        <v>0.875</v>
      </c>
    </row>
    <row r="26" spans="1:45" x14ac:dyDescent="0.25">
      <c r="A26" t="s">
        <v>37</v>
      </c>
      <c r="B26" s="15" t="s">
        <v>29</v>
      </c>
      <c r="C26" s="3" t="s">
        <v>272</v>
      </c>
      <c r="D26" s="3" t="s">
        <v>292</v>
      </c>
      <c r="E26" s="18">
        <v>23</v>
      </c>
      <c r="F26" s="18">
        <v>50</v>
      </c>
      <c r="G26" s="111">
        <f t="shared" si="28"/>
        <v>0</v>
      </c>
      <c r="H26" s="111">
        <v>14</v>
      </c>
      <c r="I26" s="111">
        <v>8</v>
      </c>
      <c r="J26" s="111">
        <f t="shared" si="31"/>
        <v>2</v>
      </c>
      <c r="K26" s="111">
        <v>8</v>
      </c>
      <c r="L26" s="111">
        <f t="shared" si="33"/>
        <v>2</v>
      </c>
      <c r="M26" s="111">
        <f t="shared" si="34"/>
        <v>2</v>
      </c>
      <c r="N26" s="47">
        <f>(18370+445+135)*1.008</f>
        <v>19101.599999999999</v>
      </c>
      <c r="O26" s="229">
        <f t="shared" si="36"/>
        <v>0</v>
      </c>
      <c r="P26" s="229">
        <v>79</v>
      </c>
      <c r="Q26" s="229">
        <v>21</v>
      </c>
      <c r="R26" s="229">
        <f t="shared" si="39"/>
        <v>0</v>
      </c>
      <c r="S26" s="229">
        <v>18</v>
      </c>
      <c r="T26" s="229">
        <f t="shared" si="41"/>
        <v>0</v>
      </c>
      <c r="U26" s="229">
        <f t="shared" si="42"/>
        <v>0</v>
      </c>
      <c r="V26" s="66">
        <f t="shared" si="58"/>
        <v>118</v>
      </c>
      <c r="X26" t="s">
        <v>37</v>
      </c>
      <c r="Y26" s="18">
        <f t="shared" si="59"/>
        <v>25</v>
      </c>
      <c r="Z26" s="18">
        <f t="shared" si="60"/>
        <v>29</v>
      </c>
      <c r="AA26" s="111">
        <f t="shared" si="49"/>
        <v>0</v>
      </c>
      <c r="AB26" s="111">
        <f t="shared" si="43"/>
        <v>14</v>
      </c>
      <c r="AC26" s="111">
        <f t="shared" si="50"/>
        <v>8</v>
      </c>
      <c r="AD26" s="111">
        <f t="shared" si="51"/>
        <v>2</v>
      </c>
      <c r="AE26" s="111">
        <f>10+3/7</f>
        <v>10.428571428571429</v>
      </c>
      <c r="AF26" s="111">
        <f t="shared" si="52"/>
        <v>2</v>
      </c>
      <c r="AG26" s="111">
        <v>13.5</v>
      </c>
      <c r="AH26" s="47">
        <f>(18370+445+200)*1.038</f>
        <v>19737.57</v>
      </c>
      <c r="AI26" s="224">
        <f t="shared" si="44"/>
        <v>0</v>
      </c>
      <c r="AJ26" s="229">
        <f t="shared" si="45"/>
        <v>79</v>
      </c>
      <c r="AK26" s="224">
        <f t="shared" si="26"/>
        <v>21</v>
      </c>
      <c r="AL26" s="224">
        <f t="shared" si="26"/>
        <v>0</v>
      </c>
      <c r="AM26" s="229">
        <f t="shared" si="53"/>
        <v>32</v>
      </c>
      <c r="AN26" s="224">
        <f t="shared" si="26"/>
        <v>0</v>
      </c>
      <c r="AO26" s="229">
        <f t="shared" si="46"/>
        <v>15</v>
      </c>
      <c r="AP26" s="66">
        <f t="shared" si="61"/>
        <v>147</v>
      </c>
      <c r="AQ26" s="207" t="s">
        <v>46</v>
      </c>
      <c r="AR26" s="110">
        <v>15</v>
      </c>
      <c r="AS26" s="231">
        <f>AR26/16</f>
        <v>0.9375</v>
      </c>
    </row>
    <row r="27" spans="1:45" x14ac:dyDescent="0.25">
      <c r="A27" t="s">
        <v>34</v>
      </c>
      <c r="B27" s="15" t="s">
        <v>29</v>
      </c>
      <c r="C27" s="3" t="s">
        <v>272</v>
      </c>
      <c r="D27" s="3" t="s">
        <v>422</v>
      </c>
      <c r="E27" s="18">
        <f t="shared" ref="E27:F28" si="62">Y9</f>
        <v>23</v>
      </c>
      <c r="F27" s="18">
        <f t="shared" ca="1" si="62"/>
        <v>15</v>
      </c>
      <c r="G27" s="111">
        <f t="shared" si="28"/>
        <v>0</v>
      </c>
      <c r="H27" s="111">
        <f t="shared" si="29"/>
        <v>12.909090909090908</v>
      </c>
      <c r="I27" s="111">
        <f t="shared" si="30"/>
        <v>4</v>
      </c>
      <c r="J27" s="111">
        <f t="shared" si="31"/>
        <v>12.5</v>
      </c>
      <c r="K27" s="111">
        <f t="shared" si="32"/>
        <v>4.25</v>
      </c>
      <c r="L27" s="111">
        <f t="shared" si="33"/>
        <v>7</v>
      </c>
      <c r="M27" s="111">
        <f t="shared" si="34"/>
        <v>3</v>
      </c>
      <c r="N27" s="47">
        <f t="shared" si="35"/>
        <v>16606.920000000002</v>
      </c>
      <c r="O27" s="229">
        <f t="shared" si="36"/>
        <v>0</v>
      </c>
      <c r="P27" s="229">
        <f t="shared" si="37"/>
        <v>66</v>
      </c>
      <c r="Q27" s="229">
        <f t="shared" si="38"/>
        <v>6</v>
      </c>
      <c r="R27" s="229">
        <f t="shared" si="39"/>
        <v>40.5</v>
      </c>
      <c r="S27" s="229">
        <f t="shared" si="40"/>
        <v>5</v>
      </c>
      <c r="T27" s="229">
        <f t="shared" si="41"/>
        <v>16</v>
      </c>
      <c r="U27" s="229">
        <f t="shared" si="42"/>
        <v>1</v>
      </c>
      <c r="V27" s="66">
        <f t="shared" si="58"/>
        <v>134.5</v>
      </c>
      <c r="X27" t="s">
        <v>34</v>
      </c>
      <c r="Y27" s="18">
        <f>E27+1</f>
        <v>24</v>
      </c>
      <c r="Z27" s="18">
        <f ca="1">F27+(($AR$25+$AR$26)*7)-112</f>
        <v>106</v>
      </c>
      <c r="AA27" s="111">
        <f t="shared" si="49"/>
        <v>0</v>
      </c>
      <c r="AB27" s="111">
        <f t="shared" si="43"/>
        <v>12.909090909090908</v>
      </c>
      <c r="AC27" s="111">
        <f t="shared" si="50"/>
        <v>4</v>
      </c>
      <c r="AD27" s="111">
        <f t="shared" si="51"/>
        <v>12.5</v>
      </c>
      <c r="AE27" s="111">
        <f>8+1/5</f>
        <v>8.1999999999999993</v>
      </c>
      <c r="AF27" s="111">
        <f t="shared" si="52"/>
        <v>7</v>
      </c>
      <c r="AG27" s="111">
        <v>14</v>
      </c>
      <c r="AH27" s="47">
        <f>(12930+2985+125+145+245)*1.04</f>
        <v>17087.2</v>
      </c>
      <c r="AI27" s="224">
        <f t="shared" si="44"/>
        <v>0</v>
      </c>
      <c r="AJ27" s="229">
        <f t="shared" si="45"/>
        <v>66</v>
      </c>
      <c r="AK27" s="224">
        <f t="shared" si="26"/>
        <v>6</v>
      </c>
      <c r="AL27" s="224">
        <f t="shared" si="26"/>
        <v>40.5</v>
      </c>
      <c r="AM27" s="229">
        <f t="shared" si="53"/>
        <v>19</v>
      </c>
      <c r="AN27" s="224">
        <f t="shared" si="26"/>
        <v>16</v>
      </c>
      <c r="AO27" s="229">
        <f t="shared" si="46"/>
        <v>16</v>
      </c>
      <c r="AP27" s="66">
        <f t="shared" si="61"/>
        <v>163.5</v>
      </c>
      <c r="AQ27" s="207"/>
    </row>
    <row r="28" spans="1:45" x14ac:dyDescent="0.25">
      <c r="A28" t="s">
        <v>30</v>
      </c>
      <c r="B28" s="15" t="s">
        <v>29</v>
      </c>
      <c r="C28" s="3" t="s">
        <v>272</v>
      </c>
      <c r="D28" s="3" t="s">
        <v>289</v>
      </c>
      <c r="E28" s="18">
        <f t="shared" si="62"/>
        <v>23</v>
      </c>
      <c r="F28" s="18">
        <f t="shared" ca="1" si="62"/>
        <v>15</v>
      </c>
      <c r="G28" s="111">
        <f t="shared" si="28"/>
        <v>0</v>
      </c>
      <c r="H28" s="111">
        <f t="shared" si="29"/>
        <v>12</v>
      </c>
      <c r="I28" s="111">
        <f t="shared" si="30"/>
        <v>3</v>
      </c>
      <c r="J28" s="111">
        <f t="shared" si="31"/>
        <v>11.9</v>
      </c>
      <c r="K28" s="111">
        <f t="shared" si="32"/>
        <v>6.0000000000000009</v>
      </c>
      <c r="L28" s="111">
        <f t="shared" si="33"/>
        <v>7.25</v>
      </c>
      <c r="M28" s="111">
        <f t="shared" si="34"/>
        <v>3</v>
      </c>
      <c r="N28" s="47">
        <f t="shared" si="35"/>
        <v>16606.920000000002</v>
      </c>
      <c r="O28" s="229">
        <f t="shared" si="36"/>
        <v>0</v>
      </c>
      <c r="P28" s="229">
        <f t="shared" si="37"/>
        <v>52</v>
      </c>
      <c r="Q28" s="229">
        <f t="shared" si="38"/>
        <v>3</v>
      </c>
      <c r="R28" s="229">
        <f t="shared" si="39"/>
        <v>32.5</v>
      </c>
      <c r="S28" s="229">
        <f t="shared" si="40"/>
        <v>10</v>
      </c>
      <c r="T28" s="229">
        <f t="shared" si="41"/>
        <v>17</v>
      </c>
      <c r="U28" s="229">
        <f t="shared" si="42"/>
        <v>1</v>
      </c>
      <c r="V28" s="66">
        <f t="shared" si="58"/>
        <v>115.5</v>
      </c>
      <c r="X28" t="s">
        <v>30</v>
      </c>
      <c r="Y28" s="18">
        <f>E28+1</f>
        <v>24</v>
      </c>
      <c r="Z28" s="18">
        <f ca="1">F28+(($AR$25+$AR$26)*7)-112</f>
        <v>106</v>
      </c>
      <c r="AA28" s="111">
        <f t="shared" si="49"/>
        <v>0</v>
      </c>
      <c r="AB28" s="111">
        <f t="shared" si="43"/>
        <v>12</v>
      </c>
      <c r="AC28" s="111">
        <f t="shared" si="50"/>
        <v>3</v>
      </c>
      <c r="AD28" s="111">
        <f t="shared" si="51"/>
        <v>11.9</v>
      </c>
      <c r="AE28" s="111">
        <f>9+1/7</f>
        <v>9.1428571428571423</v>
      </c>
      <c r="AF28" s="111">
        <f t="shared" si="52"/>
        <v>7.25</v>
      </c>
      <c r="AG28" s="111">
        <v>14</v>
      </c>
      <c r="AH28" s="47">
        <f>(12930+2985+180+125+245)*1.04</f>
        <v>17123.600000000002</v>
      </c>
      <c r="AI28" s="224">
        <f t="shared" si="44"/>
        <v>0</v>
      </c>
      <c r="AJ28" s="229">
        <f t="shared" si="45"/>
        <v>52</v>
      </c>
      <c r="AK28" s="224">
        <f t="shared" si="26"/>
        <v>3</v>
      </c>
      <c r="AL28" s="224">
        <f t="shared" si="26"/>
        <v>32.5</v>
      </c>
      <c r="AM28" s="229">
        <f t="shared" si="53"/>
        <v>24</v>
      </c>
      <c r="AN28" s="224">
        <f t="shared" si="26"/>
        <v>17</v>
      </c>
      <c r="AO28" s="229">
        <f t="shared" si="46"/>
        <v>16</v>
      </c>
      <c r="AP28" s="66">
        <f t="shared" si="61"/>
        <v>144.5</v>
      </c>
      <c r="AQ28" s="207"/>
    </row>
    <row r="29" spans="1:45" x14ac:dyDescent="0.25">
      <c r="A29" t="s">
        <v>42</v>
      </c>
      <c r="B29" s="15" t="s">
        <v>325</v>
      </c>
      <c r="C29" s="3" t="s">
        <v>423</v>
      </c>
      <c r="D29" s="3" t="s">
        <v>443</v>
      </c>
      <c r="E29" s="18">
        <v>23</v>
      </c>
      <c r="F29" s="18">
        <v>50</v>
      </c>
      <c r="G29" s="111">
        <f t="shared" si="28"/>
        <v>0</v>
      </c>
      <c r="H29" s="111">
        <v>6</v>
      </c>
      <c r="I29" s="111">
        <v>13</v>
      </c>
      <c r="J29" s="111">
        <v>6</v>
      </c>
      <c r="K29" s="111">
        <v>6</v>
      </c>
      <c r="L29" s="111">
        <v>6</v>
      </c>
      <c r="M29" s="111">
        <v>12</v>
      </c>
      <c r="N29" s="47">
        <f>(14490+225+185+125+165)*1.03</f>
        <v>15645.7</v>
      </c>
      <c r="O29" s="229">
        <f t="shared" si="36"/>
        <v>0</v>
      </c>
      <c r="P29" s="229">
        <v>14</v>
      </c>
      <c r="Q29" s="229">
        <v>58</v>
      </c>
      <c r="R29" s="229">
        <v>8.5</v>
      </c>
      <c r="S29" s="229">
        <v>10</v>
      </c>
      <c r="T29" s="229">
        <v>12</v>
      </c>
      <c r="U29" s="229">
        <v>12</v>
      </c>
      <c r="V29" s="66">
        <f t="shared" si="58"/>
        <v>114.5</v>
      </c>
      <c r="X29" t="s">
        <v>42</v>
      </c>
      <c r="Y29" s="18">
        <f t="shared" si="59"/>
        <v>25</v>
      </c>
      <c r="Z29" s="18">
        <f t="shared" si="60"/>
        <v>29</v>
      </c>
      <c r="AA29" s="111">
        <f t="shared" si="49"/>
        <v>0</v>
      </c>
      <c r="AB29" s="111">
        <f t="shared" si="43"/>
        <v>6</v>
      </c>
      <c r="AC29" s="111">
        <f t="shared" si="50"/>
        <v>13</v>
      </c>
      <c r="AD29" s="111">
        <f t="shared" si="51"/>
        <v>6</v>
      </c>
      <c r="AE29" s="111">
        <f>9+5/6</f>
        <v>9.8333333333333339</v>
      </c>
      <c r="AF29" s="111">
        <f t="shared" si="52"/>
        <v>6</v>
      </c>
      <c r="AG29" s="111">
        <v>19</v>
      </c>
      <c r="AH29" s="47">
        <f>(14490+225+200+125+165)*1.049</f>
        <v>15950.044999999998</v>
      </c>
      <c r="AI29" s="224">
        <f t="shared" si="44"/>
        <v>0</v>
      </c>
      <c r="AJ29" s="229">
        <f t="shared" si="45"/>
        <v>14</v>
      </c>
      <c r="AK29" s="224">
        <f t="shared" si="26"/>
        <v>58</v>
      </c>
      <c r="AL29" s="224">
        <f t="shared" si="26"/>
        <v>8.5</v>
      </c>
      <c r="AM29" s="229">
        <f t="shared" si="53"/>
        <v>24</v>
      </c>
      <c r="AN29" s="224">
        <f t="shared" si="26"/>
        <v>12</v>
      </c>
      <c r="AO29" s="229">
        <v>31</v>
      </c>
      <c r="AP29" s="66">
        <f t="shared" si="61"/>
        <v>147.5</v>
      </c>
    </row>
    <row r="30" spans="1:45" x14ac:dyDescent="0.25">
      <c r="A30" t="s">
        <v>36</v>
      </c>
      <c r="B30" s="15" t="s">
        <v>325</v>
      </c>
      <c r="C30" s="3" t="s">
        <v>423</v>
      </c>
      <c r="D30" s="3" t="s">
        <v>443</v>
      </c>
      <c r="E30" s="18">
        <v>23</v>
      </c>
      <c r="F30" s="18">
        <v>50</v>
      </c>
      <c r="G30" s="111">
        <f t="shared" ref="G30" si="63">AA12</f>
        <v>0</v>
      </c>
      <c r="H30" s="111">
        <v>6</v>
      </c>
      <c r="I30" s="111">
        <v>13</v>
      </c>
      <c r="J30" s="111">
        <v>6</v>
      </c>
      <c r="K30" s="111">
        <v>6</v>
      </c>
      <c r="L30" s="111">
        <v>6</v>
      </c>
      <c r="M30" s="111">
        <v>12</v>
      </c>
      <c r="N30" s="47">
        <f>(14490+225+185+125+165)*1.03</f>
        <v>15645.7</v>
      </c>
      <c r="O30" s="229">
        <f t="shared" si="36"/>
        <v>0</v>
      </c>
      <c r="P30" s="238">
        <v>14</v>
      </c>
      <c r="Q30" s="238">
        <v>58</v>
      </c>
      <c r="R30" s="238">
        <v>8.5</v>
      </c>
      <c r="S30" s="238">
        <v>10</v>
      </c>
      <c r="T30" s="238">
        <v>12</v>
      </c>
      <c r="U30" s="238">
        <v>12</v>
      </c>
      <c r="V30" s="66">
        <f t="shared" si="58"/>
        <v>114.5</v>
      </c>
      <c r="X30" t="s">
        <v>36</v>
      </c>
      <c r="Y30" s="18">
        <f t="shared" si="59"/>
        <v>25</v>
      </c>
      <c r="Z30" s="18">
        <f t="shared" si="60"/>
        <v>29</v>
      </c>
      <c r="AA30" s="111">
        <f t="shared" si="49"/>
        <v>0</v>
      </c>
      <c r="AB30" s="111">
        <f t="shared" si="43"/>
        <v>6</v>
      </c>
      <c r="AC30" s="111">
        <f t="shared" si="50"/>
        <v>13</v>
      </c>
      <c r="AD30" s="111">
        <f t="shared" si="51"/>
        <v>6</v>
      </c>
      <c r="AE30" s="111">
        <f>9+5/6</f>
        <v>9.8333333333333339</v>
      </c>
      <c r="AF30" s="111">
        <f t="shared" si="52"/>
        <v>6</v>
      </c>
      <c r="AG30" s="111">
        <v>19</v>
      </c>
      <c r="AH30" s="47">
        <f>(14490+225+200+125+165)*1.049</f>
        <v>15950.044999999998</v>
      </c>
      <c r="AI30" s="224">
        <f t="shared" si="44"/>
        <v>0</v>
      </c>
      <c r="AJ30" s="229">
        <f t="shared" si="45"/>
        <v>14</v>
      </c>
      <c r="AK30" s="224">
        <f t="shared" si="26"/>
        <v>58</v>
      </c>
      <c r="AL30" s="224">
        <f t="shared" si="26"/>
        <v>8.5</v>
      </c>
      <c r="AM30" s="229">
        <f t="shared" si="53"/>
        <v>24</v>
      </c>
      <c r="AN30" s="224">
        <f t="shared" si="26"/>
        <v>12</v>
      </c>
      <c r="AO30" s="229">
        <v>31</v>
      </c>
      <c r="AP30" s="66">
        <f t="shared" si="61"/>
        <v>147.5</v>
      </c>
    </row>
    <row r="31" spans="1:45" x14ac:dyDescent="0.25">
      <c r="A31" t="s">
        <v>35</v>
      </c>
      <c r="B31" s="15" t="s">
        <v>69</v>
      </c>
      <c r="C31" s="3" t="s">
        <v>44</v>
      </c>
      <c r="D31" s="3" t="s">
        <v>288</v>
      </c>
      <c r="E31" s="18">
        <f t="shared" ref="E31:F32" si="64">Y13</f>
        <v>23</v>
      </c>
      <c r="F31" s="18">
        <f t="shared" ca="1" si="64"/>
        <v>11</v>
      </c>
      <c r="G31" s="111">
        <f t="shared" si="28"/>
        <v>0</v>
      </c>
      <c r="H31" s="111">
        <f t="shared" si="29"/>
        <v>10.666666666666666</v>
      </c>
      <c r="I31" s="111">
        <f t="shared" si="30"/>
        <v>5.7</v>
      </c>
      <c r="J31" s="111">
        <f t="shared" si="31"/>
        <v>14</v>
      </c>
      <c r="K31" s="111">
        <f t="shared" si="32"/>
        <v>6</v>
      </c>
      <c r="L31" s="111">
        <f t="shared" si="33"/>
        <v>7.5</v>
      </c>
      <c r="M31" s="111">
        <f t="shared" si="34"/>
        <v>5</v>
      </c>
      <c r="N31" s="47">
        <f t="shared" si="35"/>
        <v>13619.48</v>
      </c>
      <c r="O31" s="229">
        <f t="shared" si="36"/>
        <v>0</v>
      </c>
      <c r="P31" s="229">
        <f t="shared" si="37"/>
        <v>37</v>
      </c>
      <c r="Q31" s="229">
        <f t="shared" si="38"/>
        <v>10.5</v>
      </c>
      <c r="R31" s="229">
        <f t="shared" si="39"/>
        <v>47.5</v>
      </c>
      <c r="S31" s="229">
        <f t="shared" si="40"/>
        <v>10</v>
      </c>
      <c r="T31" s="229">
        <f t="shared" si="41"/>
        <v>18</v>
      </c>
      <c r="U31" s="229">
        <f t="shared" si="42"/>
        <v>3</v>
      </c>
      <c r="V31" s="66">
        <f t="shared" si="58"/>
        <v>126</v>
      </c>
      <c r="X31" t="s">
        <v>35</v>
      </c>
      <c r="Y31" s="18">
        <f>E31+1</f>
        <v>24</v>
      </c>
      <c r="Z31" s="18">
        <f ca="1">F31+(($AR$25+$AR$26)*7)-112</f>
        <v>102</v>
      </c>
      <c r="AA31" s="111">
        <f t="shared" si="49"/>
        <v>0</v>
      </c>
      <c r="AB31" s="111">
        <f t="shared" si="43"/>
        <v>10.666666666666666</v>
      </c>
      <c r="AC31" s="111">
        <f t="shared" si="50"/>
        <v>5.7</v>
      </c>
      <c r="AD31" s="111">
        <f t="shared" si="51"/>
        <v>14</v>
      </c>
      <c r="AE31" s="111">
        <f>9+1/7</f>
        <v>9.1428571428571423</v>
      </c>
      <c r="AF31" s="111">
        <f t="shared" si="52"/>
        <v>7.5</v>
      </c>
      <c r="AG31" s="111">
        <v>15</v>
      </c>
      <c r="AH31" s="47">
        <f>(11610+300+185+150+1200)*1.045</f>
        <v>14050.025</v>
      </c>
      <c r="AI31" s="224">
        <f t="shared" si="44"/>
        <v>0</v>
      </c>
      <c r="AJ31" s="229">
        <f t="shared" si="45"/>
        <v>37</v>
      </c>
      <c r="AK31" s="224">
        <f t="shared" si="26"/>
        <v>10.5</v>
      </c>
      <c r="AL31" s="224">
        <f t="shared" si="26"/>
        <v>47.5</v>
      </c>
      <c r="AM31" s="229">
        <f t="shared" si="53"/>
        <v>24</v>
      </c>
      <c r="AN31" s="224">
        <f t="shared" si="26"/>
        <v>18</v>
      </c>
      <c r="AO31" s="229">
        <f t="shared" si="46"/>
        <v>18</v>
      </c>
      <c r="AP31" s="66">
        <f t="shared" si="61"/>
        <v>155</v>
      </c>
    </row>
    <row r="32" spans="1:45" x14ac:dyDescent="0.25">
      <c r="A32" t="s">
        <v>39</v>
      </c>
      <c r="B32" s="15" t="s">
        <v>69</v>
      </c>
      <c r="C32" s="3" t="s">
        <v>44</v>
      </c>
      <c r="D32" s="3" t="s">
        <v>421</v>
      </c>
      <c r="E32" s="18">
        <f t="shared" si="64"/>
        <v>22</v>
      </c>
      <c r="F32" s="18">
        <f t="shared" ca="1" si="64"/>
        <v>98</v>
      </c>
      <c r="G32" s="111">
        <f t="shared" si="28"/>
        <v>0</v>
      </c>
      <c r="H32" s="111">
        <f t="shared" si="29"/>
        <v>12.181818181818182</v>
      </c>
      <c r="I32" s="111">
        <f t="shared" si="30"/>
        <v>3</v>
      </c>
      <c r="J32" s="111">
        <f t="shared" si="31"/>
        <v>12.833333333333334</v>
      </c>
      <c r="K32" s="111">
        <f t="shared" si="32"/>
        <v>7</v>
      </c>
      <c r="L32" s="111">
        <f t="shared" si="33"/>
        <v>7</v>
      </c>
      <c r="M32" s="111">
        <f t="shared" si="34"/>
        <v>3</v>
      </c>
      <c r="N32" s="47">
        <f t="shared" si="35"/>
        <v>11172.48</v>
      </c>
      <c r="O32" s="229">
        <f t="shared" si="36"/>
        <v>0</v>
      </c>
      <c r="P32" s="229">
        <f t="shared" si="37"/>
        <v>55</v>
      </c>
      <c r="Q32" s="229">
        <f t="shared" si="38"/>
        <v>3</v>
      </c>
      <c r="R32" s="229">
        <f t="shared" si="39"/>
        <v>39.5</v>
      </c>
      <c r="S32" s="229">
        <f t="shared" si="40"/>
        <v>14</v>
      </c>
      <c r="T32" s="229">
        <f t="shared" si="41"/>
        <v>16</v>
      </c>
      <c r="U32" s="229">
        <f t="shared" si="42"/>
        <v>1</v>
      </c>
      <c r="V32" s="66">
        <f>SUM(O32:U32)</f>
        <v>128.5</v>
      </c>
      <c r="X32" t="s">
        <v>39</v>
      </c>
      <c r="Y32" s="18">
        <f t="shared" si="59"/>
        <v>24</v>
      </c>
      <c r="Z32" s="18">
        <f t="shared" ca="1" si="60"/>
        <v>77</v>
      </c>
      <c r="AA32" s="111">
        <f t="shared" si="49"/>
        <v>0</v>
      </c>
      <c r="AB32" s="111">
        <f t="shared" si="43"/>
        <v>12.181818181818182</v>
      </c>
      <c r="AC32" s="111">
        <f t="shared" si="50"/>
        <v>3</v>
      </c>
      <c r="AD32" s="111">
        <f t="shared" si="51"/>
        <v>12.833333333333334</v>
      </c>
      <c r="AE32" s="111">
        <f>9+5/6</f>
        <v>9.8333333333333339</v>
      </c>
      <c r="AF32" s="111">
        <f t="shared" si="52"/>
        <v>7</v>
      </c>
      <c r="AG32" s="111">
        <v>14</v>
      </c>
      <c r="AH32" s="47">
        <f>(7000+165+165+245+3505)*1.04</f>
        <v>11523.2</v>
      </c>
      <c r="AI32" s="224">
        <f t="shared" si="44"/>
        <v>0</v>
      </c>
      <c r="AJ32" s="229">
        <f t="shared" si="45"/>
        <v>55</v>
      </c>
      <c r="AK32" s="224">
        <f t="shared" si="26"/>
        <v>3</v>
      </c>
      <c r="AL32" s="224">
        <f t="shared" si="26"/>
        <v>39.5</v>
      </c>
      <c r="AM32" s="229">
        <f t="shared" si="53"/>
        <v>28</v>
      </c>
      <c r="AN32" s="224">
        <f t="shared" si="26"/>
        <v>16</v>
      </c>
      <c r="AO32" s="229">
        <f t="shared" si="46"/>
        <v>16</v>
      </c>
      <c r="AP32" s="66">
        <f>SUM(AI32:AO32)</f>
        <v>157.5</v>
      </c>
    </row>
    <row r="33" spans="1:42" x14ac:dyDescent="0.25">
      <c r="A33" t="s">
        <v>33</v>
      </c>
      <c r="B33" s="15" t="s">
        <v>69</v>
      </c>
      <c r="C33" s="3" t="s">
        <v>272</v>
      </c>
      <c r="D33" s="3" t="s">
        <v>290</v>
      </c>
      <c r="E33" s="18">
        <f t="shared" ref="E33:F33" si="65">Y15</f>
        <v>23</v>
      </c>
      <c r="F33" s="18">
        <f t="shared" ca="1" si="65"/>
        <v>11</v>
      </c>
      <c r="G33" s="111">
        <f t="shared" si="28"/>
        <v>0</v>
      </c>
      <c r="H33" s="111">
        <f t="shared" si="29"/>
        <v>11.1</v>
      </c>
      <c r="I33" s="111">
        <f t="shared" si="30"/>
        <v>5</v>
      </c>
      <c r="J33" s="111">
        <f t="shared" si="31"/>
        <v>13.333333333333334</v>
      </c>
      <c r="K33" s="111">
        <f t="shared" si="32"/>
        <v>5</v>
      </c>
      <c r="L33" s="111">
        <f t="shared" si="33"/>
        <v>7.8016666666666676</v>
      </c>
      <c r="M33" s="111">
        <f t="shared" si="34"/>
        <v>3</v>
      </c>
      <c r="N33" s="47">
        <f t="shared" si="35"/>
        <v>13682.24</v>
      </c>
      <c r="O33" s="229">
        <f t="shared" si="36"/>
        <v>0</v>
      </c>
      <c r="P33" s="229">
        <f t="shared" si="37"/>
        <v>45</v>
      </c>
      <c r="Q33" s="229">
        <f t="shared" si="38"/>
        <v>9</v>
      </c>
      <c r="R33" s="229">
        <f t="shared" si="39"/>
        <v>39.880000000000003</v>
      </c>
      <c r="S33" s="229">
        <f t="shared" si="40"/>
        <v>7</v>
      </c>
      <c r="T33" s="229">
        <f t="shared" si="41"/>
        <v>19</v>
      </c>
      <c r="U33" s="229">
        <f t="shared" si="42"/>
        <v>1</v>
      </c>
      <c r="V33" s="66">
        <f>SUM(O33:U33)</f>
        <v>120.88</v>
      </c>
      <c r="X33" t="s">
        <v>33</v>
      </c>
      <c r="Y33" s="18">
        <f>E33+1</f>
        <v>24</v>
      </c>
      <c r="Z33" s="18">
        <f ca="1">F33+(($AR$25+$AR$26)*7)-112</f>
        <v>102</v>
      </c>
      <c r="AA33" s="111">
        <f t="shared" si="49"/>
        <v>0</v>
      </c>
      <c r="AB33" s="111">
        <f t="shared" si="43"/>
        <v>11.1</v>
      </c>
      <c r="AC33" s="111">
        <f t="shared" si="50"/>
        <v>5</v>
      </c>
      <c r="AD33" s="111">
        <f t="shared" si="51"/>
        <v>13.333333333333334</v>
      </c>
      <c r="AE33" s="111">
        <f>8+3/5</f>
        <v>8.6</v>
      </c>
      <c r="AF33" s="111">
        <f t="shared" si="52"/>
        <v>7.8016666666666676</v>
      </c>
      <c r="AG33" s="111">
        <v>14</v>
      </c>
      <c r="AH33" s="47">
        <f>(9000+135+185+350+3900)*1.04</f>
        <v>14112.800000000001</v>
      </c>
      <c r="AI33" s="224">
        <f t="shared" si="44"/>
        <v>0</v>
      </c>
      <c r="AJ33" s="229">
        <f t="shared" si="45"/>
        <v>45</v>
      </c>
      <c r="AK33" s="224">
        <f t="shared" si="26"/>
        <v>9</v>
      </c>
      <c r="AL33" s="224">
        <f t="shared" si="26"/>
        <v>39.880000000000003</v>
      </c>
      <c r="AM33" s="229">
        <f t="shared" si="53"/>
        <v>21</v>
      </c>
      <c r="AN33" s="224">
        <f t="shared" si="26"/>
        <v>19</v>
      </c>
      <c r="AO33" s="229">
        <f t="shared" si="46"/>
        <v>16</v>
      </c>
      <c r="AP33" s="66">
        <f>SUM(AI33:AO33)</f>
        <v>149.88</v>
      </c>
    </row>
    <row r="34" spans="1:42" x14ac:dyDescent="0.25">
      <c r="A34" t="s">
        <v>41</v>
      </c>
      <c r="B34" s="15" t="s">
        <v>43</v>
      </c>
      <c r="C34" s="3" t="s">
        <v>423</v>
      </c>
      <c r="D34" s="3" t="s">
        <v>293</v>
      </c>
      <c r="E34" s="18">
        <v>23</v>
      </c>
      <c r="F34" s="18">
        <v>50</v>
      </c>
      <c r="G34" s="111">
        <f t="shared" si="28"/>
        <v>0</v>
      </c>
      <c r="H34" s="111">
        <f t="shared" si="29"/>
        <v>2</v>
      </c>
      <c r="I34" s="111">
        <v>7</v>
      </c>
      <c r="J34" s="111">
        <v>7</v>
      </c>
      <c r="K34" s="111">
        <v>10</v>
      </c>
      <c r="L34" s="111">
        <v>13</v>
      </c>
      <c r="M34" s="111">
        <v>10</v>
      </c>
      <c r="N34" s="47">
        <f>(12930+255+185+195)*1.03</f>
        <v>13971.95</v>
      </c>
      <c r="O34" s="224">
        <f t="shared" ref="O34:P34" si="66">AI16</f>
        <v>0</v>
      </c>
      <c r="P34" s="224">
        <f t="shared" si="66"/>
        <v>0</v>
      </c>
      <c r="Q34" s="224">
        <v>16</v>
      </c>
      <c r="R34" s="224">
        <v>10.5</v>
      </c>
      <c r="S34" s="224">
        <v>29</v>
      </c>
      <c r="T34" s="224">
        <v>59</v>
      </c>
      <c r="U34" s="224">
        <v>8</v>
      </c>
      <c r="V34" s="66">
        <f>SUM(O34:U34)</f>
        <v>122.5</v>
      </c>
      <c r="X34" t="s">
        <v>41</v>
      </c>
      <c r="Y34" s="18">
        <f t="shared" si="59"/>
        <v>25</v>
      </c>
      <c r="Z34" s="18">
        <f t="shared" si="60"/>
        <v>29</v>
      </c>
      <c r="AA34" s="111">
        <f t="shared" si="49"/>
        <v>0</v>
      </c>
      <c r="AB34" s="111">
        <f t="shared" ref="AB34:AB36" si="67">H34</f>
        <v>2</v>
      </c>
      <c r="AC34" s="111">
        <f t="shared" si="50"/>
        <v>7</v>
      </c>
      <c r="AD34" s="111">
        <f t="shared" si="51"/>
        <v>7</v>
      </c>
      <c r="AE34" s="111">
        <v>12</v>
      </c>
      <c r="AF34" s="111">
        <f t="shared" si="52"/>
        <v>13</v>
      </c>
      <c r="AG34" s="111">
        <v>16.5</v>
      </c>
      <c r="AH34" s="47">
        <f>(12930+255+515+195)*1.049</f>
        <v>14575.855</v>
      </c>
      <c r="AI34" s="224">
        <f t="shared" si="44"/>
        <v>0</v>
      </c>
      <c r="AJ34" s="224">
        <f t="shared" si="44"/>
        <v>0</v>
      </c>
      <c r="AK34" s="224">
        <f t="shared" si="26"/>
        <v>16</v>
      </c>
      <c r="AL34" s="224">
        <f t="shared" si="26"/>
        <v>10.5</v>
      </c>
      <c r="AM34" s="229">
        <f t="shared" si="53"/>
        <v>43</v>
      </c>
      <c r="AN34" s="224">
        <f t="shared" si="26"/>
        <v>59</v>
      </c>
      <c r="AO34" s="229">
        <f t="shared" si="46"/>
        <v>23</v>
      </c>
      <c r="AP34" s="66">
        <f>SUM(AI34:AO34)</f>
        <v>151.5</v>
      </c>
    </row>
    <row r="35" spans="1:42" x14ac:dyDescent="0.25">
      <c r="A35" t="s">
        <v>45</v>
      </c>
      <c r="B35" s="15" t="s">
        <v>43</v>
      </c>
      <c r="C35" s="3" t="s">
        <v>423</v>
      </c>
      <c r="D35" s="3" t="s">
        <v>293</v>
      </c>
      <c r="E35" s="18">
        <v>23</v>
      </c>
      <c r="F35" s="18">
        <v>50</v>
      </c>
      <c r="G35" s="111">
        <f t="shared" ref="G35:G36" si="68">AA17</f>
        <v>0</v>
      </c>
      <c r="H35" s="111">
        <f t="shared" ref="H35:H36" si="69">AB17</f>
        <v>2</v>
      </c>
      <c r="I35" s="111">
        <v>7</v>
      </c>
      <c r="J35" s="111">
        <v>7</v>
      </c>
      <c r="K35" s="111">
        <v>10</v>
      </c>
      <c r="L35" s="111">
        <v>13</v>
      </c>
      <c r="M35" s="111">
        <v>10</v>
      </c>
      <c r="N35" s="47">
        <f t="shared" ref="N35:N36" si="70">(12930+255+185+195)*1.03</f>
        <v>13971.95</v>
      </c>
      <c r="O35" s="229">
        <f t="shared" ref="O35:O36" si="71">AI17</f>
        <v>0</v>
      </c>
      <c r="P35" s="229">
        <f t="shared" ref="P35:P36" si="72">AJ17</f>
        <v>0</v>
      </c>
      <c r="Q35" s="229">
        <v>16</v>
      </c>
      <c r="R35" s="229">
        <v>10.5</v>
      </c>
      <c r="S35" s="229">
        <v>29</v>
      </c>
      <c r="T35" s="229">
        <v>59</v>
      </c>
      <c r="U35" s="229">
        <v>8</v>
      </c>
      <c r="V35" s="66">
        <f>SUM(O35:U35)</f>
        <v>122.5</v>
      </c>
      <c r="X35" t="s">
        <v>45</v>
      </c>
      <c r="Y35" s="18">
        <f t="shared" ref="Y35:Y36" si="73">E35+2</f>
        <v>25</v>
      </c>
      <c r="Z35" s="18">
        <f t="shared" ref="Z35:Z36" si="74">F35+(($AR$25+$AR$26)*7)-112-112</f>
        <v>29</v>
      </c>
      <c r="AA35" s="111">
        <f t="shared" si="49"/>
        <v>0</v>
      </c>
      <c r="AB35" s="111">
        <f t="shared" si="67"/>
        <v>2</v>
      </c>
      <c r="AC35" s="111">
        <f t="shared" si="50"/>
        <v>7</v>
      </c>
      <c r="AD35" s="111">
        <f t="shared" si="51"/>
        <v>7</v>
      </c>
      <c r="AE35" s="111">
        <v>12</v>
      </c>
      <c r="AF35" s="111">
        <f t="shared" si="52"/>
        <v>13</v>
      </c>
      <c r="AG35" s="111">
        <v>16.5</v>
      </c>
      <c r="AH35" s="47">
        <f>(12930+255+515+195)*1.049</f>
        <v>14575.855</v>
      </c>
      <c r="AI35" s="224">
        <f t="shared" si="44"/>
        <v>0</v>
      </c>
      <c r="AJ35" s="224">
        <f t="shared" si="44"/>
        <v>0</v>
      </c>
      <c r="AK35" s="224">
        <f t="shared" si="26"/>
        <v>16</v>
      </c>
      <c r="AL35" s="224">
        <f t="shared" si="26"/>
        <v>10.5</v>
      </c>
      <c r="AM35" s="229">
        <f t="shared" si="53"/>
        <v>43</v>
      </c>
      <c r="AN35" s="224">
        <f t="shared" si="26"/>
        <v>59</v>
      </c>
      <c r="AO35" s="229">
        <f t="shared" si="46"/>
        <v>23</v>
      </c>
      <c r="AP35" s="66">
        <f>SUM(AI35:AO35)</f>
        <v>151.5</v>
      </c>
    </row>
    <row r="36" spans="1:42" x14ac:dyDescent="0.25">
      <c r="A36" t="s">
        <v>291</v>
      </c>
      <c r="B36" s="15" t="s">
        <v>43</v>
      </c>
      <c r="C36" s="3" t="s">
        <v>423</v>
      </c>
      <c r="D36" s="3" t="s">
        <v>293</v>
      </c>
      <c r="E36" s="18">
        <v>23</v>
      </c>
      <c r="F36" s="18">
        <v>50</v>
      </c>
      <c r="G36" s="111">
        <f t="shared" si="68"/>
        <v>0</v>
      </c>
      <c r="H36" s="111">
        <f t="shared" si="69"/>
        <v>2</v>
      </c>
      <c r="I36" s="111">
        <v>7</v>
      </c>
      <c r="J36" s="111">
        <v>7</v>
      </c>
      <c r="K36" s="111">
        <v>10</v>
      </c>
      <c r="L36" s="111">
        <v>13</v>
      </c>
      <c r="M36" s="111">
        <v>10</v>
      </c>
      <c r="N36" s="47">
        <f t="shared" si="70"/>
        <v>13971.95</v>
      </c>
      <c r="O36" s="229">
        <f t="shared" si="71"/>
        <v>0</v>
      </c>
      <c r="P36" s="229">
        <f t="shared" si="72"/>
        <v>0</v>
      </c>
      <c r="Q36" s="229">
        <v>16</v>
      </c>
      <c r="R36" s="229">
        <v>10.5</v>
      </c>
      <c r="S36" s="229">
        <v>29</v>
      </c>
      <c r="T36" s="229">
        <v>59</v>
      </c>
      <c r="U36" s="229">
        <v>8</v>
      </c>
      <c r="V36" s="66">
        <f>SUM(O36:U36)</f>
        <v>122.5</v>
      </c>
      <c r="X36" t="s">
        <v>291</v>
      </c>
      <c r="Y36" s="18">
        <f t="shared" si="73"/>
        <v>25</v>
      </c>
      <c r="Z36" s="18">
        <f t="shared" si="74"/>
        <v>29</v>
      </c>
      <c r="AA36" s="111">
        <f t="shared" si="49"/>
        <v>0</v>
      </c>
      <c r="AB36" s="111">
        <f t="shared" si="67"/>
        <v>2</v>
      </c>
      <c r="AC36" s="111">
        <f t="shared" si="50"/>
        <v>7</v>
      </c>
      <c r="AD36" s="111">
        <f t="shared" si="51"/>
        <v>7</v>
      </c>
      <c r="AE36" s="111">
        <v>12</v>
      </c>
      <c r="AF36" s="111">
        <f t="shared" si="52"/>
        <v>13</v>
      </c>
      <c r="AG36" s="111">
        <v>16.5</v>
      </c>
      <c r="AH36" s="47">
        <f>(12930+255+515+195)*1.049</f>
        <v>14575.855</v>
      </c>
      <c r="AI36" s="224">
        <f t="shared" si="44"/>
        <v>0</v>
      </c>
      <c r="AJ36" s="224">
        <f t="shared" si="44"/>
        <v>0</v>
      </c>
      <c r="AK36" s="224">
        <f t="shared" si="26"/>
        <v>16</v>
      </c>
      <c r="AL36" s="224">
        <f t="shared" si="26"/>
        <v>10.5</v>
      </c>
      <c r="AM36" s="229">
        <f t="shared" si="53"/>
        <v>43</v>
      </c>
      <c r="AN36" s="224">
        <f t="shared" si="26"/>
        <v>59</v>
      </c>
      <c r="AO36" s="229">
        <f t="shared" si="46"/>
        <v>23</v>
      </c>
      <c r="AP36" s="66">
        <f>SUM(AI36:AO36)</f>
        <v>151.5</v>
      </c>
    </row>
  </sheetData>
  <conditionalFormatting sqref="G8:M18 G3:M4">
    <cfRule type="colorScale" priority="26">
      <colorScale>
        <cfvo type="min"/>
        <cfvo type="max"/>
        <color rgb="FFFFEF9C"/>
        <color rgb="FF63BE7B"/>
      </colorScale>
    </cfRule>
  </conditionalFormatting>
  <conditionalFormatting sqref="G5:M7">
    <cfRule type="colorScale" priority="25">
      <colorScale>
        <cfvo type="min"/>
        <cfvo type="max"/>
        <color rgb="FFFFEF9C"/>
        <color rgb="FF63BE7B"/>
      </colorScale>
    </cfRule>
  </conditionalFormatting>
  <conditionalFormatting sqref="N3:N18">
    <cfRule type="dataBar" priority="24">
      <dataBar>
        <cfvo type="min"/>
        <cfvo type="max"/>
        <color rgb="FFFF555A"/>
      </dataBar>
      <extLst>
        <ext xmlns:x14="http://schemas.microsoft.com/office/spreadsheetml/2009/9/main" uri="{B025F937-C7B1-47D3-B67F-A62EFF666E3E}">
          <x14:id>{FA8484D2-E49B-4152-B82F-527E9BCD9437}</x14:id>
        </ext>
      </extLst>
    </cfRule>
  </conditionalFormatting>
  <conditionalFormatting sqref="O3:U18">
    <cfRule type="colorScale" priority="23">
      <colorScale>
        <cfvo type="min"/>
        <cfvo type="max"/>
        <color rgb="FFFCFCFF"/>
        <color rgb="FFF8696B"/>
      </colorScale>
    </cfRule>
  </conditionalFormatting>
  <conditionalFormatting sqref="V3:V18">
    <cfRule type="dataBar" priority="22">
      <dataBar>
        <cfvo type="min"/>
        <cfvo type="max"/>
        <color rgb="FFFFB628"/>
      </dataBar>
      <extLst>
        <ext xmlns:x14="http://schemas.microsoft.com/office/spreadsheetml/2009/9/main" uri="{B025F937-C7B1-47D3-B67F-A62EFF666E3E}">
          <x14:id>{D8E0F95B-E09F-473D-8CB3-1AA6BE8A35DD}</x14:id>
        </ext>
      </extLst>
    </cfRule>
  </conditionalFormatting>
  <conditionalFormatting sqref="AA3:AG18">
    <cfRule type="colorScale" priority="21">
      <colorScale>
        <cfvo type="min"/>
        <cfvo type="max"/>
        <color rgb="FFFFEF9C"/>
        <color rgb="FF63BE7B"/>
      </colorScale>
    </cfRule>
  </conditionalFormatting>
  <conditionalFormatting sqref="AH3:AH18">
    <cfRule type="dataBar" priority="20">
      <dataBar>
        <cfvo type="min"/>
        <cfvo type="max"/>
        <color rgb="FFFF555A"/>
      </dataBar>
      <extLst>
        <ext xmlns:x14="http://schemas.microsoft.com/office/spreadsheetml/2009/9/main" uri="{B025F937-C7B1-47D3-B67F-A62EFF666E3E}">
          <x14:id>{D0CABE6B-C37A-4128-9F14-49736C3E3E16}</x14:id>
        </ext>
      </extLst>
    </cfRule>
  </conditionalFormatting>
  <conditionalFormatting sqref="AI3:AO18">
    <cfRule type="colorScale" priority="19">
      <colorScale>
        <cfvo type="min"/>
        <cfvo type="max"/>
        <color rgb="FFFCFCFF"/>
        <color rgb="FFF8696B"/>
      </colorScale>
    </cfRule>
  </conditionalFormatting>
  <conditionalFormatting sqref="AP3:AP18">
    <cfRule type="dataBar" priority="18">
      <dataBar>
        <cfvo type="min"/>
        <cfvo type="max"/>
        <color rgb="FFFFB628"/>
      </dataBar>
      <extLst>
        <ext xmlns:x14="http://schemas.microsoft.com/office/spreadsheetml/2009/9/main" uri="{B025F937-C7B1-47D3-B67F-A62EFF666E3E}">
          <x14:id>{CB746796-43C0-4000-8EAD-CC55FCC653DB}</x14:id>
        </ext>
      </extLst>
    </cfRule>
  </conditionalFormatting>
  <conditionalFormatting sqref="N21:N36">
    <cfRule type="dataBar" priority="16">
      <dataBar>
        <cfvo type="min"/>
        <cfvo type="max"/>
        <color rgb="FFFF555A"/>
      </dataBar>
      <extLst>
        <ext xmlns:x14="http://schemas.microsoft.com/office/spreadsheetml/2009/9/main" uri="{B025F937-C7B1-47D3-B67F-A62EFF666E3E}">
          <x14:id>{F1C4D72C-43B0-4BB2-9B27-2904231E0565}</x14:id>
        </ext>
      </extLst>
    </cfRule>
  </conditionalFormatting>
  <conditionalFormatting sqref="V21:V36">
    <cfRule type="dataBar" priority="14">
      <dataBar>
        <cfvo type="min"/>
        <cfvo type="max"/>
        <color rgb="FFFFB628"/>
      </dataBar>
      <extLst>
        <ext xmlns:x14="http://schemas.microsoft.com/office/spreadsheetml/2009/9/main" uri="{B025F937-C7B1-47D3-B67F-A62EFF666E3E}">
          <x14:id>{FCD1AAE9-7889-4A70-9407-731E2C29149F}</x14:id>
        </ext>
      </extLst>
    </cfRule>
  </conditionalFormatting>
  <conditionalFormatting sqref="AI21:AO36">
    <cfRule type="colorScale" priority="13">
      <colorScale>
        <cfvo type="min"/>
        <cfvo type="max"/>
        <color rgb="FFFCFCFF"/>
        <color rgb="FFF8696B"/>
      </colorScale>
    </cfRule>
  </conditionalFormatting>
  <conditionalFormatting sqref="AP21:AP36">
    <cfRule type="dataBar" priority="12">
      <dataBar>
        <cfvo type="min"/>
        <cfvo type="max"/>
        <color rgb="FFFFB628"/>
      </dataBar>
      <extLst>
        <ext xmlns:x14="http://schemas.microsoft.com/office/spreadsheetml/2009/9/main" uri="{B025F937-C7B1-47D3-B67F-A62EFF666E3E}">
          <x14:id>{589B8D8C-D891-4DE2-9406-02BB42CE7CE8}</x14:id>
        </ext>
      </extLst>
    </cfRule>
  </conditionalFormatting>
  <conditionalFormatting sqref="AA21:AG36">
    <cfRule type="colorScale" priority="11">
      <colorScale>
        <cfvo type="min"/>
        <cfvo type="max"/>
        <color rgb="FFFFEF9C"/>
        <color rgb="FF63BE7B"/>
      </colorScale>
    </cfRule>
  </conditionalFormatting>
  <conditionalFormatting sqref="O21:U36">
    <cfRule type="colorScale" priority="3">
      <colorScale>
        <cfvo type="min"/>
        <cfvo type="max"/>
        <color rgb="FFFCFCFF"/>
        <color rgb="FFF8696B"/>
      </colorScale>
    </cfRule>
  </conditionalFormatting>
  <conditionalFormatting sqref="G21:M36">
    <cfRule type="colorScale" priority="2">
      <colorScale>
        <cfvo type="min"/>
        <cfvo type="max"/>
        <color rgb="FFFFEF9C"/>
        <color rgb="FF63BE7B"/>
      </colorScale>
    </cfRule>
  </conditionalFormatting>
  <conditionalFormatting sqref="AH21:AH36">
    <cfRule type="dataBar" priority="1">
      <dataBar>
        <cfvo type="min"/>
        <cfvo type="max"/>
        <color rgb="FFFF555A"/>
      </dataBar>
      <extLst>
        <ext xmlns:x14="http://schemas.microsoft.com/office/spreadsheetml/2009/9/main" uri="{B025F937-C7B1-47D3-B67F-A62EFF666E3E}">
          <x14:id>{0B0C4CDB-7CA7-4405-A3B6-07BF3BC1410B}</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A8484D2-E49B-4152-B82F-527E9BCD9437}">
            <x14:dataBar minLength="0" maxLength="100" border="1" negativeBarBorderColorSameAsPositive="0">
              <x14:cfvo type="autoMin"/>
              <x14:cfvo type="autoMax"/>
              <x14:borderColor rgb="FFFF555A"/>
              <x14:negativeFillColor rgb="FFFF0000"/>
              <x14:negativeBorderColor rgb="FFFF0000"/>
              <x14:axisColor rgb="FF000000"/>
            </x14:dataBar>
          </x14:cfRule>
          <xm:sqref>N3:N18</xm:sqref>
        </x14:conditionalFormatting>
        <x14:conditionalFormatting xmlns:xm="http://schemas.microsoft.com/office/excel/2006/main">
          <x14:cfRule type="dataBar" id="{D8E0F95B-E09F-473D-8CB3-1AA6BE8A35DD}">
            <x14:dataBar minLength="0" maxLength="100" border="1" negativeBarBorderColorSameAsPositive="0">
              <x14:cfvo type="autoMin"/>
              <x14:cfvo type="autoMax"/>
              <x14:borderColor rgb="FFFFB628"/>
              <x14:negativeFillColor rgb="FFFF0000"/>
              <x14:negativeBorderColor rgb="FFFF0000"/>
              <x14:axisColor rgb="FF000000"/>
            </x14:dataBar>
          </x14:cfRule>
          <xm:sqref>V3:V18</xm:sqref>
        </x14:conditionalFormatting>
        <x14:conditionalFormatting xmlns:xm="http://schemas.microsoft.com/office/excel/2006/main">
          <x14:cfRule type="dataBar" id="{D0CABE6B-C37A-4128-9F14-49736C3E3E16}">
            <x14:dataBar minLength="0" maxLength="100" border="1" negativeBarBorderColorSameAsPositive="0">
              <x14:cfvo type="autoMin"/>
              <x14:cfvo type="autoMax"/>
              <x14:borderColor rgb="FFFF555A"/>
              <x14:negativeFillColor rgb="FFFF0000"/>
              <x14:negativeBorderColor rgb="FFFF0000"/>
              <x14:axisColor rgb="FF000000"/>
            </x14:dataBar>
          </x14:cfRule>
          <xm:sqref>AH3:AH18</xm:sqref>
        </x14:conditionalFormatting>
        <x14:conditionalFormatting xmlns:xm="http://schemas.microsoft.com/office/excel/2006/main">
          <x14:cfRule type="dataBar" id="{CB746796-43C0-4000-8EAD-CC55FCC653DB}">
            <x14:dataBar minLength="0" maxLength="100" border="1" negativeBarBorderColorSameAsPositive="0">
              <x14:cfvo type="autoMin"/>
              <x14:cfvo type="autoMax"/>
              <x14:borderColor rgb="FFFFB628"/>
              <x14:negativeFillColor rgb="FFFF0000"/>
              <x14:negativeBorderColor rgb="FFFF0000"/>
              <x14:axisColor rgb="FF000000"/>
            </x14:dataBar>
          </x14:cfRule>
          <xm:sqref>AP3:AP18</xm:sqref>
        </x14:conditionalFormatting>
        <x14:conditionalFormatting xmlns:xm="http://schemas.microsoft.com/office/excel/2006/main">
          <x14:cfRule type="dataBar" id="{F1C4D72C-43B0-4BB2-9B27-2904231E0565}">
            <x14:dataBar minLength="0" maxLength="100" border="1" negativeBarBorderColorSameAsPositive="0">
              <x14:cfvo type="autoMin"/>
              <x14:cfvo type="autoMax"/>
              <x14:borderColor rgb="FFFF555A"/>
              <x14:negativeFillColor rgb="FFFF0000"/>
              <x14:negativeBorderColor rgb="FFFF0000"/>
              <x14:axisColor rgb="FF000000"/>
            </x14:dataBar>
          </x14:cfRule>
          <xm:sqref>N21:N36</xm:sqref>
        </x14:conditionalFormatting>
        <x14:conditionalFormatting xmlns:xm="http://schemas.microsoft.com/office/excel/2006/main">
          <x14:cfRule type="dataBar" id="{FCD1AAE9-7889-4A70-9407-731E2C29149F}">
            <x14:dataBar minLength="0" maxLength="100" border="1" negativeBarBorderColorSameAsPositive="0">
              <x14:cfvo type="autoMin"/>
              <x14:cfvo type="autoMax"/>
              <x14:borderColor rgb="FFFFB628"/>
              <x14:negativeFillColor rgb="FFFF0000"/>
              <x14:negativeBorderColor rgb="FFFF0000"/>
              <x14:axisColor rgb="FF000000"/>
            </x14:dataBar>
          </x14:cfRule>
          <xm:sqref>V21:V36</xm:sqref>
        </x14:conditionalFormatting>
        <x14:conditionalFormatting xmlns:xm="http://schemas.microsoft.com/office/excel/2006/main">
          <x14:cfRule type="dataBar" id="{589B8D8C-D891-4DE2-9406-02BB42CE7CE8}">
            <x14:dataBar minLength="0" maxLength="100" border="1" negativeBarBorderColorSameAsPositive="0">
              <x14:cfvo type="autoMin"/>
              <x14:cfvo type="autoMax"/>
              <x14:borderColor rgb="FFFFB628"/>
              <x14:negativeFillColor rgb="FFFF0000"/>
              <x14:negativeBorderColor rgb="FFFF0000"/>
              <x14:axisColor rgb="FF000000"/>
            </x14:dataBar>
          </x14:cfRule>
          <xm:sqref>AP21:AP36</xm:sqref>
        </x14:conditionalFormatting>
        <x14:conditionalFormatting xmlns:xm="http://schemas.microsoft.com/office/excel/2006/main">
          <x14:cfRule type="dataBar" id="{0B0C4CDB-7CA7-4405-A3B6-07BF3BC1410B}">
            <x14:dataBar minLength="0" maxLength="100" border="1" negativeBarBorderColorSameAsPositive="0">
              <x14:cfvo type="autoMin"/>
              <x14:cfvo type="autoMax"/>
              <x14:borderColor rgb="FFFF555A"/>
              <x14:negativeFillColor rgb="FFFF0000"/>
              <x14:negativeBorderColor rgb="FFFF0000"/>
              <x14:axisColor rgb="FF000000"/>
            </x14:dataBar>
          </x14:cfRule>
          <xm:sqref>AH21:AH36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1">
    <tabColor rgb="FF00B050"/>
  </sheetPr>
  <dimension ref="A1:AT28"/>
  <sheetViews>
    <sheetView tabSelected="1" zoomScale="110" zoomScaleNormal="110" workbookViewId="0">
      <pane xSplit="4" ySplit="3" topLeftCell="E4" activePane="bottomRight" state="frozen"/>
      <selection pane="topRight" activeCell="E1" sqref="E1"/>
      <selection pane="bottomLeft" activeCell="A4" sqref="A4"/>
      <selection pane="bottomRight" activeCell="E14" sqref="E14"/>
    </sheetView>
  </sheetViews>
  <sheetFormatPr baseColWidth="10" defaultColWidth="9.140625" defaultRowHeight="15" x14ac:dyDescent="0.25"/>
  <cols>
    <col min="1" max="1" width="4.7109375" bestFit="1" customWidth="1"/>
    <col min="2" max="2" width="8"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42578125" bestFit="1" customWidth="1"/>
    <col min="10" max="10" width="5.28515625" bestFit="1" customWidth="1"/>
    <col min="11" max="12" width="4.7109375" bestFit="1" customWidth="1"/>
    <col min="13" max="13" width="10.42578125" bestFit="1" customWidth="1"/>
    <col min="14" max="14" width="4.5703125" bestFit="1" customWidth="1"/>
    <col min="15" max="15" width="4.28515625" bestFit="1" customWidth="1"/>
    <col min="16" max="16" width="5" bestFit="1" customWidth="1"/>
    <col min="17" max="17" width="4.140625" bestFit="1" customWidth="1"/>
    <col min="18" max="19" width="5.7109375" bestFit="1" customWidth="1"/>
    <col min="20" max="22" width="10.42578125" bestFit="1" customWidth="1"/>
    <col min="23" max="23" width="7.5703125" bestFit="1" customWidth="1"/>
    <col min="24" max="30" width="5.5703125" bestFit="1" customWidth="1"/>
    <col min="31" max="31" width="7" bestFit="1" customWidth="1"/>
    <col min="32" max="32" width="8.5703125" bestFit="1" customWidth="1"/>
    <col min="33" max="35" width="7" bestFit="1" customWidth="1"/>
    <col min="36" max="36" width="8" bestFit="1" customWidth="1"/>
    <col min="37" max="37" width="8.140625" bestFit="1" customWidth="1"/>
    <col min="38" max="38" width="6.5703125" bestFit="1" customWidth="1"/>
    <col min="39" max="39" width="7.5703125" bestFit="1" customWidth="1"/>
    <col min="40" max="41" width="6.5703125" bestFit="1" customWidth="1"/>
    <col min="42" max="42" width="5.28515625" bestFit="1" customWidth="1"/>
    <col min="43" max="43" width="4.85546875" customWidth="1"/>
    <col min="44" max="44" width="3.42578125" bestFit="1" customWidth="1"/>
    <col min="45" max="45" width="3.5703125" bestFit="1" customWidth="1"/>
    <col min="46" max="46" width="7" bestFit="1" customWidth="1"/>
  </cols>
  <sheetData>
    <row r="1" spans="1:46" x14ac:dyDescent="0.25">
      <c r="D1" s="30">
        <v>42268</v>
      </c>
    </row>
    <row r="2" spans="1:46" x14ac:dyDescent="0.25">
      <c r="D2" s="30">
        <f ca="1">TODAY()</f>
        <v>43635</v>
      </c>
      <c r="I2" s="32">
        <f>AVERAGE(I4:I21)</f>
        <v>4.2666666666666666</v>
      </c>
      <c r="J2" s="32"/>
      <c r="N2" s="37">
        <f ca="1">AVERAGE(N4:N21)</f>
        <v>0.90190111991216271</v>
      </c>
      <c r="O2" s="32">
        <f>AVERAGE(O4:O21)</f>
        <v>5.6666666666666661</v>
      </c>
      <c r="Q2" s="32">
        <f>AVERAGE(Q4:Q21)</f>
        <v>5.2777777777777777</v>
      </c>
      <c r="R2" s="115">
        <f>AVERAGE(R4:R21)</f>
        <v>0.86410281430853197</v>
      </c>
      <c r="S2" s="115">
        <f>AVERAGE(S4:S21)</f>
        <v>0.93160971061713993</v>
      </c>
      <c r="T2" s="38">
        <f>SUM(T4:T21)</f>
        <v>924660</v>
      </c>
      <c r="U2" s="38">
        <f>SUM(U4:U21)</f>
        <v>156790</v>
      </c>
      <c r="V2" s="38">
        <f>SUM(V4:V21)</f>
        <v>162424</v>
      </c>
      <c r="W2" s="39">
        <f>T2/V2</f>
        <v>5.6928778998177609</v>
      </c>
      <c r="AD2" s="37">
        <f>AVERAGE(AD5:AD21)</f>
        <v>4.9411764705882355</v>
      </c>
      <c r="AE2" s="33">
        <f>AVERAGE(AE5:AE21)</f>
        <v>92.904705882352943</v>
      </c>
      <c r="AF2" s="33">
        <f>AVERAGE(AF5:AF21)</f>
        <v>2014.5555555555557</v>
      </c>
      <c r="AL2" s="32"/>
      <c r="AM2" s="32"/>
      <c r="AN2" s="32"/>
      <c r="AO2" s="32"/>
      <c r="AQ2" s="32"/>
      <c r="AR2" s="32"/>
      <c r="AS2" s="32"/>
    </row>
    <row r="3" spans="1:46" x14ac:dyDescent="0.25">
      <c r="A3" s="10" t="s">
        <v>1</v>
      </c>
      <c r="B3" s="10" t="s">
        <v>2</v>
      </c>
      <c r="C3" s="11" t="s">
        <v>452</v>
      </c>
      <c r="D3" s="12" t="s">
        <v>169</v>
      </c>
      <c r="E3" s="10" t="s">
        <v>4</v>
      </c>
      <c r="F3" s="10" t="s">
        <v>5</v>
      </c>
      <c r="G3" s="10" t="s">
        <v>6</v>
      </c>
      <c r="H3" s="10" t="s">
        <v>7</v>
      </c>
      <c r="I3" s="10" t="s">
        <v>8</v>
      </c>
      <c r="J3" s="10" t="s">
        <v>172</v>
      </c>
      <c r="K3" s="13" t="s">
        <v>49</v>
      </c>
      <c r="L3" s="13" t="s">
        <v>48</v>
      </c>
      <c r="M3" s="10" t="s">
        <v>179</v>
      </c>
      <c r="N3" s="10" t="s">
        <v>98</v>
      </c>
      <c r="O3" s="10" t="s">
        <v>9</v>
      </c>
      <c r="P3" s="10" t="s">
        <v>10</v>
      </c>
      <c r="Q3" s="10" t="s">
        <v>11</v>
      </c>
      <c r="R3" s="49" t="s">
        <v>96</v>
      </c>
      <c r="S3" s="49" t="s">
        <v>97</v>
      </c>
      <c r="T3" s="10" t="s">
        <v>12</v>
      </c>
      <c r="U3" s="10" t="s">
        <v>189</v>
      </c>
      <c r="V3" s="10" t="s">
        <v>13</v>
      </c>
      <c r="W3" s="10" t="s">
        <v>14</v>
      </c>
      <c r="X3" s="10" t="s">
        <v>15</v>
      </c>
      <c r="Y3" s="10" t="s">
        <v>16</v>
      </c>
      <c r="Z3" s="10" t="s">
        <v>17</v>
      </c>
      <c r="AA3" s="10" t="s">
        <v>18</v>
      </c>
      <c r="AB3" s="10" t="s">
        <v>19</v>
      </c>
      <c r="AC3" s="10" t="s">
        <v>20</v>
      </c>
      <c r="AD3" s="10" t="s">
        <v>6</v>
      </c>
      <c r="AE3" s="10" t="s">
        <v>323</v>
      </c>
      <c r="AF3" s="10" t="s">
        <v>273</v>
      </c>
      <c r="AG3" s="14" t="s">
        <v>25</v>
      </c>
      <c r="AH3" s="14" t="s">
        <v>26</v>
      </c>
      <c r="AI3" s="14" t="s">
        <v>86</v>
      </c>
      <c r="AJ3" s="14" t="s">
        <v>173</v>
      </c>
      <c r="AK3" s="14" t="s">
        <v>174</v>
      </c>
      <c r="AL3" s="14" t="s">
        <v>21</v>
      </c>
      <c r="AM3" s="14" t="s">
        <v>22</v>
      </c>
      <c r="AN3" s="14" t="s">
        <v>23</v>
      </c>
      <c r="AO3" s="14" t="s">
        <v>24</v>
      </c>
      <c r="AP3" s="10" t="s">
        <v>178</v>
      </c>
      <c r="AQ3" s="10" t="s">
        <v>180</v>
      </c>
      <c r="AR3" s="10" t="s">
        <v>176</v>
      </c>
      <c r="AS3" s="10" t="s">
        <v>177</v>
      </c>
      <c r="AT3" s="34" t="s">
        <v>268</v>
      </c>
    </row>
    <row r="4" spans="1:46" x14ac:dyDescent="0.25">
      <c r="A4" s="15" t="s">
        <v>28</v>
      </c>
      <c r="B4" s="24" t="s">
        <v>27</v>
      </c>
      <c r="C4" s="120">
        <f ca="1">((34*112)-(E4*112)-(F4))/112</f>
        <v>11.589285714285714</v>
      </c>
      <c r="D4" s="225" t="s">
        <v>440</v>
      </c>
      <c r="E4" s="1">
        <v>22</v>
      </c>
      <c r="F4" s="2">
        <f ca="1">$D$2-$D$1-1097-112-112</f>
        <v>46</v>
      </c>
      <c r="G4" s="3"/>
      <c r="H4" s="4">
        <v>4</v>
      </c>
      <c r="I4" s="5">
        <v>4.5999999999999996</v>
      </c>
      <c r="J4" s="22">
        <f>LOG(I4)*4/3</f>
        <v>0.8836771089087655</v>
      </c>
      <c r="K4" s="6">
        <f>(H4)*(H4)*(I4)</f>
        <v>73.599999999999994</v>
      </c>
      <c r="L4" s="6">
        <f>(H4+1)*(H4+1)*I4</f>
        <v>114.99999999999999</v>
      </c>
      <c r="M4" s="129">
        <v>43415</v>
      </c>
      <c r="N4" s="130">
        <f t="shared" ref="N4:N9" ca="1" si="0">IF((TODAY()-M4)&gt;335,1,((TODAY()-M4)^0.64)/(336^0.64))</f>
        <v>0.76259398985696591</v>
      </c>
      <c r="O4" s="25">
        <v>6.7</v>
      </c>
      <c r="P4" s="20">
        <f>O4*10+19</f>
        <v>86</v>
      </c>
      <c r="Q4" s="26">
        <v>4</v>
      </c>
      <c r="R4" s="114">
        <f>(Q4/7)^0.5</f>
        <v>0.7559289460184544</v>
      </c>
      <c r="S4" s="114">
        <f>IF(Q4=7,1,((Q4+0.99)/7)^0.5)</f>
        <v>0.84430867747355465</v>
      </c>
      <c r="T4" s="29">
        <v>59510</v>
      </c>
      <c r="U4" s="29">
        <f>T4-AT4</f>
        <v>-14130</v>
      </c>
      <c r="V4" s="7">
        <v>27520</v>
      </c>
      <c r="W4" s="8">
        <f>T4/V4</f>
        <v>2.1624273255813953</v>
      </c>
      <c r="X4" s="21">
        <v>15</v>
      </c>
      <c r="Y4" s="22">
        <f>10+2/7</f>
        <v>10.285714285714286</v>
      </c>
      <c r="Z4" s="21">
        <v>0</v>
      </c>
      <c r="AA4" s="22">
        <v>0</v>
      </c>
      <c r="AB4" s="21">
        <v>0</v>
      </c>
      <c r="AC4" s="22">
        <v>1</v>
      </c>
      <c r="AD4" s="21">
        <v>1</v>
      </c>
      <c r="AE4" s="9">
        <f>PLANNING!V3</f>
        <v>90.5</v>
      </c>
      <c r="AF4" s="9">
        <v>1752</v>
      </c>
      <c r="AG4" s="23">
        <f t="shared" ref="AG4" ca="1" si="1">(AD4+1+(LOG(I4)*4/3)+N4)*(Q4/7)^0.5</f>
        <v>2.756321868587531</v>
      </c>
      <c r="AH4" s="23">
        <f t="shared" ref="AH4" ca="1" si="2">(AD4+1+N4+(LOG(I4)*4/3))*(IF(Q4=7, (Q4/7)^0.5, ((Q4+1)/7)^0.5))</f>
        <v>3.0816615330154811</v>
      </c>
      <c r="AI4" s="23">
        <f t="shared" ref="AI4" ca="1" si="3">(Z4+N4+(LOG(I4)*4/3))</f>
        <v>1.6462710987657314</v>
      </c>
      <c r="AJ4" s="119">
        <f t="shared" ref="AJ4" ca="1" si="4">(Z4+N4+(LOG(I4)*4/3))*(Q4/7)^0.5</f>
        <v>1.2444639765506222</v>
      </c>
      <c r="AK4" s="119">
        <f t="shared" ref="AK4" ca="1" si="5">(Z4+N4+(LOG(I4)*4/3))*(IF(Q4=7, (Q4/7)^0.5, ((Q4+1)/7)^0.5))</f>
        <v>1.3913530235584479</v>
      </c>
      <c r="AL4" s="8">
        <f t="shared" ref="AL4" ca="1" si="6">(((Y4+LOG(I4)*4/3+N4)+(AB4+LOG(I4)*4/3+N4)*2)/8)*(Q4/7)^0.5</f>
        <v>1.4385826360873533</v>
      </c>
      <c r="AM4" s="8">
        <f t="shared" ref="AM4" ca="1" si="7">(AD4+LOG(I4)*4/3+N4)*0.7+(AC4+LOG(I4)*4/3+N4)*0.3</f>
        <v>2.6462710987657316</v>
      </c>
      <c r="AN4" s="8">
        <f t="shared" ref="AN4" ca="1" si="8">(0.5*(AC4+LOG(I4)*4/3+N4)+ 0.3*(AD4+LOG(I4)*4/3+N4))/10</f>
        <v>0.21170168790125854</v>
      </c>
      <c r="AO4" s="8">
        <f t="shared" ref="AO4" ca="1" si="9">(0.4*(Y4+LOG(I4)*4/3+N4)+0.3*(AD4+LOG(I4)*4/3+N4))/10</f>
        <v>0.55666754834217269</v>
      </c>
      <c r="AP4" s="128">
        <f>IF(AR4=4,IF(AS4=0,0.137+0.0697,0.137+0.02),IF(AR4=3,IF(AS4=0,0.0958+0.0697,0.0958+0.02),IF(AR4=2,IF(AS4=0,0.0415+0.0697,0.0415+0.02),IF(AR4=1,IF(AS4=0,0.0294+0.0697,0.0294+0.02),IF(AR4=0,IF(AS4=0,0.0063+0.0697,0.0063+0.02))))))</f>
        <v>0.1158</v>
      </c>
      <c r="AQ4" s="20">
        <v>1</v>
      </c>
      <c r="AR4" s="20">
        <v>3</v>
      </c>
      <c r="AS4" s="20">
        <v>2</v>
      </c>
      <c r="AT4" s="29">
        <v>73640</v>
      </c>
    </row>
    <row r="5" spans="1:46" x14ac:dyDescent="0.25">
      <c r="A5" s="15" t="s">
        <v>439</v>
      </c>
      <c r="B5" s="15" t="s">
        <v>27</v>
      </c>
      <c r="C5" s="120">
        <f t="shared" ref="C5:C21" ca="1" si="10">((34*112)-(E5*112)-(F5))/112</f>
        <v>11.366071428571429</v>
      </c>
      <c r="D5" s="226" t="s">
        <v>418</v>
      </c>
      <c r="E5" s="16">
        <v>22</v>
      </c>
      <c r="F5" s="2">
        <f ca="1">$D$2-$D$1-880+32-112-112-112-112</f>
        <v>71</v>
      </c>
      <c r="G5" s="18"/>
      <c r="H5" s="209">
        <v>5</v>
      </c>
      <c r="I5" s="27">
        <v>1.4</v>
      </c>
      <c r="J5" s="22">
        <f t="shared" ref="J5:J9" si="11">LOG(I5)*4/3</f>
        <v>0.19483738090431735</v>
      </c>
      <c r="K5" s="6">
        <f t="shared" ref="K5:K9" si="12">(H5)*(H5)*(I5)</f>
        <v>35</v>
      </c>
      <c r="L5" s="6">
        <f t="shared" ref="L5:L9" si="13">(H5+1)*(H5+1)*I5</f>
        <v>50.4</v>
      </c>
      <c r="M5" s="129">
        <v>43190</v>
      </c>
      <c r="N5" s="130">
        <f t="shared" ca="1" si="0"/>
        <v>1</v>
      </c>
      <c r="O5" s="19">
        <v>5</v>
      </c>
      <c r="P5" s="20">
        <f t="shared" ref="P5:P9" si="14">O5*10+19</f>
        <v>69</v>
      </c>
      <c r="Q5" s="26">
        <v>6</v>
      </c>
      <c r="R5" s="114">
        <f t="shared" ref="R5:R9" si="15">(Q5/7)^0.5</f>
        <v>0.92582009977255142</v>
      </c>
      <c r="S5" s="114">
        <f t="shared" ref="S5:S9" si="16">IF(Q5=7,1,((Q5+0.99)/7)^0.5)</f>
        <v>0.99928545900129484</v>
      </c>
      <c r="T5" s="29">
        <v>3250</v>
      </c>
      <c r="U5" s="29">
        <f t="shared" ref="U5:U9" si="17">T5-AT5</f>
        <v>-110</v>
      </c>
      <c r="V5" s="29">
        <v>1170</v>
      </c>
      <c r="W5" s="8">
        <f t="shared" ref="W5:W9" si="18">T5/V5</f>
        <v>2.7777777777777777</v>
      </c>
      <c r="X5" s="21">
        <v>6</v>
      </c>
      <c r="Y5" s="22">
        <v>4</v>
      </c>
      <c r="Z5" s="21">
        <v>0</v>
      </c>
      <c r="AA5" s="22">
        <v>3</v>
      </c>
      <c r="AB5" s="21">
        <v>0</v>
      </c>
      <c r="AC5" s="22">
        <v>1</v>
      </c>
      <c r="AD5" s="21">
        <v>1</v>
      </c>
      <c r="AE5" s="9">
        <f>7.5+6+1.5+1.5</f>
        <v>16.5</v>
      </c>
      <c r="AF5" s="9"/>
      <c r="AG5" s="23">
        <f ca="1">(AD5+1+(LOG(I5)*4/3)+N5)*(Q5/7)^0.5</f>
        <v>2.9578446627459121</v>
      </c>
      <c r="AH5" s="23">
        <f ca="1">(AD5+1+N5+(LOG(I5)*4/3))*(IF(Q5=7, (Q5/7)^0.5, ((Q5+1)/7)^0.5))</f>
        <v>3.1948373809043176</v>
      </c>
      <c r="AI5" s="23">
        <f ca="1">(Z5+N5+(LOG(I5)*4/3))</f>
        <v>1.1948373809043173</v>
      </c>
      <c r="AJ5" s="119">
        <f ca="1">(Z5+N5+(LOG(I5)*4/3))*(Q5/7)^0.5</f>
        <v>1.106204463200809</v>
      </c>
      <c r="AK5" s="119">
        <f ca="1">(Z5+N5+(LOG(I5)*4/3))*(IF(Q5=7, (Q5/7)^0.5, ((Q5+1)/7)^0.5))</f>
        <v>1.1948373809043173</v>
      </c>
      <c r="AL5" s="8">
        <f ca="1">(((Y5+LOG(I5)*4/3+N5)+(AB5+LOG(I5)*4/3+N5)*2)/8)*(Q5/7)^0.5</f>
        <v>0.87773672358657917</v>
      </c>
      <c r="AM5" s="8">
        <f ca="1">(AD5+LOG(I5)*4/3+N5)*0.7+(AC5+LOG(I5)*4/3+N5)*0.3</f>
        <v>2.1948373809043176</v>
      </c>
      <c r="AN5" s="8">
        <f t="shared" ref="AN5" ca="1" si="19">(0.5*(AC5+LOG(I5)*4/3+N5)+ 0.3*(AD5+LOG(I5)*4/3+N5))/10</f>
        <v>0.17558699047234541</v>
      </c>
      <c r="AO5" s="8">
        <f t="shared" ref="AO5" ca="1" si="20">(0.4*(Y5+LOG(I5)*4/3+N5)+0.3*(AD5+LOG(I5)*4/3+N5))/10</f>
        <v>0.27363861666330225</v>
      </c>
      <c r="AP5" s="128">
        <f t="shared" ref="AP5:AP9" si="21">IF(AR5=4,IF(AS5=0,0.137+0.0697,0.137+0.02),IF(AR5=3,IF(AS5=0,0.0958+0.0697,0.0958+0.02),IF(AR5=2,IF(AS5=0,0.0415+0.0697,0.0415+0.02),IF(AR5=1,IF(AS5=0,0.0294+0.0697,0.0294+0.02),IF(AR5=0,IF(AS5=0,0.0063+0.0697,0.0063+0.02))))))</f>
        <v>2.63E-2</v>
      </c>
      <c r="AQ5" s="20">
        <v>3</v>
      </c>
      <c r="AR5" s="20">
        <v>0</v>
      </c>
      <c r="AS5" s="20">
        <v>2</v>
      </c>
      <c r="AT5" s="29">
        <v>3360</v>
      </c>
    </row>
    <row r="6" spans="1:46" x14ac:dyDescent="0.25">
      <c r="A6" s="15" t="s">
        <v>31</v>
      </c>
      <c r="B6" s="24" t="s">
        <v>321</v>
      </c>
      <c r="C6" s="120">
        <f t="shared" ca="1" si="10"/>
        <v>11.616071428571429</v>
      </c>
      <c r="D6" s="225" t="s">
        <v>429</v>
      </c>
      <c r="E6" s="1">
        <v>22</v>
      </c>
      <c r="F6" s="2">
        <f ca="1">$D$2-$D$1-1100-112-112</f>
        <v>43</v>
      </c>
      <c r="G6" s="3"/>
      <c r="H6" s="209">
        <v>5</v>
      </c>
      <c r="I6" s="5">
        <v>2.6</v>
      </c>
      <c r="J6" s="22">
        <f t="shared" ref="J6" si="22">LOG(I6)*4/3</f>
        <v>0.55329779729442397</v>
      </c>
      <c r="K6" s="6">
        <f t="shared" ref="K6" si="23">(H6)*(H6)*(I6)</f>
        <v>65</v>
      </c>
      <c r="L6" s="6">
        <f t="shared" ref="L6" si="24">(H6+1)*(H6+1)*I6</f>
        <v>93.600000000000009</v>
      </c>
      <c r="M6" s="129">
        <v>43395</v>
      </c>
      <c r="N6" s="130">
        <f t="shared" ca="1" si="0"/>
        <v>0.80626546356741957</v>
      </c>
      <c r="O6" s="25">
        <v>6.1</v>
      </c>
      <c r="P6" s="20">
        <f t="shared" si="14"/>
        <v>80</v>
      </c>
      <c r="Q6" s="26">
        <v>4</v>
      </c>
      <c r="R6" s="114">
        <f t="shared" ref="R6" si="25">(Q6/7)^0.5</f>
        <v>0.7559289460184544</v>
      </c>
      <c r="S6" s="114">
        <f t="shared" ref="S6" si="26">IF(Q6=7,1,((Q6+0.99)/7)^0.5)</f>
        <v>0.84430867747355465</v>
      </c>
      <c r="T6" s="29">
        <v>70930</v>
      </c>
      <c r="U6" s="29">
        <f t="shared" si="17"/>
        <v>12600</v>
      </c>
      <c r="V6" s="7">
        <v>18250</v>
      </c>
      <c r="W6" s="8">
        <f t="shared" ref="W6" si="27">T6/V6</f>
        <v>3.8865753424657536</v>
      </c>
      <c r="X6" s="21">
        <v>0</v>
      </c>
      <c r="Y6" s="22">
        <f>14+8/16</f>
        <v>14.5</v>
      </c>
      <c r="Z6" s="21">
        <v>5</v>
      </c>
      <c r="AA6" s="22">
        <f>5+2/5</f>
        <v>5.4</v>
      </c>
      <c r="AB6" s="21">
        <v>5</v>
      </c>
      <c r="AC6" s="22">
        <v>2</v>
      </c>
      <c r="AD6" s="21">
        <v>1</v>
      </c>
      <c r="AE6" s="9">
        <f>PLANNING!V4</f>
        <v>109</v>
      </c>
      <c r="AF6" s="9">
        <v>1966</v>
      </c>
      <c r="AG6" s="23">
        <f t="shared" ref="AG6" ca="1" si="28">(AD6+1+(LOG(I6)*4/3)+N6)*(Q6/7)^0.5</f>
        <v>2.5395911148656154</v>
      </c>
      <c r="AH6" s="23">
        <f t="shared" ref="AH6" ca="1" si="29">(AD6+1+N6+(LOG(I6)*4/3))*(IF(Q6=7, (Q6/7)^0.5, ((Q6+1)/7)^0.5))</f>
        <v>2.8393491839469966</v>
      </c>
      <c r="AI6" s="23">
        <f t="shared" ref="AI6" ca="1" si="30">(Z6+N6+(LOG(I6)*4/3))</f>
        <v>6.3595632608618438</v>
      </c>
      <c r="AJ6" s="119">
        <f t="shared" ref="AJ6" ca="1" si="31">(Z6+N6+(LOG(I6)*4/3))*(Q6/7)^0.5</f>
        <v>4.8073779529209784</v>
      </c>
      <c r="AK6" s="119">
        <f t="shared" ref="AK6" ca="1" si="32">(Z6+N6+(LOG(I6)*4/3))*(IF(Q6=7, (Q6/7)^0.5, ((Q6+1)/7)^0.5))</f>
        <v>5.374811948132546</v>
      </c>
      <c r="AL6" s="8">
        <f t="shared" ref="AL6" ca="1" si="33">(((Y6+LOG(I6)*4/3+N6)+(AB6+LOG(I6)*4/3+N6)*2)/8)*(Q6/7)^0.5</f>
        <v>2.7004323557422811</v>
      </c>
      <c r="AM6" s="8">
        <f t="shared" ref="AM6" ca="1" si="34">(AD6+LOG(I6)*4/3+N6)*0.7+(AC6+LOG(I6)*4/3+N6)*0.3</f>
        <v>2.6595632608618436</v>
      </c>
      <c r="AN6" s="8">
        <f t="shared" ref="AN6" ca="1" si="35">(0.5*(AC6+LOG(I6)*4/3+N6)+ 0.3*(AD6+LOG(I6)*4/3+N6))/10</f>
        <v>0.2387650608689475</v>
      </c>
      <c r="AO6" s="8">
        <f t="shared" ref="AO6" ca="1" si="36">(0.4*(Y6+LOG(I6)*4/3+N6)+0.3*(AD6+LOG(I6)*4/3+N6))/10</f>
        <v>0.70516942826032891</v>
      </c>
      <c r="AP6" s="128">
        <f t="shared" ref="AP6" si="37">IF(AR6=4,IF(AS6=0,0.137+0.0697,0.137+0.02),IF(AR6=3,IF(AS6=0,0.0958+0.0697,0.0958+0.02),IF(AR6=2,IF(AS6=0,0.0415+0.0697,0.0415+0.02),IF(AR6=1,IF(AS6=0,0.0294+0.0697,0.0294+0.02),IF(AR6=0,IF(AS6=0,0.0063+0.0697,0.0063+0.02))))))</f>
        <v>6.1499999999999999E-2</v>
      </c>
      <c r="AQ6" s="20">
        <v>1</v>
      </c>
      <c r="AR6" s="20">
        <v>2</v>
      </c>
      <c r="AS6" s="20">
        <v>1</v>
      </c>
      <c r="AT6" s="29">
        <v>58330</v>
      </c>
    </row>
    <row r="7" spans="1:46" x14ac:dyDescent="0.25">
      <c r="A7" s="15" t="s">
        <v>33</v>
      </c>
      <c r="B7" s="15" t="s">
        <v>321</v>
      </c>
      <c r="C7" s="120">
        <f t="shared" ca="1" si="10"/>
        <v>11.785714285714286</v>
      </c>
      <c r="D7" s="213" t="s">
        <v>433</v>
      </c>
      <c r="E7" s="16">
        <v>22</v>
      </c>
      <c r="F7" s="2">
        <f ca="1">$D$2-$D$1-1102-17-112-112</f>
        <v>24</v>
      </c>
      <c r="G7" s="18"/>
      <c r="H7" s="4">
        <v>4</v>
      </c>
      <c r="I7" s="27">
        <v>3.6</v>
      </c>
      <c r="J7" s="22">
        <f>LOG(I7)*4/3</f>
        <v>0.74173666768971636</v>
      </c>
      <c r="K7" s="6">
        <f>(H7)*(H7)*(I7)</f>
        <v>57.6</v>
      </c>
      <c r="L7" s="6">
        <f>(H7+1)*(H7+1)*I7</f>
        <v>90</v>
      </c>
      <c r="M7" s="129">
        <v>43410</v>
      </c>
      <c r="N7" s="130">
        <f t="shared" ca="1" si="0"/>
        <v>0.77364134993024503</v>
      </c>
      <c r="O7" s="19">
        <v>6.7</v>
      </c>
      <c r="P7" s="20">
        <f>O7*10+19</f>
        <v>86</v>
      </c>
      <c r="Q7" s="26">
        <v>5</v>
      </c>
      <c r="R7" s="114">
        <f>(Q7/7)^0.5</f>
        <v>0.84515425472851657</v>
      </c>
      <c r="S7" s="114">
        <f>IF(Q7=7,1,((Q7+0.99)/7)^0.5)</f>
        <v>0.92504826128926143</v>
      </c>
      <c r="T7" s="29">
        <v>82850</v>
      </c>
      <c r="U7" s="29">
        <f>T7-AT7</f>
        <v>18010</v>
      </c>
      <c r="V7" s="29">
        <v>19870</v>
      </c>
      <c r="W7" s="8">
        <f>T7/V7</f>
        <v>4.1696024157020632</v>
      </c>
      <c r="X7" s="21">
        <v>0</v>
      </c>
      <c r="Y7" s="22">
        <f>14+7/16</f>
        <v>14.4375</v>
      </c>
      <c r="Z7" s="21">
        <v>5</v>
      </c>
      <c r="AA7" s="22">
        <v>7</v>
      </c>
      <c r="AB7" s="21">
        <v>5</v>
      </c>
      <c r="AC7" s="22">
        <v>1</v>
      </c>
      <c r="AD7" s="21">
        <v>0</v>
      </c>
      <c r="AE7" s="9">
        <f>PLANNING!V6</f>
        <v>112.5</v>
      </c>
      <c r="AF7" s="9">
        <v>2023</v>
      </c>
      <c r="AG7" s="23">
        <f t="shared" ref="AG7" ca="1" si="38">(AD7+1+(LOG(I7)*4/3)+N7)*(Q7/7)^0.5</f>
        <v>2.1258824338420923</v>
      </c>
      <c r="AH7" s="23">
        <f t="shared" ref="AH7" ca="1" si="39">(AD7+1+N7+(LOG(I7)*4/3))*(IF(Q7=7, (Q7/7)^0.5, ((Q7+1)/7)^0.5))</f>
        <v>2.3287875272385956</v>
      </c>
      <c r="AI7" s="23">
        <f t="shared" ref="AI7" ca="1" si="40">(Z7+N7+(LOG(I7)*4/3))</f>
        <v>6.5153780176199616</v>
      </c>
      <c r="AJ7" s="119">
        <f t="shared" ref="AJ7" ca="1" si="41">(Z7+N7+(LOG(I7)*4/3))*(Q7/7)^0.5</f>
        <v>5.5064994527561586</v>
      </c>
      <c r="AK7" s="119">
        <f t="shared" ref="AK7" ca="1" si="42">(Z7+N7+(LOG(I7)*4/3))*(IF(Q7=7, (Q7/7)^0.5, ((Q7+1)/7)^0.5))</f>
        <v>6.0320679263288008</v>
      </c>
      <c r="AL7" s="8">
        <f t="shared" ref="AL7" ca="1" si="43">(((Y7+LOG(I7)*4/3+N7)+(AB7+LOG(I7)*4/3+N7)*2)/8)*(Q7/7)^0.5</f>
        <v>3.0619552046586063</v>
      </c>
      <c r="AM7" s="8">
        <f t="shared" ref="AM7" ca="1" si="44">(AD7+LOG(I7)*4/3+N7)*0.7+(AC7+LOG(I7)*4/3+N7)*0.3</f>
        <v>1.8153780176199614</v>
      </c>
      <c r="AN7" s="8">
        <f t="shared" ref="AN7" ca="1" si="45">(0.5*(AC7+LOG(I7)*4/3+N7)+ 0.3*(AD7+LOG(I7)*4/3+N7))/10</f>
        <v>0.17123024140959692</v>
      </c>
      <c r="AO7" s="8">
        <f t="shared" ref="AO7" ca="1" si="46">(0.4*(Y7+LOG(I7)*4/3+N7)+0.3*(AD7+LOG(I7)*4/3+N7))/10</f>
        <v>0.68357646123339733</v>
      </c>
      <c r="AP7" s="128">
        <f>IF(AR7=4,IF(AS7=0,0.137+0.0697,0.137+0.02),IF(AR7=3,IF(AS7=0,0.0958+0.0697,0.0958+0.02),IF(AR7=2,IF(AS7=0,0.0415+0.0697,0.0415+0.02),IF(AR7=1,IF(AS7=0,0.0294+0.0697,0.0294+0.02),IF(AR7=0,IF(AS7=0,0.0063+0.0697,0.0063+0.02))))))</f>
        <v>6.1499999999999999E-2</v>
      </c>
      <c r="AQ7" s="20">
        <v>3</v>
      </c>
      <c r="AR7" s="20">
        <v>2</v>
      </c>
      <c r="AS7" s="20">
        <v>2</v>
      </c>
      <c r="AT7" s="29">
        <v>64840</v>
      </c>
    </row>
    <row r="8" spans="1:46" x14ac:dyDescent="0.25">
      <c r="A8" s="15" t="s">
        <v>38</v>
      </c>
      <c r="B8" s="15" t="s">
        <v>321</v>
      </c>
      <c r="C8" s="120">
        <f t="shared" ca="1" si="10"/>
        <v>11.339285714285714</v>
      </c>
      <c r="D8" s="213" t="s">
        <v>428</v>
      </c>
      <c r="E8" s="16">
        <v>22</v>
      </c>
      <c r="F8" s="2">
        <f ca="1">$D$2-$D$1-1069-112-112</f>
        <v>74</v>
      </c>
      <c r="G8" s="18"/>
      <c r="H8" s="4">
        <v>1</v>
      </c>
      <c r="I8" s="27">
        <v>3.8</v>
      </c>
      <c r="J8" s="22">
        <f>LOG(I8)*4/3</f>
        <v>0.77304479548908012</v>
      </c>
      <c r="K8" s="6">
        <f>(H8)*(H8)*(I8)</f>
        <v>3.8</v>
      </c>
      <c r="L8" s="6">
        <f>(H8+1)*(H8+1)*I8</f>
        <v>15.2</v>
      </c>
      <c r="M8" s="129">
        <v>43383</v>
      </c>
      <c r="N8" s="130">
        <f t="shared" ca="1" si="0"/>
        <v>0.83183886701605136</v>
      </c>
      <c r="O8" s="19">
        <v>5.4</v>
      </c>
      <c r="P8" s="20">
        <f>O8*10+19</f>
        <v>73</v>
      </c>
      <c r="Q8" s="26">
        <v>4</v>
      </c>
      <c r="R8" s="114">
        <f>(Q8/7)^0.5</f>
        <v>0.7559289460184544</v>
      </c>
      <c r="S8" s="114">
        <f>IF(Q8=7,1,((Q8+0.99)/7)^0.5)</f>
        <v>0.84430867747355465</v>
      </c>
      <c r="T8" s="29">
        <v>62390</v>
      </c>
      <c r="U8" s="29">
        <f>T8-AT8</f>
        <v>10680</v>
      </c>
      <c r="V8" s="29">
        <v>5710</v>
      </c>
      <c r="W8" s="8">
        <f>T8/V8</f>
        <v>10.926444833625219</v>
      </c>
      <c r="X8" s="21">
        <v>0</v>
      </c>
      <c r="Y8" s="22">
        <f>12+4/11</f>
        <v>12.363636363636363</v>
      </c>
      <c r="Z8" s="21">
        <v>3</v>
      </c>
      <c r="AA8" s="22">
        <f>7+0.1+0.1</f>
        <v>7.1999999999999993</v>
      </c>
      <c r="AB8" s="21">
        <v>10</v>
      </c>
      <c r="AC8" s="22">
        <v>3</v>
      </c>
      <c r="AD8" s="21">
        <v>2</v>
      </c>
      <c r="AE8" s="9">
        <f>PLANNING!V5</f>
        <v>105.5</v>
      </c>
      <c r="AF8" s="9">
        <v>1910</v>
      </c>
      <c r="AG8" s="23">
        <f ca="1">(AD8+1+(LOG(I8)*4/3)+N8)*(Q8/7)^0.5</f>
        <v>3.4809648535351041</v>
      </c>
      <c r="AH8" s="23">
        <f ca="1">(AD8+1+N8+(LOG(I8)*4/3))*(IF(Q8=7, (Q8/7)^0.5, ((Q8+1)/7)^0.5))</f>
        <v>3.8918370198960464</v>
      </c>
      <c r="AI8" s="23">
        <f ca="1">(Z8+N8+(LOG(I8)*4/3))</f>
        <v>4.6048836625051317</v>
      </c>
      <c r="AJ8" s="119">
        <f ca="1">(Z8+N8+(LOG(I8)*4/3))*(Q8/7)^0.5</f>
        <v>3.4809648535351041</v>
      </c>
      <c r="AK8" s="119">
        <f ca="1">(Z8+N8+(LOG(I8)*4/3))*(IF(Q8=7, (Q8/7)^0.5, ((Q8+1)/7)^0.5))</f>
        <v>3.8918370198960464</v>
      </c>
      <c r="AL8" s="8">
        <f ca="1">(((Y8+LOG(I8)*4/3+N8)+(AB8+LOG(I8)*4/3+N8)*2)/8)*(Q8/7)^0.5</f>
        <v>3.5130179465159221</v>
      </c>
      <c r="AM8" s="8">
        <f ca="1">(AD8+LOG(I8)*4/3+N8)*0.7+(AC8+LOG(I8)*4/3+N8)*0.3</f>
        <v>3.9048836625051315</v>
      </c>
      <c r="AN8" s="8">
        <f ca="1">(0.5*(AC8+LOG(I8)*4/3+N8)+ 0.3*(AD8+LOG(I8)*4/3+N8))/10</f>
        <v>0.33839069300041053</v>
      </c>
      <c r="AO8" s="8">
        <f ca="1">(0.4*(Y8+LOG(I8)*4/3+N8)+0.3*(AD8+LOG(I8)*4/3+N8))/10</f>
        <v>0.66688731092081377</v>
      </c>
      <c r="AP8" s="128">
        <f>IF(AR8=4,IF(AS8=0,0.137+0.0697,0.137+0.02),IF(AR8=3,IF(AS8=0,0.0958+0.0697,0.0958+0.02),IF(AR8=2,IF(AS8=0,0.0415+0.0697,0.0415+0.02),IF(AR8=1,IF(AS8=0,0.0294+0.0697,0.0294+0.02),IF(AR8=0,IF(AS8=0,0.0063+0.0697,0.0063+0.02))))))</f>
        <v>0.1158</v>
      </c>
      <c r="AQ8" s="20">
        <v>0</v>
      </c>
      <c r="AR8" s="20">
        <v>3</v>
      </c>
      <c r="AS8" s="20">
        <v>2</v>
      </c>
      <c r="AT8" s="29">
        <v>51710</v>
      </c>
    </row>
    <row r="9" spans="1:46" x14ac:dyDescent="0.25">
      <c r="A9" s="15" t="s">
        <v>31</v>
      </c>
      <c r="B9" s="15" t="s">
        <v>321</v>
      </c>
      <c r="C9" s="120">
        <f t="shared" ca="1" si="10"/>
        <v>11.473214285714286</v>
      </c>
      <c r="D9" s="225" t="s">
        <v>437</v>
      </c>
      <c r="E9" s="1">
        <v>22</v>
      </c>
      <c r="F9" s="2">
        <f ca="1">$D$2-$D$1-880+55-112-112-14-21-112-112</f>
        <v>59</v>
      </c>
      <c r="G9" s="3"/>
      <c r="H9" s="4">
        <v>4</v>
      </c>
      <c r="I9" s="5">
        <v>4.4000000000000004</v>
      </c>
      <c r="J9" s="22">
        <f t="shared" si="11"/>
        <v>0.85793690198158323</v>
      </c>
      <c r="K9" s="6">
        <f t="shared" si="12"/>
        <v>70.400000000000006</v>
      </c>
      <c r="L9" s="6">
        <f t="shared" si="13"/>
        <v>110.00000000000001</v>
      </c>
      <c r="M9" s="129">
        <v>43419</v>
      </c>
      <c r="N9" s="130">
        <f t="shared" ca="1" si="0"/>
        <v>0.75369088531540396</v>
      </c>
      <c r="O9" s="25">
        <v>6.5</v>
      </c>
      <c r="P9" s="20">
        <f t="shared" si="14"/>
        <v>84</v>
      </c>
      <c r="Q9" s="26">
        <v>6</v>
      </c>
      <c r="R9" s="114">
        <f t="shared" si="15"/>
        <v>0.92582009977255142</v>
      </c>
      <c r="S9" s="114">
        <f t="shared" si="16"/>
        <v>0.99928545900129484</v>
      </c>
      <c r="T9" s="29">
        <v>76420</v>
      </c>
      <c r="U9" s="29">
        <f t="shared" si="17"/>
        <v>18520</v>
      </c>
      <c r="V9" s="7">
        <v>6250</v>
      </c>
      <c r="W9" s="8">
        <f t="shared" si="18"/>
        <v>12.2272</v>
      </c>
      <c r="X9" s="21">
        <v>0</v>
      </c>
      <c r="Y9" s="22">
        <f>10+2/9</f>
        <v>10.222222222222221</v>
      </c>
      <c r="Z9" s="21">
        <v>11</v>
      </c>
      <c r="AA9" s="22">
        <v>4</v>
      </c>
      <c r="AB9" s="21">
        <v>9</v>
      </c>
      <c r="AC9" s="22">
        <v>4</v>
      </c>
      <c r="AD9" s="21">
        <v>1</v>
      </c>
      <c r="AE9" s="9">
        <f>PLANNING!V7</f>
        <v>110.5</v>
      </c>
      <c r="AF9" s="9">
        <v>2011</v>
      </c>
      <c r="AG9" s="23">
        <f ca="1">(AD9+1+(LOG(I9)*4/3)+N9)*(Q9/7)^0.5</f>
        <v>3.3437175983766156</v>
      </c>
      <c r="AH9" s="23">
        <f ca="1">(AD9+1+N9+(LOG(I9)*4/3))*(IF(Q9=7, (Q9/7)^0.5, ((Q9+1)/7)^0.5))</f>
        <v>3.6116277872969871</v>
      </c>
      <c r="AI9" s="23">
        <f ca="1">(Z9+N9+(LOG(I9)*4/3))</f>
        <v>12.611627787296987</v>
      </c>
      <c r="AJ9" s="119">
        <f ca="1">(Z9+N9+(LOG(I9)*4/3))*(Q9/7)^0.5</f>
        <v>11.676098496329578</v>
      </c>
      <c r="AK9" s="119">
        <f ca="1">(Z9+N9+(LOG(I9)*4/3))*(IF(Q9=7, (Q9/7)^0.5, ((Q9+1)/7)^0.5))</f>
        <v>12.611627787296987</v>
      </c>
      <c r="AL9" s="8">
        <f ca="1">(((Y9+LOG(I9)*4/3+N9)+(AB9+LOG(I9)*4/3+N9)*2)/8)*(Q9/7)^0.5</f>
        <v>3.8256165987594288</v>
      </c>
      <c r="AM9" s="8">
        <f ca="1">(AD9+LOG(I9)*4/3+N9)*0.7+(AC9+LOG(I9)*4/3+N9)*0.3</f>
        <v>3.5116277872969865</v>
      </c>
      <c r="AN9" s="8">
        <f ca="1">(0.5*(AC9+LOG(I9)*4/3+N9)+ 0.3*(AD9+LOG(I9)*4/3+N9))/10</f>
        <v>0.35893022298375898</v>
      </c>
      <c r="AO9" s="8">
        <f ca="1">(0.4*(Y9+LOG(I9)*4/3+N9)+0.3*(AD9+LOG(I9)*4/3+N9))/10</f>
        <v>0.55170283399967801</v>
      </c>
      <c r="AP9" s="128">
        <f t="shared" si="21"/>
        <v>6.1499999999999999E-2</v>
      </c>
      <c r="AQ9" s="20">
        <v>0</v>
      </c>
      <c r="AR9" s="20">
        <v>2</v>
      </c>
      <c r="AS9" s="20">
        <v>2</v>
      </c>
      <c r="AT9" s="29">
        <v>57900</v>
      </c>
    </row>
    <row r="10" spans="1:46" x14ac:dyDescent="0.25">
      <c r="A10" s="15" t="s">
        <v>276</v>
      </c>
      <c r="B10" s="15" t="s">
        <v>190</v>
      </c>
      <c r="C10" s="120">
        <f t="shared" ca="1" si="10"/>
        <v>11.6875</v>
      </c>
      <c r="D10" s="227" t="s">
        <v>274</v>
      </c>
      <c r="E10" s="1">
        <v>22</v>
      </c>
      <c r="F10" s="2">
        <f ca="1">$D$2-$D$1-880-4-112-112-112-112</f>
        <v>35</v>
      </c>
      <c r="G10" s="3" t="s">
        <v>272</v>
      </c>
      <c r="H10" s="4">
        <v>3</v>
      </c>
      <c r="I10" s="5">
        <v>2.2000000000000002</v>
      </c>
      <c r="J10" s="22">
        <f>LOG(I10)*4/3</f>
        <v>0.45656357442960838</v>
      </c>
      <c r="K10" s="6">
        <f>(H10)*(H10)*(I10)</f>
        <v>19.8</v>
      </c>
      <c r="L10" s="6">
        <f>(H10+1)*(H10+1)*I10</f>
        <v>35.200000000000003</v>
      </c>
      <c r="M10" s="129">
        <v>43045</v>
      </c>
      <c r="N10" s="130">
        <f ca="1">IF((TODAY()-M10)&gt;335,1,((TODAY()-M10)^0.64)/(336^0.64))</f>
        <v>1</v>
      </c>
      <c r="O10" s="25">
        <v>5.0999999999999996</v>
      </c>
      <c r="P10" s="20">
        <f>O10*10+19</f>
        <v>70</v>
      </c>
      <c r="Q10" s="26">
        <v>5</v>
      </c>
      <c r="R10" s="114">
        <f>(Q10/7)^0.5</f>
        <v>0.84515425472851657</v>
      </c>
      <c r="S10" s="114">
        <f>IF(Q10=7,1,((Q10+0.99)/7)^0.5)</f>
        <v>0.92504826128926143</v>
      </c>
      <c r="T10" s="29">
        <v>3080</v>
      </c>
      <c r="U10" s="29">
        <f>T10-AT10</f>
        <v>410</v>
      </c>
      <c r="V10" s="7">
        <v>450</v>
      </c>
      <c r="W10" s="8">
        <f>T10/V10</f>
        <v>6.8444444444444441</v>
      </c>
      <c r="X10" s="21">
        <v>0</v>
      </c>
      <c r="Y10" s="22">
        <v>6</v>
      </c>
      <c r="Z10" s="21">
        <v>3</v>
      </c>
      <c r="AA10" s="22">
        <f>6.15</f>
        <v>6.15</v>
      </c>
      <c r="AB10" s="21">
        <v>3</v>
      </c>
      <c r="AC10" s="22">
        <f>3.73+1/15+1/15+1/15+1/15+1/15+1/15+1/15+1/15+1/15+1/15+1/15+1/15+1/15+1/15</f>
        <v>4.6633333333333322</v>
      </c>
      <c r="AD10" s="21">
        <v>3</v>
      </c>
      <c r="AE10" s="9">
        <f>10+12+3+2+7+1+0.5+4</f>
        <v>39.5</v>
      </c>
      <c r="AF10" s="9"/>
      <c r="AG10" s="23">
        <f ca="1">(AD10+1+(LOG(I10)*4/3)+N10)*(Q10/7)^0.5</f>
        <v>4.6116379211258263</v>
      </c>
      <c r="AH10" s="23">
        <f ca="1">(AD10+1+N10+(LOG(I10)*4/3))*(IF(Q10=7, (Q10/7)^0.5, ((Q10+1)/7)^0.5))</f>
        <v>5.0517962328936905</v>
      </c>
      <c r="AI10" s="23">
        <f ca="1">(Z10+N10+(LOG(I10)*4/3))</f>
        <v>4.4565635744296088</v>
      </c>
      <c r="AJ10" s="119">
        <f ca="1">(Z10+N10+(LOG(I10)*4/3))*(Q10/7)^0.5</f>
        <v>3.7664836663973098</v>
      </c>
      <c r="AK10" s="119">
        <f ca="1">(Z10+N10+(LOG(I10)*4/3))*(IF(Q10=7, (Q10/7)^0.5, ((Q10+1)/7)^0.5))</f>
        <v>4.1259761331211386</v>
      </c>
      <c r="AL10" s="8">
        <f ca="1">(((Y10+LOG(I10)*4/3+N10)+(AB10+LOG(I10)*4/3+N10)*2)/8)*(Q10/7)^0.5</f>
        <v>1.7293642204221849</v>
      </c>
      <c r="AM10" s="8">
        <f ca="1">(AD10+LOG(I10)*4/3+N10)*0.7+(AC10+LOG(I10)*4/3+N10)*0.3</f>
        <v>4.9555635744296085</v>
      </c>
      <c r="AN10" s="8">
        <f ca="1">(0.5*(AC10+LOG(I10)*4/3+N10)+ 0.3*(AD10+LOG(I10)*4/3+N10))/10</f>
        <v>0.43969175262103527</v>
      </c>
      <c r="AO10" s="8">
        <f ca="1">(0.4*(Y10+LOG(I10)*4/3+N10)+0.3*(AD10+LOG(I10)*4/3+N10))/10</f>
        <v>0.43195945021007259</v>
      </c>
      <c r="AP10" s="128">
        <f>IF(AR10=4,IF(AS10=0,0.137+0.0697,0.137+0.02),IF(AR10=3,IF(AS10=0,0.0958+0.0697,0.0958+0.02),IF(AR10=2,IF(AS10=0,0.0415+0.0697,0.0415+0.02),IF(AR10=1,IF(AS10=0,0.0294+0.0697,0.0294+0.02),IF(AR10=0,IF(AS10=0,0.0063+0.0697,0.0063+0.02))))))</f>
        <v>4.9399999999999999E-2</v>
      </c>
      <c r="AQ10" s="20">
        <v>3</v>
      </c>
      <c r="AR10" s="20">
        <v>1</v>
      </c>
      <c r="AS10" s="20">
        <v>2</v>
      </c>
      <c r="AT10" s="29">
        <v>2670</v>
      </c>
    </row>
    <row r="11" spans="1:46" x14ac:dyDescent="0.25">
      <c r="A11" s="15" t="s">
        <v>42</v>
      </c>
      <c r="B11" s="15" t="s">
        <v>451</v>
      </c>
      <c r="C11" s="120">
        <f t="shared" ca="1" si="10"/>
        <v>11.651785714285714</v>
      </c>
      <c r="D11" s="213" t="s">
        <v>329</v>
      </c>
      <c r="E11" s="1">
        <v>22</v>
      </c>
      <c r="F11" s="2">
        <f ca="1">$D$2-$D$1-880-112-112-112-112</f>
        <v>39</v>
      </c>
      <c r="G11" s="3" t="s">
        <v>272</v>
      </c>
      <c r="H11" s="209">
        <v>5</v>
      </c>
      <c r="I11" s="5">
        <v>4.0999999999999996</v>
      </c>
      <c r="J11" s="22">
        <f t="shared" ref="J11:J13" si="47">LOG(I11)*4/3</f>
        <v>0.81704514229298064</v>
      </c>
      <c r="K11" s="6">
        <f t="shared" ref="K11:K13" si="48">(H11)*(H11)*(I11)</f>
        <v>102.49999999999999</v>
      </c>
      <c r="L11" s="6">
        <f t="shared" ref="L11:L13" si="49">(H11+1)*(H11+1)*I11</f>
        <v>147.6</v>
      </c>
      <c r="M11" s="129">
        <v>43137</v>
      </c>
      <c r="N11" s="130">
        <f t="shared" ref="N11:N17" ca="1" si="50">IF((TODAY()-M11)&gt;335,1,((TODAY()-M11)^0.64)/(336^0.64))</f>
        <v>1</v>
      </c>
      <c r="O11" s="25">
        <v>5.8</v>
      </c>
      <c r="P11" s="20">
        <f t="shared" ref="P11:P13" si="51">O11*10+19</f>
        <v>77</v>
      </c>
      <c r="Q11" s="26">
        <v>7</v>
      </c>
      <c r="R11" s="114">
        <f t="shared" ref="R11:R13" si="52">(Q11/7)^0.5</f>
        <v>1</v>
      </c>
      <c r="S11" s="114">
        <f t="shared" ref="S11:S13" si="53">IF(Q11=7,1,((Q11+0.99)/7)^0.5)</f>
        <v>1</v>
      </c>
      <c r="T11" s="29">
        <v>96990</v>
      </c>
      <c r="U11" s="29">
        <f t="shared" ref="U11:U13" si="54">T11-AT11</f>
        <v>34660</v>
      </c>
      <c r="V11" s="7">
        <v>8650</v>
      </c>
      <c r="W11" s="8">
        <f t="shared" ref="W11:W13" si="55">T11/V11</f>
        <v>11.21271676300578</v>
      </c>
      <c r="X11" s="21">
        <v>0</v>
      </c>
      <c r="Y11" s="22">
        <f>11+5/9</f>
        <v>11.555555555555555</v>
      </c>
      <c r="Z11" s="21">
        <v>4</v>
      </c>
      <c r="AA11" s="22">
        <f>12+4/6</f>
        <v>12.666666666666666</v>
      </c>
      <c r="AB11" s="21">
        <f>4+0.25</f>
        <v>4.25</v>
      </c>
      <c r="AC11" s="22">
        <f>5.25+0.25+0.25+0.25+0.25+0.25+0.25+0.25</f>
        <v>7</v>
      </c>
      <c r="AD11" s="21">
        <v>3</v>
      </c>
      <c r="AE11" s="9">
        <f>PLANNING!V9</f>
        <v>120.5</v>
      </c>
      <c r="AF11" s="9">
        <v>2048</v>
      </c>
      <c r="AG11" s="23">
        <f t="shared" ref="AG11:AG13" ca="1" si="56">(AD11+1+(LOG(I11)*4/3)+N11)*(Q11/7)^0.5</f>
        <v>5.8170451422929803</v>
      </c>
      <c r="AH11" s="23">
        <f t="shared" ref="AH11:AH13" ca="1" si="57">(AD11+1+N11+(LOG(I11)*4/3))*(IF(Q11=7, (Q11/7)^0.5, ((Q11+1)/7)^0.5))</f>
        <v>5.8170451422929803</v>
      </c>
      <c r="AI11" s="23">
        <f t="shared" ref="AI11:AI13" ca="1" si="58">(Z11+N11+(LOG(I11)*4/3))</f>
        <v>5.8170451422929803</v>
      </c>
      <c r="AJ11" s="119">
        <f t="shared" ref="AJ11:AJ13" ca="1" si="59">(Z11+N11+(LOG(I11)*4/3))*(Q11/7)^0.5</f>
        <v>5.8170451422929803</v>
      </c>
      <c r="AK11" s="119">
        <f t="shared" ref="AK11:AK13" ca="1" si="60">(Z11+N11+(LOG(I11)*4/3))*(IF(Q11=7, (Q11/7)^0.5, ((Q11+1)/7)^0.5))</f>
        <v>5.8170451422929803</v>
      </c>
      <c r="AL11" s="8">
        <f t="shared" ref="AL11:AL13" ca="1" si="61">(((Y11+LOG(I11)*4/3+N11)+(AB11+LOG(I11)*4/3+N11)*2)/8)*(Q11/7)^0.5</f>
        <v>3.1883363728043124</v>
      </c>
      <c r="AM11" s="8">
        <f t="shared" ref="AM11:AM13" ca="1" si="62">(AD11+LOG(I11)*4/3+N11)*0.7+(AC11+LOG(I11)*4/3+N11)*0.3</f>
        <v>6.0170451422929805</v>
      </c>
      <c r="AN11" s="8">
        <f t="shared" ref="AN11:AN13" ca="1" si="63">(0.5*(AC11+LOG(I11)*4/3+N11)+ 0.3*(AD11+LOG(I11)*4/3+N11))/10</f>
        <v>0.5853636113834384</v>
      </c>
      <c r="AO11" s="8">
        <f t="shared" ref="AO11:AO13" ca="1" si="64">(0.4*(Y11+LOG(I11)*4/3+N11)+0.3*(AD11+LOG(I11)*4/3+N11))/10</f>
        <v>0.67941538218273101</v>
      </c>
      <c r="AP11" s="128">
        <f t="shared" ref="AP11:AP13" si="65">IF(AR11=4,IF(AS11=0,0.137+0.0697,0.137+0.02),IF(AR11=3,IF(AS11=0,0.0958+0.0697,0.0958+0.02),IF(AR11=2,IF(AS11=0,0.0415+0.0697,0.0415+0.02),IF(AR11=1,IF(AS11=0,0.0294+0.0697,0.0294+0.02),IF(AR11=0,IF(AS11=0,0.0063+0.0697,0.0063+0.02))))))</f>
        <v>6.1499999999999999E-2</v>
      </c>
      <c r="AQ11" s="20">
        <v>1</v>
      </c>
      <c r="AR11" s="20">
        <v>2</v>
      </c>
      <c r="AS11" s="20">
        <v>3</v>
      </c>
      <c r="AT11" s="29">
        <v>62330</v>
      </c>
    </row>
    <row r="12" spans="1:46" x14ac:dyDescent="0.25">
      <c r="A12" s="15" t="s">
        <v>32</v>
      </c>
      <c r="B12" s="15" t="s">
        <v>451</v>
      </c>
      <c r="C12" s="120">
        <f t="shared" ca="1" si="10"/>
        <v>12</v>
      </c>
      <c r="D12" s="213" t="s">
        <v>328</v>
      </c>
      <c r="E12" s="1">
        <v>22</v>
      </c>
      <c r="F12" s="2">
        <f ca="1">$D$2-$D$1-919-112-112-112-112</f>
        <v>0</v>
      </c>
      <c r="G12" s="3" t="s">
        <v>44</v>
      </c>
      <c r="H12" s="4">
        <v>3</v>
      </c>
      <c r="I12" s="5">
        <v>4.2</v>
      </c>
      <c r="J12" s="22">
        <f t="shared" si="47"/>
        <v>0.8309990538638673</v>
      </c>
      <c r="K12" s="6">
        <f t="shared" si="48"/>
        <v>37.800000000000004</v>
      </c>
      <c r="L12" s="6">
        <f t="shared" si="49"/>
        <v>67.2</v>
      </c>
      <c r="M12" s="129">
        <v>43122</v>
      </c>
      <c r="N12" s="130">
        <f t="shared" ca="1" si="50"/>
        <v>1</v>
      </c>
      <c r="O12" s="25">
        <v>5.7</v>
      </c>
      <c r="P12" s="20">
        <f t="shared" si="51"/>
        <v>76</v>
      </c>
      <c r="Q12" s="26">
        <v>5</v>
      </c>
      <c r="R12" s="114">
        <f t="shared" si="52"/>
        <v>0.84515425472851657</v>
      </c>
      <c r="S12" s="114">
        <f t="shared" si="53"/>
        <v>0.92504826128926143</v>
      </c>
      <c r="T12" s="29">
        <v>88500</v>
      </c>
      <c r="U12" s="29">
        <f t="shared" si="54"/>
        <v>24700</v>
      </c>
      <c r="V12" s="7">
        <v>9290</v>
      </c>
      <c r="W12" s="8">
        <f t="shared" si="55"/>
        <v>9.5263724434876202</v>
      </c>
      <c r="X12" s="21">
        <v>0</v>
      </c>
      <c r="Y12" s="22">
        <f>10+4/7</f>
        <v>10.571428571428571</v>
      </c>
      <c r="Z12" s="21">
        <v>3</v>
      </c>
      <c r="AA12" s="22">
        <v>13</v>
      </c>
      <c r="AB12" s="21">
        <v>7</v>
      </c>
      <c r="AC12" s="22">
        <f>4.25+0.25+0.25+0.25+0.25+0.25+0.25+0.25+0.25+0.25+0.25+0.25</f>
        <v>7</v>
      </c>
      <c r="AD12" s="21">
        <v>3</v>
      </c>
      <c r="AE12" s="9">
        <f>PLANNING!V14</f>
        <v>114.5</v>
      </c>
      <c r="AF12" s="9">
        <v>2164</v>
      </c>
      <c r="AG12" s="23">
        <f t="shared" ca="1" si="56"/>
        <v>4.9280936596910019</v>
      </c>
      <c r="AH12" s="23">
        <f t="shared" ca="1" si="57"/>
        <v>5.398456125821899</v>
      </c>
      <c r="AI12" s="23">
        <f t="shared" ca="1" si="58"/>
        <v>4.8309990538638674</v>
      </c>
      <c r="AJ12" s="119">
        <f t="shared" ca="1" si="59"/>
        <v>4.0829394049624854</v>
      </c>
      <c r="AK12" s="119">
        <f t="shared" ca="1" si="60"/>
        <v>4.4726360260493472</v>
      </c>
      <c r="AL12" s="8">
        <f t="shared" ca="1" si="61"/>
        <v>3.1761346655289375</v>
      </c>
      <c r="AM12" s="8">
        <f t="shared" ca="1" si="62"/>
        <v>6.0309990538638676</v>
      </c>
      <c r="AN12" s="8">
        <f t="shared" ca="1" si="63"/>
        <v>0.58647992430910934</v>
      </c>
      <c r="AO12" s="8">
        <f t="shared" ca="1" si="64"/>
        <v>0.6410270766276136</v>
      </c>
      <c r="AP12" s="128">
        <f t="shared" si="65"/>
        <v>2.63E-2</v>
      </c>
      <c r="AQ12" s="20">
        <v>2</v>
      </c>
      <c r="AR12" s="20">
        <v>0</v>
      </c>
      <c r="AS12" s="20">
        <v>2</v>
      </c>
      <c r="AT12" s="29">
        <v>63800</v>
      </c>
    </row>
    <row r="13" spans="1:46" x14ac:dyDescent="0.25">
      <c r="A13" s="15" t="s">
        <v>40</v>
      </c>
      <c r="B13" s="15" t="s">
        <v>451</v>
      </c>
      <c r="C13" s="120">
        <f t="shared" ca="1" si="10"/>
        <v>11.651785714285714</v>
      </c>
      <c r="D13" s="213" t="s">
        <v>275</v>
      </c>
      <c r="E13" s="16">
        <v>22</v>
      </c>
      <c r="F13" s="2">
        <f ca="1">$D$2-$D$1-880-112-112-112-112</f>
        <v>39</v>
      </c>
      <c r="G13" s="18" t="s">
        <v>272</v>
      </c>
      <c r="H13" s="40">
        <v>6</v>
      </c>
      <c r="I13" s="27">
        <v>4.2</v>
      </c>
      <c r="J13" s="22">
        <f t="shared" si="47"/>
        <v>0.8309990538638673</v>
      </c>
      <c r="K13" s="6">
        <f t="shared" si="48"/>
        <v>151.20000000000002</v>
      </c>
      <c r="L13" s="6">
        <f t="shared" si="49"/>
        <v>205.8</v>
      </c>
      <c r="M13" s="129">
        <v>43051</v>
      </c>
      <c r="N13" s="130">
        <f t="shared" ca="1" si="50"/>
        <v>1</v>
      </c>
      <c r="O13" s="19">
        <v>5.0999999999999996</v>
      </c>
      <c r="P13" s="20">
        <f t="shared" si="51"/>
        <v>70</v>
      </c>
      <c r="Q13" s="26">
        <v>4</v>
      </c>
      <c r="R13" s="114">
        <f t="shared" si="52"/>
        <v>0.7559289460184544</v>
      </c>
      <c r="S13" s="114">
        <f t="shared" si="53"/>
        <v>0.84430867747355465</v>
      </c>
      <c r="T13" s="29">
        <v>54480</v>
      </c>
      <c r="U13" s="29">
        <f t="shared" si="54"/>
        <v>9270</v>
      </c>
      <c r="V13" s="29">
        <v>5690</v>
      </c>
      <c r="W13" s="8">
        <f t="shared" si="55"/>
        <v>9.5746924428822489</v>
      </c>
      <c r="X13" s="21">
        <v>0</v>
      </c>
      <c r="Y13" s="22">
        <f>10+1/7</f>
        <v>10.142857142857142</v>
      </c>
      <c r="Z13" s="21">
        <v>3</v>
      </c>
      <c r="AA13" s="22">
        <v>12</v>
      </c>
      <c r="AB13" s="21">
        <f>5.4+0.2+0.2+0.2</f>
        <v>6.0000000000000009</v>
      </c>
      <c r="AC13" s="22">
        <f>3.34+0.34+0.33+0.33+0.33+0.33+0.33+0.33+0.33+0.26+0.25+0.25+0.25+0.25</f>
        <v>7.25</v>
      </c>
      <c r="AD13" s="21">
        <v>3</v>
      </c>
      <c r="AE13" s="9">
        <f>PLANNING!V10</f>
        <v>101.5</v>
      </c>
      <c r="AF13" s="9">
        <v>1961</v>
      </c>
      <c r="AG13" s="23">
        <f t="shared" ca="1" si="56"/>
        <v>4.4078209690219179</v>
      </c>
      <c r="AH13" s="23">
        <f t="shared" ca="1" si="57"/>
        <v>4.9280936596910019</v>
      </c>
      <c r="AI13" s="23">
        <f t="shared" ca="1" si="58"/>
        <v>4.8309990538638674</v>
      </c>
      <c r="AJ13" s="119">
        <f t="shared" ca="1" si="59"/>
        <v>3.6518920230034637</v>
      </c>
      <c r="AK13" s="119">
        <f t="shared" ca="1" si="60"/>
        <v>4.0829394049624854</v>
      </c>
      <c r="AL13" s="8">
        <f t="shared" ca="1" si="61"/>
        <v>2.6113427770851882</v>
      </c>
      <c r="AM13" s="8">
        <f t="shared" ca="1" si="62"/>
        <v>6.1059990538638669</v>
      </c>
      <c r="AN13" s="8">
        <f t="shared" ca="1" si="63"/>
        <v>0.5989799243091094</v>
      </c>
      <c r="AO13" s="8">
        <f t="shared" ca="1" si="64"/>
        <v>0.62388421948475636</v>
      </c>
      <c r="AP13" s="128">
        <f t="shared" si="65"/>
        <v>6.1499999999999999E-2</v>
      </c>
      <c r="AQ13" s="20">
        <v>2</v>
      </c>
      <c r="AR13" s="20">
        <v>2</v>
      </c>
      <c r="AS13" s="20">
        <v>1</v>
      </c>
      <c r="AT13" s="29">
        <v>45210</v>
      </c>
    </row>
    <row r="14" spans="1:46" x14ac:dyDescent="0.25">
      <c r="A14" s="15" t="s">
        <v>30</v>
      </c>
      <c r="B14" s="15" t="s">
        <v>451</v>
      </c>
      <c r="C14" s="120">
        <f t="shared" ca="1" si="10"/>
        <v>11.6875</v>
      </c>
      <c r="D14" s="213" t="s">
        <v>270</v>
      </c>
      <c r="E14" s="16">
        <v>22</v>
      </c>
      <c r="F14" s="2">
        <f ca="1">$D$2-$D$1-880-4-112-112-112-112</f>
        <v>35</v>
      </c>
      <c r="G14" s="18" t="s">
        <v>44</v>
      </c>
      <c r="H14" s="4">
        <v>1</v>
      </c>
      <c r="I14" s="27">
        <v>4.5999999999999996</v>
      </c>
      <c r="J14" s="22">
        <f>LOG(I14)*4/3</f>
        <v>0.8836771089087655</v>
      </c>
      <c r="K14" s="6">
        <f>(H14)*(H14)*(I14)</f>
        <v>4.5999999999999996</v>
      </c>
      <c r="L14" s="6">
        <f>(H14+1)*(H14+1)*I14</f>
        <v>18.399999999999999</v>
      </c>
      <c r="M14" s="129">
        <v>43046</v>
      </c>
      <c r="N14" s="130">
        <v>1.5</v>
      </c>
      <c r="O14" s="19">
        <v>6</v>
      </c>
      <c r="P14" s="20">
        <f>O14*10+19</f>
        <v>79</v>
      </c>
      <c r="Q14" s="20">
        <v>7</v>
      </c>
      <c r="R14" s="114">
        <f>(Q14/7)^0.5</f>
        <v>1</v>
      </c>
      <c r="S14" s="114">
        <f>IF(Q14=7,1,((Q14+0.99)/7)^0.5)</f>
        <v>1</v>
      </c>
      <c r="T14" s="29">
        <v>103330</v>
      </c>
      <c r="U14" s="29">
        <f>T14-AT14</f>
        <v>31270</v>
      </c>
      <c r="V14" s="29">
        <v>13450</v>
      </c>
      <c r="W14" s="8">
        <f>T14/V14</f>
        <v>7.6825278810408921</v>
      </c>
      <c r="X14" s="21">
        <v>0</v>
      </c>
      <c r="Y14" s="22">
        <f>8+3/5</f>
        <v>8.6</v>
      </c>
      <c r="Z14" s="21">
        <v>5.7</v>
      </c>
      <c r="AA14" s="22">
        <f>12+0.2+0.2+0.2+0.2+0.2+(7/7)+(1/8)</f>
        <v>14.124999999999996</v>
      </c>
      <c r="AB14" s="21">
        <v>6</v>
      </c>
      <c r="AC14" s="22">
        <f>4.25+0.34+0.33+0.33+0.25+0.25+0.25+0.25+0.25+0.25+0.25+0.25+0.25</f>
        <v>7.5</v>
      </c>
      <c r="AD14" s="21">
        <v>5</v>
      </c>
      <c r="AE14" s="9">
        <f>PLANNING!V13</f>
        <v>112</v>
      </c>
      <c r="AF14" s="9">
        <v>2073</v>
      </c>
      <c r="AG14" s="23">
        <f>(AD14+1+(LOG(I14)*4/3)+N14)*(Q14/7)^0.5</f>
        <v>8.3836771089087652</v>
      </c>
      <c r="AH14" s="23">
        <f>(AD14+1+N14+(LOG(I14)*4/3))*(IF(Q14=7, (Q14/7)^0.5, ((Q14+1)/7)^0.5))</f>
        <v>8.3836771089087652</v>
      </c>
      <c r="AI14" s="23">
        <f>(Z14+N14+(LOG(I14)*4/3))</f>
        <v>8.0836771089087662</v>
      </c>
      <c r="AJ14" s="119">
        <f>(Z14+N14+(LOG(I14)*4/3))*(Q14/7)^0.5</f>
        <v>8.0836771089087662</v>
      </c>
      <c r="AK14" s="119">
        <f>(Z14+N14+(LOG(I14)*4/3))*(IF(Q14=7, (Q14/7)^0.5, ((Q14+1)/7)^0.5))</f>
        <v>8.0836771089087662</v>
      </c>
      <c r="AL14" s="8">
        <f>(((Y14+LOG(I14)*4/3+N14)+(AB14+LOG(I14)*4/3+N14)*2)/8)*(Q14/7)^0.5</f>
        <v>3.4688789158407869</v>
      </c>
      <c r="AM14" s="8">
        <f>(AD14+LOG(I14)*4/3+N14)*0.7+(AC14+LOG(I14)*4/3+N14)*0.3</f>
        <v>8.1336771089087634</v>
      </c>
      <c r="AN14" s="8">
        <f>(0.5*(AC14+LOG(I14)*4/3+N14)+ 0.3*(AD14+LOG(I14)*4/3+N14))/10</f>
        <v>0.7156941687127012</v>
      </c>
      <c r="AO14" s="8">
        <f>(0.4*(Y14+LOG(I14)*4/3+N14)+0.3*(AD14+LOG(I14)*4/3+N14))/10</f>
        <v>0.66085739762361351</v>
      </c>
      <c r="AP14" s="128">
        <f>IF(AR14=4,IF(AS14=0,0.137+0.0697,0.137+0.02),IF(AR14=3,IF(AS14=0,0.0958+0.0697,0.0958+0.02),IF(AR14=2,IF(AS14=0,0.0415+0.0697,0.0415+0.02),IF(AR14=1,IF(AS14=0,0.0294+0.0697,0.0294+0.02),IF(AR14=0,IF(AS14=0,0.0063+0.0697,0.0063+0.02))))))</f>
        <v>0.1158</v>
      </c>
      <c r="AQ14" s="20">
        <v>4</v>
      </c>
      <c r="AR14" s="20">
        <v>3</v>
      </c>
      <c r="AS14" s="20">
        <v>2</v>
      </c>
      <c r="AT14" s="29">
        <v>72060</v>
      </c>
    </row>
    <row r="15" spans="1:46" x14ac:dyDescent="0.25">
      <c r="A15" s="15" t="s">
        <v>35</v>
      </c>
      <c r="B15" s="15" t="s">
        <v>451</v>
      </c>
      <c r="C15" s="120">
        <f t="shared" ca="1" si="10"/>
        <v>11.6875</v>
      </c>
      <c r="D15" s="213" t="s">
        <v>326</v>
      </c>
      <c r="E15" s="16">
        <v>22</v>
      </c>
      <c r="F15" s="2">
        <f ca="1">$D$2-$D$1-880-4-112-112-112-112</f>
        <v>35</v>
      </c>
      <c r="G15" s="18" t="s">
        <v>272</v>
      </c>
      <c r="H15" s="40">
        <v>6</v>
      </c>
      <c r="I15" s="27">
        <v>4</v>
      </c>
      <c r="J15" s="22">
        <f>LOG(I15)*4/3</f>
        <v>0.80274665510394982</v>
      </c>
      <c r="K15" s="6">
        <f>(H15)*(H15)*(I15)</f>
        <v>144</v>
      </c>
      <c r="L15" s="6">
        <f>(H15+1)*(H15+1)*I15</f>
        <v>196</v>
      </c>
      <c r="M15" s="129">
        <v>43054</v>
      </c>
      <c r="N15" s="130">
        <f ca="1">IF((TODAY()-M15)&gt;335,1,((TODAY()-M15)^0.64)/(336^0.64))</f>
        <v>1</v>
      </c>
      <c r="O15" s="19">
        <v>5.9</v>
      </c>
      <c r="P15" s="20">
        <f>O15*10+19</f>
        <v>78</v>
      </c>
      <c r="Q15" s="26">
        <v>5</v>
      </c>
      <c r="R15" s="114">
        <f>(Q15/7)^0.5</f>
        <v>0.84515425472851657</v>
      </c>
      <c r="S15" s="114">
        <f>IF(Q15=7,1,((Q15+0.99)/7)^0.5)</f>
        <v>0.92504826128926143</v>
      </c>
      <c r="T15" s="29">
        <v>75210</v>
      </c>
      <c r="U15" s="29">
        <f>T15-AT15</f>
        <v>16330</v>
      </c>
      <c r="V15" s="29">
        <v>9050</v>
      </c>
      <c r="W15" s="8">
        <f>T15/V15</f>
        <v>8.3104972375690611</v>
      </c>
      <c r="X15" s="21">
        <v>0</v>
      </c>
      <c r="Y15" s="22">
        <f>9+1/7</f>
        <v>9.1428571428571423</v>
      </c>
      <c r="Z15" s="21">
        <v>5</v>
      </c>
      <c r="AA15" s="22">
        <f>13+1.33/7</f>
        <v>13.19</v>
      </c>
      <c r="AB15" s="21">
        <f>4.5+0.25+0.25</f>
        <v>5</v>
      </c>
      <c r="AC15" s="22">
        <f>4.28+0.34+0.33+0.33+0.33*85/90+0.33+0.33+0.25+0.25+0.25+0.2+0.2+0.2+0.2</f>
        <v>7.8016666666666676</v>
      </c>
      <c r="AD15" s="21">
        <v>3</v>
      </c>
      <c r="AE15" s="9">
        <f>PLANNING!V15</f>
        <v>106.88</v>
      </c>
      <c r="AF15" s="9">
        <v>1975</v>
      </c>
      <c r="AG15" s="23">
        <f ca="1">(AD15+1+(LOG(I15)*4/3)+N15)*(Q15/7)^0.5</f>
        <v>4.9042160246727713</v>
      </c>
      <c r="AH15" s="23">
        <f ca="1">(AD15+1+N15+(LOG(I15)*4/3))*(IF(Q15=7, (Q15/7)^0.5, ((Q15+1)/7)^0.5))</f>
        <v>5.3722994871831782</v>
      </c>
      <c r="AI15" s="23">
        <f ca="1">(Z15+N15+(LOG(I15)*4/3))</f>
        <v>6.8027466551039497</v>
      </c>
      <c r="AJ15" s="119">
        <f ca="1">(Z15+N15+(LOG(I15)*4/3))*(Q15/7)^0.5</f>
        <v>5.7493702794012878</v>
      </c>
      <c r="AK15" s="119">
        <f ca="1">(Z15+N15+(LOG(I15)*4/3))*(IF(Q15=7, (Q15/7)^0.5, ((Q15+1)/7)^0.5))</f>
        <v>6.2981195869557292</v>
      </c>
      <c r="AL15" s="8">
        <f ca="1">(((Y15+LOG(I15)*4/3+N15)+(AB15+LOG(I15)*4/3+N15)*2)/8)*(Q15/7)^0.5</f>
        <v>2.5936830224027503</v>
      </c>
      <c r="AM15" s="8">
        <f ca="1">(AD15+LOG(I15)*4/3+N15)*0.7+(AC15+LOG(I15)*4/3+N15)*0.3</f>
        <v>6.2432466551039498</v>
      </c>
      <c r="AN15" s="8">
        <f ca="1">(0.5*(AC15+LOG(I15)*4/3+N15)+ 0.3*(AD15+LOG(I15)*4/3+N15))/10</f>
        <v>0.6243030657416494</v>
      </c>
      <c r="AO15" s="8">
        <f ca="1">(0.4*(Y15+LOG(I15)*4/3+N15)+0.3*(AD15+LOG(I15)*4/3+N15))/10</f>
        <v>0.58190655157156224</v>
      </c>
      <c r="AP15" s="128">
        <f>IF(AR15=4,IF(AS15=0,0.137+0.0697,0.137+0.02),IF(AR15=3,IF(AS15=0,0.0958+0.0697,0.0958+0.02),IF(AR15=2,IF(AS15=0,0.0415+0.0697,0.0415+0.02),IF(AR15=1,IF(AS15=0,0.0294+0.0697,0.0294+0.02),IF(AR15=0,IF(AS15=0,0.0063+0.0697,0.0063+0.02))))))</f>
        <v>6.1499999999999999E-2</v>
      </c>
      <c r="AQ15" s="20">
        <v>2</v>
      </c>
      <c r="AR15" s="20">
        <v>2</v>
      </c>
      <c r="AS15" s="20">
        <v>1</v>
      </c>
      <c r="AT15" s="29">
        <v>58880</v>
      </c>
    </row>
    <row r="16" spans="1:46" x14ac:dyDescent="0.25">
      <c r="A16" s="15" t="s">
        <v>39</v>
      </c>
      <c r="B16" s="15" t="s">
        <v>93</v>
      </c>
      <c r="C16" s="120">
        <f t="shared" ca="1" si="10"/>
        <v>3.9642857142857144</v>
      </c>
      <c r="D16" s="226" t="s">
        <v>449</v>
      </c>
      <c r="E16" s="16">
        <v>30</v>
      </c>
      <c r="F16" s="2">
        <f ca="1">$D$2-$D$1-880+25-112-112-60-112-112</f>
        <v>4</v>
      </c>
      <c r="G16" s="18" t="s">
        <v>175</v>
      </c>
      <c r="H16" s="4">
        <v>1</v>
      </c>
      <c r="I16" s="27">
        <v>7</v>
      </c>
      <c r="J16" s="22">
        <f t="shared" ref="J16:J21" si="66">LOG(I16)*4/3</f>
        <v>1.1267973866856758</v>
      </c>
      <c r="K16" s="6">
        <f t="shared" ref="K16:K17" si="67">(H16)*(H16)*(I16)</f>
        <v>7</v>
      </c>
      <c r="L16" s="6">
        <f t="shared" ref="L16:L17" si="68">(H16+1)*(H16+1)*I16</f>
        <v>28</v>
      </c>
      <c r="M16" s="129">
        <v>43409</v>
      </c>
      <c r="N16" s="130">
        <f t="shared" ca="1" si="50"/>
        <v>0.77584017284391016</v>
      </c>
      <c r="O16" s="19">
        <v>5.8</v>
      </c>
      <c r="P16" s="20">
        <f t="shared" ref="P16:P21" si="69">O16*10+19</f>
        <v>77</v>
      </c>
      <c r="Q16" s="26">
        <v>6</v>
      </c>
      <c r="R16" s="114">
        <f t="shared" ref="R16:R21" si="70">(Q16/7)^0.5</f>
        <v>0.92582009977255142</v>
      </c>
      <c r="S16" s="114">
        <f t="shared" ref="S16:S21" si="71">IF(Q16=7,1,((Q16+0.99)/7)^0.5)</f>
        <v>0.99928545900129484</v>
      </c>
      <c r="T16" s="29">
        <v>70670</v>
      </c>
      <c r="U16" s="29">
        <f t="shared" ref="U16:U21" si="72">T16-AT16</f>
        <v>0</v>
      </c>
      <c r="V16" s="29">
        <v>17100</v>
      </c>
      <c r="W16" s="8">
        <f t="shared" ref="W16:W21" si="73">T16/V16</f>
        <v>4.1327485380116959</v>
      </c>
      <c r="X16" s="21">
        <v>0</v>
      </c>
      <c r="Y16" s="22">
        <v>9</v>
      </c>
      <c r="Z16" s="21">
        <v>13</v>
      </c>
      <c r="AA16" s="22">
        <v>6</v>
      </c>
      <c r="AB16" s="21">
        <v>7</v>
      </c>
      <c r="AC16" s="22">
        <v>7</v>
      </c>
      <c r="AD16" s="21">
        <v>17</v>
      </c>
      <c r="AE16" s="9">
        <f>30+58+8.5+14+16+25</f>
        <v>151.5</v>
      </c>
      <c r="AF16" s="9"/>
      <c r="AG16" s="23">
        <f t="shared" ref="AG16:AG17" ca="1" si="74">(AD16+1+(LOG(I16)*4/3)+N16)*(Q16/7)^0.5</f>
        <v>18.426261891100612</v>
      </c>
      <c r="AH16" s="23">
        <f t="shared" ref="AH16:AH17" ca="1" si="75">(AD16+1+N16+(LOG(I16)*4/3))*(IF(Q16=7, (Q16/7)^0.5, ((Q16+1)/7)^0.5))</f>
        <v>19.902637559529587</v>
      </c>
      <c r="AI16" s="23">
        <f t="shared" ref="AI16:AI17" ca="1" si="76">(Z16+N16+(LOG(I16)*4/3))</f>
        <v>14.902637559529586</v>
      </c>
      <c r="AJ16" s="119">
        <f t="shared" ref="AJ16:AJ17" ca="1" si="77">(Z16+N16+(LOG(I16)*4/3))*(Q16/7)^0.5</f>
        <v>13.797161392237854</v>
      </c>
      <c r="AK16" s="119">
        <f t="shared" ref="AK16:AK17" ca="1" si="78">(Z16+N16+(LOG(I16)*4/3))*(IF(Q16=7, (Q16/7)^0.5, ((Q16+1)/7)^0.5))</f>
        <v>14.902637559529586</v>
      </c>
      <c r="AL16" s="8">
        <f t="shared" ref="AL16:AL17" ca="1" si="79">(((Y16+LOG(I16)*4/3+N16)+(AB16+LOG(I16)*4/3+N16)*2)/8)*(Q16/7)^0.5</f>
        <v>3.3222953225440919</v>
      </c>
      <c r="AM16" s="8">
        <f t="shared" ref="AM16:AM17" ca="1" si="80">(AD16+LOG(I16)*4/3+N16)*0.7+(AC16+LOG(I16)*4/3+N16)*0.3</f>
        <v>15.902637559529586</v>
      </c>
      <c r="AN16" s="8">
        <f t="shared" ref="AN16:AN17" ca="1" si="81">(0.5*(AC16+LOG(I16)*4/3+N16)+ 0.3*(AD16+LOG(I16)*4/3+N16))/10</f>
        <v>1.0122110047623667</v>
      </c>
      <c r="AO16" s="8">
        <f t="shared" ref="AO16:AO17" ca="1" si="82">(0.4*(Y16+LOG(I16)*4/3+N16)+0.3*(AD16+LOG(I16)*4/3+N16))/10</f>
        <v>1.003184629167071</v>
      </c>
      <c r="AP16" s="128">
        <f t="shared" ref="AP16:AP17" si="83">IF(AR16=4,IF(AS16=0,0.137+0.0697,0.137+0.02),IF(AR16=3,IF(AS16=0,0.0958+0.0697,0.0958+0.02),IF(AR16=2,IF(AS16=0,0.0415+0.0697,0.0415+0.02),IF(AR16=1,IF(AS16=0,0.0294+0.0697,0.0294+0.02),IF(AR16=0,IF(AS16=0,0.0063+0.0697,0.0063+0.02))))))</f>
        <v>6.1499999999999999E-2</v>
      </c>
      <c r="AQ16" s="20">
        <v>1</v>
      </c>
      <c r="AR16" s="20">
        <v>2</v>
      </c>
      <c r="AS16" s="20">
        <v>2</v>
      </c>
      <c r="AT16" s="29">
        <v>70670</v>
      </c>
    </row>
    <row r="17" spans="1:46" x14ac:dyDescent="0.25">
      <c r="A17" s="15" t="s">
        <v>320</v>
      </c>
      <c r="B17" s="24" t="s">
        <v>93</v>
      </c>
      <c r="C17" s="120">
        <f t="shared" ca="1" si="10"/>
        <v>2.9196428571428572</v>
      </c>
      <c r="D17" s="227" t="s">
        <v>435</v>
      </c>
      <c r="E17" s="1">
        <v>31</v>
      </c>
      <c r="F17" s="2">
        <f ca="1">$D$2-$D$1-880+25-112-112-55-112-112</f>
        <v>9</v>
      </c>
      <c r="G17" s="3" t="s">
        <v>272</v>
      </c>
      <c r="H17" s="209">
        <v>5</v>
      </c>
      <c r="I17" s="5">
        <v>4.8</v>
      </c>
      <c r="J17" s="22">
        <f t="shared" si="66"/>
        <v>0.90832164983411623</v>
      </c>
      <c r="K17" s="6">
        <f t="shared" si="67"/>
        <v>120</v>
      </c>
      <c r="L17" s="6">
        <f t="shared" si="68"/>
        <v>172.79999999999998</v>
      </c>
      <c r="M17" s="129">
        <v>43415</v>
      </c>
      <c r="N17" s="130">
        <f t="shared" ca="1" si="50"/>
        <v>0.76259398985696591</v>
      </c>
      <c r="O17" s="25">
        <v>5.6</v>
      </c>
      <c r="P17" s="20">
        <f t="shared" si="69"/>
        <v>75</v>
      </c>
      <c r="Q17" s="26">
        <v>5</v>
      </c>
      <c r="R17" s="114">
        <f t="shared" si="70"/>
        <v>0.84515425472851657</v>
      </c>
      <c r="S17" s="114">
        <f t="shared" si="71"/>
        <v>0.92504826128926143</v>
      </c>
      <c r="T17" s="29">
        <v>11050</v>
      </c>
      <c r="U17" s="29">
        <f t="shared" si="72"/>
        <v>460</v>
      </c>
      <c r="V17" s="7">
        <v>5892</v>
      </c>
      <c r="W17" s="8">
        <f t="shared" si="73"/>
        <v>1.8754243041412084</v>
      </c>
      <c r="X17" s="21">
        <v>0</v>
      </c>
      <c r="Y17" s="22">
        <v>5</v>
      </c>
      <c r="Z17" s="21">
        <v>11</v>
      </c>
      <c r="AA17" s="22">
        <v>2</v>
      </c>
      <c r="AB17" s="21">
        <v>4</v>
      </c>
      <c r="AC17" s="22">
        <v>5</v>
      </c>
      <c r="AD17" s="21">
        <v>12</v>
      </c>
      <c r="AE17" s="9">
        <f>10+40+4+8+12</f>
        <v>74</v>
      </c>
      <c r="AF17" s="9"/>
      <c r="AG17" s="23">
        <f t="shared" ca="1" si="74"/>
        <v>12.399186773648054</v>
      </c>
      <c r="AH17" s="23">
        <f t="shared" ca="1" si="75"/>
        <v>13.582628581293482</v>
      </c>
      <c r="AI17" s="23">
        <f t="shared" ca="1" si="76"/>
        <v>12.670915639691081</v>
      </c>
      <c r="AJ17" s="119">
        <f t="shared" ca="1" si="77"/>
        <v>10.708878264191021</v>
      </c>
      <c r="AK17" s="119">
        <f t="shared" ca="1" si="78"/>
        <v>11.730988381748379</v>
      </c>
      <c r="AL17" s="8">
        <f t="shared" ca="1" si="79"/>
        <v>1.9029437122503416</v>
      </c>
      <c r="AM17" s="8">
        <f t="shared" ca="1" si="80"/>
        <v>11.570915639691082</v>
      </c>
      <c r="AN17" s="8">
        <f t="shared" ca="1" si="81"/>
        <v>0.74367325117528649</v>
      </c>
      <c r="AO17" s="8">
        <f t="shared" ca="1" si="82"/>
        <v>0.67696409477837582</v>
      </c>
      <c r="AP17" s="128">
        <f t="shared" si="83"/>
        <v>4.9399999999999999E-2</v>
      </c>
      <c r="AQ17" s="20">
        <v>2</v>
      </c>
      <c r="AR17" s="20">
        <v>1</v>
      </c>
      <c r="AS17" s="20">
        <v>1</v>
      </c>
      <c r="AT17" s="29">
        <v>10590</v>
      </c>
    </row>
    <row r="18" spans="1:46" x14ac:dyDescent="0.25">
      <c r="A18" s="15" t="s">
        <v>269</v>
      </c>
      <c r="B18" s="15" t="s">
        <v>93</v>
      </c>
      <c r="C18" s="120">
        <f t="shared" ca="1" si="10"/>
        <v>11.321428571428571</v>
      </c>
      <c r="D18" s="226" t="s">
        <v>271</v>
      </c>
      <c r="E18" s="16">
        <v>22</v>
      </c>
      <c r="F18" s="2">
        <f ca="1">$D$2-$D$1-880+37-112-112-112-112</f>
        <v>76</v>
      </c>
      <c r="G18" s="18" t="s">
        <v>272</v>
      </c>
      <c r="H18" s="4">
        <v>3</v>
      </c>
      <c r="I18" s="27">
        <v>2.5</v>
      </c>
      <c r="J18" s="22">
        <f>LOG(I18)*4/3</f>
        <v>0.53058667822938343</v>
      </c>
      <c r="K18" s="6">
        <f>(H18)*(H18)*(I18)</f>
        <v>22.5</v>
      </c>
      <c r="L18" s="6">
        <f>(H18+1)*(H18+1)*I18</f>
        <v>40</v>
      </c>
      <c r="M18" s="129">
        <v>43045</v>
      </c>
      <c r="N18" s="130">
        <f ca="1">IF((TODAY()-M18)&gt;335,1,((TODAY()-M18)^0.64)/(336^0.64))</f>
        <v>1</v>
      </c>
      <c r="O18" s="19">
        <v>5.0999999999999996</v>
      </c>
      <c r="P18" s="20">
        <f>O18*10+19</f>
        <v>70</v>
      </c>
      <c r="Q18" s="20">
        <v>5</v>
      </c>
      <c r="R18" s="114">
        <f>(Q18/7)^0.5</f>
        <v>0.84515425472851657</v>
      </c>
      <c r="S18" s="114">
        <f>IF(Q18=7,1,((Q18+0.99)/7)^0.5)</f>
        <v>0.92504826128926143</v>
      </c>
      <c r="T18" s="29">
        <v>3850</v>
      </c>
      <c r="U18" s="29">
        <f>T18-AT18</f>
        <v>-130</v>
      </c>
      <c r="V18" s="29">
        <v>450</v>
      </c>
      <c r="W18" s="8">
        <f>T18/V18</f>
        <v>8.5555555555555554</v>
      </c>
      <c r="X18" s="21">
        <v>0</v>
      </c>
      <c r="Y18" s="22">
        <v>4</v>
      </c>
      <c r="Z18" s="21">
        <v>6</v>
      </c>
      <c r="AA18" s="22">
        <v>6</v>
      </c>
      <c r="AB18" s="21">
        <f>3.25+0.25+0.25+0.25+0.25</f>
        <v>4.25</v>
      </c>
      <c r="AC18" s="22">
        <f>4.22+0.33+0.33+1/17+1/17+1/17*79/90+0.33*11/90+1/17+1/17+1/17+1/17+1/17+1/17+1/17+1/17+1/17</f>
        <v>5.6190261437908475</v>
      </c>
      <c r="AD18" s="21">
        <v>3</v>
      </c>
      <c r="AE18" s="9">
        <f>6+12+8.5+6+9+1</f>
        <v>42.5</v>
      </c>
      <c r="AF18" s="9"/>
      <c r="AG18" s="23">
        <f ca="1">(AD18+1+(LOG(I18)*4/3)+N18)*(Q18/7)^0.5</f>
        <v>4.6741988622504165</v>
      </c>
      <c r="AH18" s="23">
        <f ca="1">(AD18+1+N18+(LOG(I18)*4/3))*(IF(Q18=7, (Q18/7)^0.5, ((Q18+1)/7)^0.5))</f>
        <v>5.1203283102390715</v>
      </c>
      <c r="AI18" s="23">
        <f ca="1">(Z18+N18+(LOG(I18)*4/3))</f>
        <v>7.5305866782293833</v>
      </c>
      <c r="AJ18" s="119">
        <f ca="1">(Z18+N18+(LOG(I18)*4/3))*(Q18/7)^0.5</f>
        <v>6.3645073717074494</v>
      </c>
      <c r="AK18" s="119">
        <f ca="1">(Z18+N18+(LOG(I18)*4/3))*(IF(Q18=7, (Q18/7)^0.5, ((Q18+1)/7)^0.5))</f>
        <v>6.9719685097841744</v>
      </c>
      <c r="AL18" s="8">
        <f ca="1">(((Y18+LOG(I18)*4/3+N18)+(AB18+LOG(I18)*4/3+N18)*2)/8)*(Q18/7)^0.5</f>
        <v>1.8056467142644386</v>
      </c>
      <c r="AM18" s="8">
        <f ca="1">(AD18+LOG(I18)*4/3+N18)*0.7+(AC18+LOG(I18)*4/3+N18)*0.3</f>
        <v>5.3162945213666379</v>
      </c>
      <c r="AN18" s="8">
        <f ca="1">(0.5*(AC18+LOG(I18)*4/3+N18)+ 0.3*(AD18+LOG(I18)*4/3+N18))/10</f>
        <v>0.49339824144789307</v>
      </c>
      <c r="AO18" s="8">
        <f ca="1">(0.4*(Y18+LOG(I18)*4/3+N18)+0.3*(AD18+LOG(I18)*4/3+N18))/10</f>
        <v>0.35714106747605684</v>
      </c>
      <c r="AP18" s="128">
        <f>IF(AR18=4,IF(AS18=0,0.137+0.0697,0.137+0.02),IF(AR18=3,IF(AS18=0,0.0958+0.0697,0.0958+0.02),IF(AR18=2,IF(AS18=0,0.0415+0.0697,0.0415+0.02),IF(AR18=1,IF(AS18=0,0.0294+0.0697,0.0294+0.02),IF(AR18=0,IF(AS18=0,0.0063+0.0697,0.0063+0.02))))))</f>
        <v>0.1158</v>
      </c>
      <c r="AQ18" s="20">
        <v>2</v>
      </c>
      <c r="AR18" s="20">
        <v>3</v>
      </c>
      <c r="AS18" s="20">
        <v>2</v>
      </c>
      <c r="AT18" s="29">
        <v>3980</v>
      </c>
    </row>
    <row r="19" spans="1:46" x14ac:dyDescent="0.25">
      <c r="A19" s="15" t="s">
        <v>420</v>
      </c>
      <c r="B19" s="15" t="s">
        <v>43</v>
      </c>
      <c r="C19" s="120">
        <f t="shared" ca="1" si="10"/>
        <v>2.9910714285714284</v>
      </c>
      <c r="D19" s="226" t="s">
        <v>442</v>
      </c>
      <c r="E19" s="16">
        <v>31</v>
      </c>
      <c r="F19" s="2">
        <f ca="1">$D$2-$D$1-880+25-112-3-112-60-112-112</f>
        <v>1</v>
      </c>
      <c r="G19" s="18" t="s">
        <v>44</v>
      </c>
      <c r="H19" s="4">
        <v>2</v>
      </c>
      <c r="I19" s="27">
        <v>6.6</v>
      </c>
      <c r="J19" s="22">
        <f>LOG(I19)*4/3</f>
        <v>1.0927252473891582</v>
      </c>
      <c r="K19" s="6">
        <f>(H19)*(H19)*(I19)</f>
        <v>26.4</v>
      </c>
      <c r="L19" s="6">
        <f>(H19+1)*(H19+1)*I19</f>
        <v>59.4</v>
      </c>
      <c r="M19" s="129">
        <v>43420</v>
      </c>
      <c r="N19" s="130">
        <f ca="1">IF((TODAY()-M19)&gt;335,1,((TODAY()-M19)^0.64)/(336^0.64))</f>
        <v>0.75145586225511118</v>
      </c>
      <c r="O19" s="19">
        <v>5.4</v>
      </c>
      <c r="P19" s="20">
        <f>O19*10+19</f>
        <v>73</v>
      </c>
      <c r="Q19" s="26">
        <v>4</v>
      </c>
      <c r="R19" s="114">
        <f>(Q19/7)^0.5</f>
        <v>0.7559289460184544</v>
      </c>
      <c r="S19" s="114">
        <f>IF(Q19=7,1,((Q19+0.99)/7)^0.5)</f>
        <v>0.84430867747355465</v>
      </c>
      <c r="T19" s="29">
        <v>10510</v>
      </c>
      <c r="U19" s="29">
        <f>T19-AT19</f>
        <v>-2270</v>
      </c>
      <c r="V19" s="29">
        <v>3072</v>
      </c>
      <c r="W19" s="8">
        <f>T19/V19</f>
        <v>3.4212239583333335</v>
      </c>
      <c r="X19" s="21">
        <v>0</v>
      </c>
      <c r="Y19" s="22">
        <v>5</v>
      </c>
      <c r="Z19" s="21">
        <v>2</v>
      </c>
      <c r="AA19" s="22">
        <v>4</v>
      </c>
      <c r="AB19" s="21">
        <v>7</v>
      </c>
      <c r="AC19" s="22">
        <v>10</v>
      </c>
      <c r="AD19" s="21">
        <v>14</v>
      </c>
      <c r="AE19" s="9">
        <f>10+3.5+14+33+16</f>
        <v>76.5</v>
      </c>
      <c r="AF19" s="9"/>
      <c r="AG19" s="23">
        <f ca="1">(AD19+1+(LOG(I19)*4/3)+N19)*(Q19/7)^0.5</f>
        <v>12.733004072757351</v>
      </c>
      <c r="AH19" s="23">
        <f ca="1">(AD19+1+N19+(LOG(I19)*4/3))*(IF(Q19=7, (Q19/7)^0.5, ((Q19+1)/7)^0.5))</f>
        <v>14.235931332233561</v>
      </c>
      <c r="AI19" s="23">
        <f ca="1">(Z19+N19+(LOG(I19)*4/3))</f>
        <v>3.8441811096442695</v>
      </c>
      <c r="AJ19" s="119">
        <f ca="1">(Z19+N19+(LOG(I19)*4/3))*(Q19/7)^0.5</f>
        <v>2.905927774517445</v>
      </c>
      <c r="AK19" s="119">
        <f ca="1">(Z19+N19+(LOG(I19)*4/3))*(IF(Q19=7, (Q19/7)^0.5, ((Q19+1)/7)^0.5))</f>
        <v>3.2489260207628443</v>
      </c>
      <c r="AL19" s="8">
        <f ca="1">(((Y19+LOG(I19)*4/3+N19)+(AB19+LOG(I19)*4/3+N19)*2)/8)*(Q19/7)^0.5</f>
        <v>2.3181074527240302</v>
      </c>
      <c r="AM19" s="8">
        <f ca="1">(AD19+LOG(I19)*4/3+N19)*0.7+(AC19+LOG(I19)*4/3+N19)*0.3</f>
        <v>14.644181109644268</v>
      </c>
      <c r="AN19" s="8">
        <f ca="1">(0.5*(AC19+LOG(I19)*4/3+N19)+ 0.3*(AD19+LOG(I19)*4/3+N19))/10</f>
        <v>1.0675344887715414</v>
      </c>
      <c r="AO19" s="8">
        <f ca="1">(0.4*(Y19+LOG(I19)*4/3+N19)+0.3*(AD19+LOG(I19)*4/3+N19))/10</f>
        <v>0.74909267767509891</v>
      </c>
      <c r="AP19" s="128">
        <f>IF(AR19=4,IF(AS19=0,0.137+0.0697,0.137+0.02),IF(AR19=3,IF(AS19=0,0.0958+0.0697,0.0958+0.02),IF(AR19=2,IF(AS19=0,0.0415+0.0697,0.0415+0.02),IF(AR19=1,IF(AS19=0,0.0294+0.0697,0.0294+0.02),IF(AR19=0,IF(AS19=0,0.0063+0.0697,0.0063+0.02))))))</f>
        <v>4.9399999999999999E-2</v>
      </c>
      <c r="AQ19" s="20">
        <v>2</v>
      </c>
      <c r="AR19" s="20">
        <v>1</v>
      </c>
      <c r="AS19" s="20">
        <v>1</v>
      </c>
      <c r="AT19" s="29">
        <v>12780</v>
      </c>
    </row>
    <row r="20" spans="1:46" x14ac:dyDescent="0.25">
      <c r="A20" s="15" t="s">
        <v>427</v>
      </c>
      <c r="B20" s="15" t="s">
        <v>43</v>
      </c>
      <c r="C20" s="120">
        <f t="shared" ca="1" si="10"/>
        <v>2.6517857142857144</v>
      </c>
      <c r="D20" s="226" t="s">
        <v>436</v>
      </c>
      <c r="E20" s="16">
        <v>31</v>
      </c>
      <c r="F20" s="2">
        <f ca="1">$D$2-$D$1-880+56-112-112+41-112+15-112-112</f>
        <v>39</v>
      </c>
      <c r="G20" s="18" t="s">
        <v>272</v>
      </c>
      <c r="H20" s="4">
        <v>4</v>
      </c>
      <c r="I20" s="27">
        <v>6.3</v>
      </c>
      <c r="J20" s="22">
        <f>LOG(I20)*4/3</f>
        <v>1.0657873992714422</v>
      </c>
      <c r="K20" s="6">
        <f>(H20)*(H20)*(I20)</f>
        <v>100.8</v>
      </c>
      <c r="L20" s="6">
        <f>(H20+1)*(H20+1)*I20</f>
        <v>157.5</v>
      </c>
      <c r="M20" s="129">
        <v>43417</v>
      </c>
      <c r="N20" s="130">
        <f ca="1">IF((TODAY()-M20)&gt;335,1,((TODAY()-M20)^0.64)/(336^0.64))</f>
        <v>0.7581497888884271</v>
      </c>
      <c r="O20" s="19">
        <v>5.3</v>
      </c>
      <c r="P20" s="20">
        <f>O20*10+19</f>
        <v>72</v>
      </c>
      <c r="Q20" s="20">
        <v>7</v>
      </c>
      <c r="R20" s="114">
        <f>(Q20/7)^0.5</f>
        <v>1</v>
      </c>
      <c r="S20" s="114">
        <f>IF(Q20=7,1,((Q20+0.99)/7)^0.5)</f>
        <v>1</v>
      </c>
      <c r="T20" s="29">
        <v>12710</v>
      </c>
      <c r="U20" s="29">
        <f>T20-AT20</f>
        <v>-3480</v>
      </c>
      <c r="V20" s="29">
        <v>2124</v>
      </c>
      <c r="W20" s="8">
        <f>T20/V20</f>
        <v>5.9839924670433149</v>
      </c>
      <c r="X20" s="21">
        <v>0</v>
      </c>
      <c r="Y20" s="22">
        <v>6</v>
      </c>
      <c r="Z20" s="21">
        <v>2</v>
      </c>
      <c r="AA20" s="22">
        <v>6</v>
      </c>
      <c r="AB20" s="21">
        <v>9</v>
      </c>
      <c r="AC20" s="22">
        <v>9</v>
      </c>
      <c r="AD20" s="21">
        <v>13</v>
      </c>
      <c r="AE20" s="9">
        <f>14+8.5+23+27+14</f>
        <v>86.5</v>
      </c>
      <c r="AF20" s="9"/>
      <c r="AG20" s="23">
        <f ca="1">(AD20+1+(LOG(I20)*4/3)+N20)*(Q20/7)^0.5</f>
        <v>15.823937188159871</v>
      </c>
      <c r="AH20" s="23">
        <f ca="1">(AD20+1+N20+(LOG(I20)*4/3))*(IF(Q20=7, (Q20/7)^0.5, ((Q20+1)/7)^0.5))</f>
        <v>15.823937188159871</v>
      </c>
      <c r="AI20" s="23">
        <f ca="1">(Z20+N20+(LOG(I20)*4/3))</f>
        <v>3.8239371881598689</v>
      </c>
      <c r="AJ20" s="119">
        <f ca="1">(Z20+N20+(LOG(I20)*4/3))*(Q20/7)^0.5</f>
        <v>3.8239371881598689</v>
      </c>
      <c r="AK20" s="119">
        <f ca="1">(Z20+N20+(LOG(I20)*4/3))*(IF(Q20=7, (Q20/7)^0.5, ((Q20+1)/7)^0.5))</f>
        <v>3.8239371881598689</v>
      </c>
      <c r="AL20" s="8">
        <f ca="1">(((Y20+LOG(I20)*4/3+N20)+(AB20+LOG(I20)*4/3+N20)*2)/8)*(Q20/7)^0.5</f>
        <v>3.6839764455599511</v>
      </c>
      <c r="AM20" s="8">
        <f ca="1">(AD20+LOG(I20)*4/3+N20)*0.7+(AC20+LOG(I20)*4/3+N20)*0.3</f>
        <v>13.62393718815987</v>
      </c>
      <c r="AN20" s="8">
        <f ca="1">(0.5*(AC20+LOG(I20)*4/3+N20)+ 0.3*(AD20+LOG(I20)*4/3+N20))/10</f>
        <v>0.98591497505278958</v>
      </c>
      <c r="AO20" s="8">
        <f ca="1">(0.4*(Y20+LOG(I20)*4/3+N20)+0.3*(AD20+LOG(I20)*4/3+N20))/10</f>
        <v>0.75767560317119087</v>
      </c>
      <c r="AP20" s="128">
        <f>IF(AR20=4,IF(AS20=0,0.137+0.0697,0.137+0.02),IF(AR20=3,IF(AS20=0,0.0958+0.0697,0.0958+0.02),IF(AR20=2,IF(AS20=0,0.0415+0.0697,0.0415+0.02),IF(AR20=1,IF(AS20=0,0.0294+0.0697,0.0294+0.02),IF(AR20=0,IF(AS20=0,0.0063+0.0697,0.0063+0.02))))))</f>
        <v>0.1158</v>
      </c>
      <c r="AQ20" s="20">
        <v>2</v>
      </c>
      <c r="AR20" s="20">
        <v>3</v>
      </c>
      <c r="AS20" s="20">
        <v>2</v>
      </c>
      <c r="AT20" s="29">
        <v>16190</v>
      </c>
    </row>
    <row r="21" spans="1:46" x14ac:dyDescent="0.25">
      <c r="A21" s="15" t="s">
        <v>432</v>
      </c>
      <c r="B21" s="15" t="s">
        <v>43</v>
      </c>
      <c r="C21" s="120">
        <f t="shared" ca="1" si="10"/>
        <v>3.875</v>
      </c>
      <c r="D21" s="226" t="s">
        <v>450</v>
      </c>
      <c r="E21" s="16">
        <v>30</v>
      </c>
      <c r="F21" s="2">
        <f ca="1">$D$2-$D$1-1100+25-112-166</f>
        <v>14</v>
      </c>
      <c r="G21" s="18" t="s">
        <v>0</v>
      </c>
      <c r="H21" s="4">
        <v>3</v>
      </c>
      <c r="I21" s="27">
        <v>5.9</v>
      </c>
      <c r="J21" s="22">
        <f t="shared" si="66"/>
        <v>1.0278026821895256</v>
      </c>
      <c r="K21" s="6">
        <f t="shared" ref="K21" si="84">(H21)*(H21)*(I21)</f>
        <v>53.1</v>
      </c>
      <c r="L21" s="6">
        <f t="shared" ref="L21" si="85">(H21+1)*(H21+1)*I21</f>
        <v>94.4</v>
      </c>
      <c r="M21" s="129">
        <v>43417</v>
      </c>
      <c r="N21" s="130">
        <f ca="1">IF((TODAY()-M21)&gt;335,1,((TODAY()-M21)^0.64)/(336^0.64))</f>
        <v>0.7581497888884271</v>
      </c>
      <c r="O21" s="19">
        <v>4.8</v>
      </c>
      <c r="P21" s="20">
        <f t="shared" si="69"/>
        <v>67</v>
      </c>
      <c r="Q21" s="26">
        <v>6</v>
      </c>
      <c r="R21" s="114">
        <f t="shared" si="70"/>
        <v>0.92582009977255142</v>
      </c>
      <c r="S21" s="114">
        <f t="shared" si="71"/>
        <v>0.99928545900129484</v>
      </c>
      <c r="T21" s="29">
        <v>38930</v>
      </c>
      <c r="U21" s="29">
        <f t="shared" si="72"/>
        <v>0</v>
      </c>
      <c r="V21" s="29">
        <v>8436</v>
      </c>
      <c r="W21" s="8">
        <f t="shared" si="73"/>
        <v>4.6147463252726411</v>
      </c>
      <c r="X21" s="21">
        <v>0</v>
      </c>
      <c r="Y21" s="22">
        <v>5</v>
      </c>
      <c r="Z21" s="21">
        <v>6</v>
      </c>
      <c r="AA21" s="22">
        <v>5</v>
      </c>
      <c r="AB21" s="21">
        <v>9</v>
      </c>
      <c r="AC21" s="22">
        <v>12</v>
      </c>
      <c r="AD21" s="21">
        <v>0</v>
      </c>
      <c r="AE21" s="9">
        <f>10+12+5.5+23+49</f>
        <v>99.5</v>
      </c>
      <c r="AF21" s="9"/>
      <c r="AG21" s="23">
        <f t="shared" ref="AG21" ca="1" si="86">(AD21+1+(LOG(I21)*4/3)+N21)*(Q21/7)^0.5</f>
        <v>2.5792907947349764</v>
      </c>
      <c r="AH21" s="23">
        <f t="shared" ref="AH21" ca="1" si="87">(AD21+1+N21+(LOG(I21)*4/3))*(IF(Q21=7, (Q21/7)^0.5, ((Q21+1)/7)^0.5))</f>
        <v>2.7859524710779526</v>
      </c>
      <c r="AI21" s="23">
        <f t="shared" ref="AI21" ca="1" si="88">(Z21+N21+(LOG(I21)*4/3))</f>
        <v>7.7859524710779526</v>
      </c>
      <c r="AJ21" s="119">
        <f t="shared" ref="AJ21" ca="1" si="89">(Z21+N21+(LOG(I21)*4/3))*(Q21/7)^0.5</f>
        <v>7.2083912935977335</v>
      </c>
      <c r="AK21" s="119">
        <f t="shared" ref="AK21" ca="1" si="90">(Z21+N21+(LOG(I21)*4/3))*(IF(Q21=7, (Q21/7)^0.5, ((Q21+1)/7)^0.5))</f>
        <v>7.7859524710779526</v>
      </c>
      <c r="AL21" s="8">
        <f t="shared" ref="AL21" ca="1" si="91">(((Y21+LOG(I21)*4/3+N21)+(AB21+LOG(I21)*4/3+N21)*2)/8)*(Q21/7)^0.5</f>
        <v>3.2817842974569946</v>
      </c>
      <c r="AM21" s="8">
        <f t="shared" ref="AM21" ca="1" si="92">(AD21+LOG(I21)*4/3+N21)*0.7+(AC21+LOG(I21)*4/3+N21)*0.3</f>
        <v>5.3859524710779532</v>
      </c>
      <c r="AN21" s="8">
        <f t="shared" ref="AN21" ca="1" si="93">(0.5*(AC21+LOG(I21)*4/3+N21)+ 0.3*(AD21+LOG(I21)*4/3+N21))/10</f>
        <v>0.74287619768623625</v>
      </c>
      <c r="AO21" s="8">
        <f t="shared" ref="AO21" ca="1" si="94">(0.4*(Y21+LOG(I21)*4/3+N21)+0.3*(AD21+LOG(I21)*4/3+N21))/10</f>
        <v>0.32501667297545672</v>
      </c>
      <c r="AP21" s="128">
        <f t="shared" ref="AP21" si="95">IF(AR21=4,IF(AS21=0,0.137+0.0697,0.137+0.02),IF(AR21=3,IF(AS21=0,0.0958+0.0697,0.0958+0.02),IF(AR21=2,IF(AS21=0,0.0415+0.0697,0.0415+0.02),IF(AR21=1,IF(AS21=0,0.0294+0.0697,0.0294+0.02),IF(AR21=0,IF(AS21=0,0.0063+0.0697,0.0063+0.02))))))</f>
        <v>0.1158</v>
      </c>
      <c r="AQ21" s="20">
        <v>3</v>
      </c>
      <c r="AR21" s="20">
        <v>3</v>
      </c>
      <c r="AS21" s="20">
        <v>2</v>
      </c>
      <c r="AT21" s="29">
        <v>38930</v>
      </c>
    </row>
    <row r="22" spans="1:46" x14ac:dyDescent="0.25">
      <c r="V22" s="69"/>
    </row>
    <row r="24" spans="1:46" x14ac:dyDescent="0.25">
      <c r="T24" s="69"/>
      <c r="V24" s="69"/>
    </row>
    <row r="25" spans="1:46" x14ac:dyDescent="0.25">
      <c r="AF25" s="69"/>
    </row>
    <row r="28" spans="1:46" x14ac:dyDescent="0.25">
      <c r="T28" s="69"/>
      <c r="V28" s="69"/>
    </row>
  </sheetData>
  <sortState ref="A5:AT21">
    <sortCondition descending="1" ref="AF5:AF21"/>
  </sortState>
  <conditionalFormatting sqref="U2">
    <cfRule type="dataBar" priority="517">
      <dataBar>
        <cfvo type="min"/>
        <cfvo type="max"/>
        <color rgb="FF63C384"/>
      </dataBar>
      <extLst>
        <ext xmlns:x14="http://schemas.microsoft.com/office/spreadsheetml/2009/9/main" uri="{B025F937-C7B1-47D3-B67F-A62EFF666E3E}">
          <x14:id>{1A3317A4-2E15-4A61-81B2-0B5998394877}</x14:id>
        </ext>
      </extLst>
    </cfRule>
  </conditionalFormatting>
  <conditionalFormatting sqref="I4:I21">
    <cfRule type="cellIs" dxfId="13" priority="146" operator="lessThan">
      <formula>6</formula>
    </cfRule>
  </conditionalFormatting>
  <conditionalFormatting sqref="W6">
    <cfRule type="dataBar" priority="33">
      <dataBar>
        <cfvo type="min"/>
        <cfvo type="max"/>
        <color rgb="FFFFB628"/>
      </dataBar>
      <extLst>
        <ext xmlns:x14="http://schemas.microsoft.com/office/spreadsheetml/2009/9/main" uri="{B025F937-C7B1-47D3-B67F-A62EFF666E3E}">
          <x14:id>{61B66F88-D82F-4C7B-B844-D73BEB5FAE97}</x14:id>
        </ext>
      </extLst>
    </cfRule>
  </conditionalFormatting>
  <conditionalFormatting sqref="AF6">
    <cfRule type="dataBar" priority="36">
      <dataBar>
        <cfvo type="min"/>
        <cfvo type="max"/>
        <color rgb="FF638EC6"/>
      </dataBar>
      <extLst>
        <ext xmlns:x14="http://schemas.microsoft.com/office/spreadsheetml/2009/9/main" uri="{B025F937-C7B1-47D3-B67F-A62EFF666E3E}">
          <x14:id>{C47240AB-C06C-4E01-8AC1-FE97A718F197}</x14:id>
        </ext>
      </extLst>
    </cfRule>
  </conditionalFormatting>
  <conditionalFormatting sqref="AP21">
    <cfRule type="colorScale" priority="20">
      <colorScale>
        <cfvo type="min"/>
        <cfvo type="percentile" val="50"/>
        <cfvo type="max"/>
        <color rgb="FF63BE7B"/>
        <color rgb="FFFFEB84"/>
        <color rgb="FFF8696B"/>
      </colorScale>
    </cfRule>
  </conditionalFormatting>
  <conditionalFormatting sqref="AP4:AP20">
    <cfRule type="colorScale" priority="5492">
      <colorScale>
        <cfvo type="min"/>
        <cfvo type="percentile" val="50"/>
        <cfvo type="max"/>
        <color rgb="FF63BE7B"/>
        <color rgb="FFFFEB84"/>
        <color rgb="FFF8696B"/>
      </colorScale>
    </cfRule>
  </conditionalFormatting>
  <conditionalFormatting sqref="W7:W21 W4:W5">
    <cfRule type="dataBar" priority="5494">
      <dataBar>
        <cfvo type="min"/>
        <cfvo type="max"/>
        <color rgb="FFFFB628"/>
      </dataBar>
      <extLst>
        <ext xmlns:x14="http://schemas.microsoft.com/office/spreadsheetml/2009/9/main" uri="{B025F937-C7B1-47D3-B67F-A62EFF666E3E}">
          <x14:id>{F0566193-AC02-4D5F-9039-FDC364A68C94}</x14:id>
        </ext>
      </extLst>
    </cfRule>
  </conditionalFormatting>
  <conditionalFormatting sqref="AF7:AF21 AF4:AF5">
    <cfRule type="dataBar" priority="5497">
      <dataBar>
        <cfvo type="min"/>
        <cfvo type="max"/>
        <color rgb="FF638EC6"/>
      </dataBar>
      <extLst>
        <ext xmlns:x14="http://schemas.microsoft.com/office/spreadsheetml/2009/9/main" uri="{B025F937-C7B1-47D3-B67F-A62EFF666E3E}">
          <x14:id>{39454924-5FFD-4BA1-95CE-A7F67257BF61}</x14:id>
        </ext>
      </extLst>
    </cfRule>
  </conditionalFormatting>
  <conditionalFormatting sqref="C4:C21">
    <cfRule type="colorScale" priority="5502">
      <colorScale>
        <cfvo type="min"/>
        <cfvo type="max"/>
        <color rgb="FFFFEF9C"/>
        <color rgb="FF63BE7B"/>
      </colorScale>
    </cfRule>
  </conditionalFormatting>
  <conditionalFormatting sqref="T4:T21">
    <cfRule type="dataBar" priority="5506">
      <dataBar>
        <cfvo type="min"/>
        <cfvo type="max"/>
        <color rgb="FF63C384"/>
      </dataBar>
      <extLst>
        <ext xmlns:x14="http://schemas.microsoft.com/office/spreadsheetml/2009/9/main" uri="{B025F937-C7B1-47D3-B67F-A62EFF666E3E}">
          <x14:id>{B13E782C-D89A-4C61-96EC-C08A047138FE}</x14:id>
        </ext>
      </extLst>
    </cfRule>
  </conditionalFormatting>
  <conditionalFormatting sqref="U4:U21">
    <cfRule type="dataBar" priority="5508">
      <dataBar>
        <cfvo type="min"/>
        <cfvo type="max"/>
        <color rgb="FF63C384"/>
      </dataBar>
      <extLst>
        <ext xmlns:x14="http://schemas.microsoft.com/office/spreadsheetml/2009/9/main" uri="{B025F937-C7B1-47D3-B67F-A62EFF666E3E}">
          <x14:id>{8A6F6FBC-D49C-4DBA-A001-836503F14D7E}</x14:id>
        </ext>
      </extLst>
    </cfRule>
  </conditionalFormatting>
  <conditionalFormatting sqref="V4:V21">
    <cfRule type="dataBar" priority="5510">
      <dataBar>
        <cfvo type="min"/>
        <cfvo type="max"/>
        <color rgb="FFFF555A"/>
      </dataBar>
      <extLst>
        <ext xmlns:x14="http://schemas.microsoft.com/office/spreadsheetml/2009/9/main" uri="{B025F937-C7B1-47D3-B67F-A62EFF666E3E}">
          <x14:id>{8A701A28-BEE7-4685-A106-1E21A5D50016}</x14:id>
        </ext>
      </extLst>
    </cfRule>
  </conditionalFormatting>
  <conditionalFormatting sqref="AE4:AE21">
    <cfRule type="dataBar" priority="5512">
      <dataBar>
        <cfvo type="min"/>
        <cfvo type="max"/>
        <color rgb="FFFFB628"/>
      </dataBar>
      <extLst>
        <ext xmlns:x14="http://schemas.microsoft.com/office/spreadsheetml/2009/9/main" uri="{B025F937-C7B1-47D3-B67F-A62EFF666E3E}">
          <x14:id>{4A4E0EAD-1591-4283-BC72-31C016420761}</x14:id>
        </ext>
      </extLst>
    </cfRule>
  </conditionalFormatting>
  <conditionalFormatting sqref="AG4:AH21">
    <cfRule type="colorScale" priority="5514">
      <colorScale>
        <cfvo type="min"/>
        <cfvo type="percentile" val="50"/>
        <cfvo type="max"/>
        <color rgb="FFF8696B"/>
        <color rgb="FFFFEB84"/>
        <color rgb="FF63BE7B"/>
      </colorScale>
    </cfRule>
  </conditionalFormatting>
  <conditionalFormatting sqref="AI4:AK21">
    <cfRule type="colorScale" priority="5516">
      <colorScale>
        <cfvo type="min"/>
        <cfvo type="percentile" val="50"/>
        <cfvo type="max"/>
        <color rgb="FFF8696B"/>
        <color rgb="FFFFEB84"/>
        <color rgb="FF63BE7B"/>
      </colorScale>
    </cfRule>
  </conditionalFormatting>
  <conditionalFormatting sqref="AL4:AL21">
    <cfRule type="colorScale" priority="5518">
      <colorScale>
        <cfvo type="min"/>
        <cfvo type="percentile" val="50"/>
        <cfvo type="max"/>
        <color rgb="FFF8696B"/>
        <color rgb="FFFFEB84"/>
        <color rgb="FF63BE7B"/>
      </colorScale>
    </cfRule>
  </conditionalFormatting>
  <conditionalFormatting sqref="AM4:AM21">
    <cfRule type="colorScale" priority="5520">
      <colorScale>
        <cfvo type="min"/>
        <cfvo type="percentile" val="50"/>
        <cfvo type="max"/>
        <color rgb="FFF8696B"/>
        <color rgb="FFFFEB84"/>
        <color rgb="FF63BE7B"/>
      </colorScale>
    </cfRule>
  </conditionalFormatting>
  <conditionalFormatting sqref="AN4:AO21">
    <cfRule type="colorScale" priority="5522">
      <colorScale>
        <cfvo type="min"/>
        <cfvo type="percentile" val="50"/>
        <cfvo type="max"/>
        <color rgb="FFF8696B"/>
        <color rgb="FFFFEB84"/>
        <color rgb="FF63BE7B"/>
      </colorScale>
    </cfRule>
  </conditionalFormatting>
  <conditionalFormatting sqref="X4:AD21">
    <cfRule type="colorScale" priority="5526">
      <colorScale>
        <cfvo type="min"/>
        <cfvo type="max"/>
        <color rgb="FFFCFCFF"/>
        <color rgb="FFF8696B"/>
      </colorScale>
    </cfRule>
  </conditionalFormatting>
  <conditionalFormatting sqref="AT4:AT21">
    <cfRule type="dataBar" priority="4">
      <dataBar>
        <cfvo type="min"/>
        <cfvo type="max"/>
        <color rgb="FF63C384"/>
      </dataBar>
      <extLst>
        <ext xmlns:x14="http://schemas.microsoft.com/office/spreadsheetml/2009/9/main" uri="{B025F937-C7B1-47D3-B67F-A62EFF666E3E}">
          <x14:id>{6C9F5075-0B51-4DE7-BE2E-47EE910C804F}</x14:id>
        </ext>
      </extLst>
    </cfRule>
  </conditionalFormatting>
  <conditionalFormatting sqref="N4:N21">
    <cfRule type="colorScale" priority="5527">
      <colorScale>
        <cfvo type="min"/>
        <cfvo type="max"/>
        <color rgb="FFFFEF9C"/>
        <color rgb="FF63BE7B"/>
      </colorScale>
    </cfRule>
  </conditionalFormatting>
  <conditionalFormatting sqref="P4:P21">
    <cfRule type="colorScale" priority="5528">
      <colorScale>
        <cfvo type="min"/>
        <cfvo type="max"/>
        <color rgb="FFF8696B"/>
        <color rgb="FFFCFCFF"/>
      </colorScale>
    </cfRule>
  </conditionalFormatting>
  <conditionalFormatting sqref="R4:S21">
    <cfRule type="colorScale" priority="5529">
      <colorScale>
        <cfvo type="min"/>
        <cfvo type="max"/>
        <color rgb="FFFFEF9C"/>
        <color rgb="FF63BE7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61B66F88-D82F-4C7B-B844-D73BEB5FAE97}">
            <x14:dataBar minLength="0" maxLength="100" border="1" negativeBarBorderColorSameAsPositive="0">
              <x14:cfvo type="autoMin"/>
              <x14:cfvo type="autoMax"/>
              <x14:borderColor rgb="FFFFB628"/>
              <x14:negativeFillColor rgb="FFFF0000"/>
              <x14:negativeBorderColor rgb="FFFF0000"/>
              <x14:axisColor rgb="FF000000"/>
            </x14:dataBar>
          </x14:cfRule>
          <xm:sqref>W6</xm:sqref>
        </x14:conditionalFormatting>
        <x14:conditionalFormatting xmlns:xm="http://schemas.microsoft.com/office/excel/2006/main">
          <x14:cfRule type="dataBar" id="{C47240AB-C06C-4E01-8AC1-FE97A718F197}">
            <x14:dataBar minLength="0" maxLength="100" border="1" negativeBarBorderColorSameAsPositive="0">
              <x14:cfvo type="autoMin"/>
              <x14:cfvo type="autoMax"/>
              <x14:borderColor rgb="FF638EC6"/>
              <x14:negativeFillColor rgb="FFFF0000"/>
              <x14:negativeBorderColor rgb="FFFF0000"/>
              <x14:axisColor rgb="FF000000"/>
            </x14:dataBar>
          </x14:cfRule>
          <xm:sqref>AF6</xm:sqref>
        </x14:conditionalFormatting>
        <x14:conditionalFormatting xmlns:xm="http://schemas.microsoft.com/office/excel/2006/main">
          <x14:cfRule type="dataBar" id="{F0566193-AC02-4D5F-9039-FDC364A68C94}">
            <x14:dataBar minLength="0" maxLength="100" border="1" negativeBarBorderColorSameAsPositive="0">
              <x14:cfvo type="autoMin"/>
              <x14:cfvo type="autoMax"/>
              <x14:borderColor rgb="FFFFB628"/>
              <x14:negativeFillColor rgb="FFFF0000"/>
              <x14:negativeBorderColor rgb="FFFF0000"/>
              <x14:axisColor rgb="FF000000"/>
            </x14:dataBar>
          </x14:cfRule>
          <xm:sqref>W7:W21 W4:W5</xm:sqref>
        </x14:conditionalFormatting>
        <x14:conditionalFormatting xmlns:xm="http://schemas.microsoft.com/office/excel/2006/main">
          <x14:cfRule type="dataBar" id="{39454924-5FFD-4BA1-95CE-A7F67257BF61}">
            <x14:dataBar minLength="0" maxLength="100" border="1" negativeBarBorderColorSameAsPositive="0">
              <x14:cfvo type="autoMin"/>
              <x14:cfvo type="autoMax"/>
              <x14:borderColor rgb="FF638EC6"/>
              <x14:negativeFillColor rgb="FFFF0000"/>
              <x14:negativeBorderColor rgb="FFFF0000"/>
              <x14:axisColor rgb="FF000000"/>
            </x14:dataBar>
          </x14:cfRule>
          <xm:sqref>AF7:AF21 AF4:AF5</xm:sqref>
        </x14:conditionalFormatting>
        <x14:conditionalFormatting xmlns:xm="http://schemas.microsoft.com/office/excel/2006/main">
          <x14:cfRule type="dataBar" id="{B13E782C-D89A-4C61-96EC-C08A047138FE}">
            <x14:dataBar minLength="0" maxLength="100" border="1" negativeBarBorderColorSameAsPositive="0">
              <x14:cfvo type="autoMin"/>
              <x14:cfvo type="autoMax"/>
              <x14:borderColor rgb="FF63C384"/>
              <x14:negativeFillColor rgb="FFFF0000"/>
              <x14:negativeBorderColor rgb="FFFF0000"/>
              <x14:axisColor rgb="FF000000"/>
            </x14:dataBar>
          </x14:cfRule>
          <xm:sqref>T4:T21</xm:sqref>
        </x14:conditionalFormatting>
        <x14:conditionalFormatting xmlns:xm="http://schemas.microsoft.com/office/excel/2006/main">
          <x14:cfRule type="dataBar" id="{8A6F6FBC-D49C-4DBA-A001-836503F14D7E}">
            <x14:dataBar minLength="0" maxLength="100" border="1" negativeBarBorderColorSameAsPositive="0">
              <x14:cfvo type="autoMin"/>
              <x14:cfvo type="autoMax"/>
              <x14:borderColor rgb="FF63C384"/>
              <x14:negativeFillColor rgb="FFFF0000"/>
              <x14:negativeBorderColor rgb="FFFF0000"/>
              <x14:axisColor rgb="FF000000"/>
            </x14:dataBar>
          </x14:cfRule>
          <xm:sqref>U4:U21</xm:sqref>
        </x14:conditionalFormatting>
        <x14:conditionalFormatting xmlns:xm="http://schemas.microsoft.com/office/excel/2006/main">
          <x14:cfRule type="dataBar" id="{8A701A28-BEE7-4685-A106-1E21A5D50016}">
            <x14:dataBar minLength="0" maxLength="100" border="1" negativeBarBorderColorSameAsPositive="0">
              <x14:cfvo type="autoMin"/>
              <x14:cfvo type="autoMax"/>
              <x14:borderColor rgb="FFFF555A"/>
              <x14:negativeFillColor rgb="FFFF0000"/>
              <x14:negativeBorderColor rgb="FFFF0000"/>
              <x14:axisColor rgb="FF000000"/>
            </x14:dataBar>
          </x14:cfRule>
          <xm:sqref>V4:V21</xm:sqref>
        </x14:conditionalFormatting>
        <x14:conditionalFormatting xmlns:xm="http://schemas.microsoft.com/office/excel/2006/main">
          <x14:cfRule type="dataBar" id="{4A4E0EAD-1591-4283-BC72-31C016420761}">
            <x14:dataBar minLength="0" maxLength="100" border="1" negativeBarBorderColorSameAsPositive="0">
              <x14:cfvo type="autoMin"/>
              <x14:cfvo type="autoMax"/>
              <x14:borderColor rgb="FFFFB628"/>
              <x14:negativeFillColor rgb="FFFF0000"/>
              <x14:negativeBorderColor rgb="FFFF0000"/>
              <x14:axisColor rgb="FF000000"/>
            </x14:dataBar>
          </x14:cfRule>
          <xm:sqref>AE4:AE21</xm:sqref>
        </x14:conditionalFormatting>
        <x14:conditionalFormatting xmlns:xm="http://schemas.microsoft.com/office/excel/2006/main">
          <x14:cfRule type="dataBar" id="{6C9F5075-0B51-4DE7-BE2E-47EE910C804F}">
            <x14:dataBar minLength="0" maxLength="100" border="1" negativeBarBorderColorSameAsPositive="0">
              <x14:cfvo type="autoMin"/>
              <x14:cfvo type="autoMax"/>
              <x14:borderColor rgb="FF63C384"/>
              <x14:negativeFillColor rgb="FFFF0000"/>
              <x14:negativeBorderColor rgb="FFFF0000"/>
              <x14:axisColor rgb="FF000000"/>
            </x14:dataBar>
          </x14:cfRule>
          <xm:sqref>AT4:AT21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39997558519241921"/>
  </sheetPr>
  <dimension ref="A1:S31"/>
  <sheetViews>
    <sheetView zoomScale="90" zoomScaleNormal="90" workbookViewId="0">
      <selection activeCell="J10" sqref="J10"/>
    </sheetView>
  </sheetViews>
  <sheetFormatPr baseColWidth="10"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192" t="s">
        <v>294</v>
      </c>
      <c r="F1" s="193" t="s">
        <v>295</v>
      </c>
      <c r="G1" s="194"/>
      <c r="H1" s="194"/>
      <c r="I1" s="195" t="s">
        <v>294</v>
      </c>
      <c r="J1" s="196" t="s">
        <v>295</v>
      </c>
      <c r="K1" s="89"/>
      <c r="P1" s="192" t="s">
        <v>294</v>
      </c>
      <c r="Q1" s="193" t="s">
        <v>295</v>
      </c>
      <c r="R1" s="192"/>
      <c r="S1" s="193"/>
    </row>
    <row r="2" spans="1:19" x14ac:dyDescent="0.25">
      <c r="A2" s="197" t="s">
        <v>3</v>
      </c>
      <c r="B2" s="197" t="s">
        <v>296</v>
      </c>
      <c r="C2" s="197" t="s">
        <v>297</v>
      </c>
      <c r="D2" s="197" t="s">
        <v>18</v>
      </c>
      <c r="E2" s="192" t="s">
        <v>8</v>
      </c>
      <c r="F2" s="193" t="s">
        <v>8</v>
      </c>
      <c r="G2" s="194" t="s">
        <v>7</v>
      </c>
      <c r="H2" s="194" t="s">
        <v>7</v>
      </c>
      <c r="I2" s="195" t="s">
        <v>298</v>
      </c>
      <c r="J2" s="196" t="s">
        <v>298</v>
      </c>
      <c r="K2" s="89"/>
      <c r="P2" s="192" t="s">
        <v>8</v>
      </c>
      <c r="Q2" s="193" t="s">
        <v>8</v>
      </c>
      <c r="R2" s="192" t="s">
        <v>7</v>
      </c>
      <c r="S2" s="193" t="s">
        <v>7</v>
      </c>
    </row>
    <row r="3" spans="1:19" x14ac:dyDescent="0.25">
      <c r="A3" s="198" t="str">
        <f>PLANTILLA!D5</f>
        <v>Nicolae Hornet</v>
      </c>
      <c r="B3" s="199">
        <f>PLANTILLA!E5</f>
        <v>22</v>
      </c>
      <c r="C3" s="199">
        <f>PLANTILLA!H5</f>
        <v>5</v>
      </c>
      <c r="D3" s="200">
        <f>PLANTILLA!I5</f>
        <v>1.4</v>
      </c>
      <c r="E3" s="201">
        <f>D3</f>
        <v>1.4</v>
      </c>
      <c r="F3" s="201">
        <f>E3+0.1</f>
        <v>1.5</v>
      </c>
      <c r="G3" s="201">
        <f>C3</f>
        <v>5</v>
      </c>
      <c r="H3" s="201">
        <f>G3+0.99</f>
        <v>5.99</v>
      </c>
      <c r="I3" s="202">
        <f>G3*G3*E3</f>
        <v>35</v>
      </c>
      <c r="J3" s="202">
        <f>H3*H3*F3</f>
        <v>53.820150000000012</v>
      </c>
      <c r="K3" s="203"/>
      <c r="N3" s="52" t="s">
        <v>298</v>
      </c>
      <c r="O3" t="str">
        <f>A4</f>
        <v>Cosme Fonteboa</v>
      </c>
      <c r="P3" s="204">
        <f>E4</f>
        <v>4.5999999999999996</v>
      </c>
      <c r="Q3" s="204">
        <f t="shared" ref="Q3:S3" si="0">F4</f>
        <v>4.6999999999999993</v>
      </c>
      <c r="R3" s="204">
        <f t="shared" si="0"/>
        <v>4</v>
      </c>
      <c r="S3" s="204">
        <f t="shared" si="0"/>
        <v>4.99</v>
      </c>
    </row>
    <row r="4" spans="1:19" x14ac:dyDescent="0.25">
      <c r="A4" s="198" t="str">
        <f>PLANTILLA!D4</f>
        <v>Cosme Fonteboa</v>
      </c>
      <c r="B4" s="199">
        <f>PLANTILLA!E4</f>
        <v>22</v>
      </c>
      <c r="C4" s="199">
        <f>PLANTILLA!H4</f>
        <v>4</v>
      </c>
      <c r="D4" s="200">
        <f>PLANTILLA!I4</f>
        <v>4.5999999999999996</v>
      </c>
      <c r="E4" s="201">
        <f t="shared" ref="E4:E31" si="1">D4</f>
        <v>4.5999999999999996</v>
      </c>
      <c r="F4" s="201">
        <f t="shared" ref="F4:F31" si="2">E4+0.1</f>
        <v>4.6999999999999993</v>
      </c>
      <c r="G4" s="201">
        <f t="shared" ref="G4:G31" si="3">C4</f>
        <v>4</v>
      </c>
      <c r="H4" s="201">
        <f t="shared" ref="H4:H31" si="4">G4+0.99</f>
        <v>4.99</v>
      </c>
      <c r="I4" s="202">
        <f t="shared" ref="I4:I31" si="5">G4*G4*E4</f>
        <v>73.599999999999994</v>
      </c>
      <c r="J4" s="202">
        <f t="shared" ref="J4:J31" si="6">H4*H4*F4</f>
        <v>117.03046999999999</v>
      </c>
      <c r="K4" s="203"/>
      <c r="O4" t="str">
        <f>A5</f>
        <v>Guillermo Pedrajas</v>
      </c>
      <c r="P4" s="204">
        <f>E5</f>
        <v>4.4000000000000004</v>
      </c>
      <c r="Q4" s="204">
        <f>F5</f>
        <v>4.5</v>
      </c>
      <c r="R4" s="204">
        <f>G5</f>
        <v>4</v>
      </c>
      <c r="S4" s="204">
        <f>H5</f>
        <v>4.99</v>
      </c>
    </row>
    <row r="5" spans="1:19" x14ac:dyDescent="0.25">
      <c r="A5" s="198" t="str">
        <f>PLANTILLA!D9</f>
        <v>Guillermo Pedrajas</v>
      </c>
      <c r="B5" s="199">
        <f>PLANTILLA!E9</f>
        <v>22</v>
      </c>
      <c r="C5" s="199">
        <f>PLANTILLA!H9</f>
        <v>4</v>
      </c>
      <c r="D5" s="200">
        <f>PLANTILLA!I9</f>
        <v>4.4000000000000004</v>
      </c>
      <c r="E5" s="201">
        <f t="shared" si="1"/>
        <v>4.4000000000000004</v>
      </c>
      <c r="F5" s="201">
        <f t="shared" si="2"/>
        <v>4.5</v>
      </c>
      <c r="G5" s="201">
        <f t="shared" si="3"/>
        <v>4</v>
      </c>
      <c r="H5" s="201">
        <f t="shared" si="4"/>
        <v>4.99</v>
      </c>
      <c r="I5" s="202">
        <f t="shared" si="5"/>
        <v>70.400000000000006</v>
      </c>
      <c r="J5" s="202">
        <f t="shared" si="6"/>
        <v>112.05045000000001</v>
      </c>
      <c r="K5" s="203"/>
      <c r="L5" s="138"/>
      <c r="O5" t="e">
        <f>A8</f>
        <v>#REF!</v>
      </c>
      <c r="P5" s="204" t="e">
        <f>E8</f>
        <v>#REF!</v>
      </c>
      <c r="Q5" s="204" t="e">
        <f>F8</f>
        <v>#REF!</v>
      </c>
      <c r="R5" s="204" t="e">
        <f>G8</f>
        <v>#REF!</v>
      </c>
      <c r="S5" s="204" t="e">
        <f>H8</f>
        <v>#REF!</v>
      </c>
    </row>
    <row r="6" spans="1:19" x14ac:dyDescent="0.25">
      <c r="A6" s="198" t="str">
        <f>PLANTILLA!D20</f>
        <v>Emilio Rojas</v>
      </c>
      <c r="B6" s="199">
        <f>PLANTILLA!E20</f>
        <v>31</v>
      </c>
      <c r="C6" s="199">
        <f>PLANTILLA!H20</f>
        <v>4</v>
      </c>
      <c r="D6" s="200">
        <f>PLANTILLA!I20</f>
        <v>6.3</v>
      </c>
      <c r="E6" s="201">
        <f t="shared" si="1"/>
        <v>6.3</v>
      </c>
      <c r="F6" s="201">
        <f t="shared" si="2"/>
        <v>6.3999999999999995</v>
      </c>
      <c r="G6" s="201">
        <f t="shared" si="3"/>
        <v>4</v>
      </c>
      <c r="H6" s="201">
        <f t="shared" si="4"/>
        <v>4.99</v>
      </c>
      <c r="I6" s="202">
        <f t="shared" si="5"/>
        <v>100.8</v>
      </c>
      <c r="J6" s="202">
        <f t="shared" si="6"/>
        <v>159.36063999999999</v>
      </c>
      <c r="K6" s="203"/>
      <c r="O6" t="str">
        <f>A11</f>
        <v>Valeri Gomis</v>
      </c>
      <c r="P6" s="204">
        <f>E11</f>
        <v>4.2</v>
      </c>
      <c r="Q6" s="204">
        <f t="shared" ref="Q6:S6" si="7">F11</f>
        <v>4.3</v>
      </c>
      <c r="R6" s="204">
        <f t="shared" si="7"/>
        <v>6</v>
      </c>
      <c r="S6" s="204">
        <f t="shared" si="7"/>
        <v>6.99</v>
      </c>
    </row>
    <row r="7" spans="1:19" x14ac:dyDescent="0.25">
      <c r="A7" s="198" t="str">
        <f>PLANTILLA!D19</f>
        <v>Miklós Gábriel</v>
      </c>
      <c r="B7" s="199">
        <f>PLANTILLA!E19</f>
        <v>31</v>
      </c>
      <c r="C7" s="199">
        <f>PLANTILLA!H19</f>
        <v>2</v>
      </c>
      <c r="D7" s="200">
        <f>PLANTILLA!I19</f>
        <v>6.6</v>
      </c>
      <c r="E7" s="201">
        <f t="shared" si="1"/>
        <v>6.6</v>
      </c>
      <c r="F7" s="201">
        <f t="shared" si="2"/>
        <v>6.6999999999999993</v>
      </c>
      <c r="G7" s="201">
        <f t="shared" si="3"/>
        <v>2</v>
      </c>
      <c r="H7" s="201">
        <f t="shared" si="4"/>
        <v>2.99</v>
      </c>
      <c r="I7" s="202">
        <f t="shared" si="5"/>
        <v>26.4</v>
      </c>
      <c r="J7" s="202">
        <f t="shared" si="6"/>
        <v>59.898670000000003</v>
      </c>
      <c r="K7" s="203"/>
      <c r="O7" t="str">
        <f>A3</f>
        <v>Nicolae Hornet</v>
      </c>
      <c r="P7" s="204">
        <f>E3</f>
        <v>1.4</v>
      </c>
      <c r="Q7" s="204">
        <f>F3</f>
        <v>1.5</v>
      </c>
      <c r="R7" s="204">
        <f>G3</f>
        <v>5</v>
      </c>
      <c r="S7" s="204">
        <f>H3</f>
        <v>5.99</v>
      </c>
    </row>
    <row r="8" spans="1:19" x14ac:dyDescent="0.25">
      <c r="A8" s="198" t="e">
        <f>PLANTILLA!#REF!</f>
        <v>#REF!</v>
      </c>
      <c r="B8" s="199" t="e">
        <f>PLANTILLA!#REF!</f>
        <v>#REF!</v>
      </c>
      <c r="C8" s="199" t="e">
        <f>PLANTILLA!#REF!</f>
        <v>#REF!</v>
      </c>
      <c r="D8" s="200" t="e">
        <f>PLANTILLA!#REF!</f>
        <v>#REF!</v>
      </c>
      <c r="E8" s="201" t="e">
        <f t="shared" si="1"/>
        <v>#REF!</v>
      </c>
      <c r="F8" s="201" t="e">
        <f t="shared" si="2"/>
        <v>#REF!</v>
      </c>
      <c r="G8" s="201" t="e">
        <f t="shared" si="3"/>
        <v>#REF!</v>
      </c>
      <c r="H8" s="201" t="e">
        <f t="shared" si="4"/>
        <v>#REF!</v>
      </c>
      <c r="I8" s="202" t="e">
        <f t="shared" si="5"/>
        <v>#REF!</v>
      </c>
      <c r="J8" s="202" t="e">
        <f t="shared" si="6"/>
        <v>#REF!</v>
      </c>
      <c r="K8" s="203"/>
      <c r="O8" t="e">
        <f>A13</f>
        <v>#REF!</v>
      </c>
      <c r="P8" s="204" t="e">
        <f>E13</f>
        <v>#REF!</v>
      </c>
      <c r="Q8" s="204" t="e">
        <f>F13</f>
        <v>#REF!</v>
      </c>
      <c r="R8" s="204" t="e">
        <f>G13</f>
        <v>#REF!</v>
      </c>
      <c r="S8" s="204" t="e">
        <f>H13</f>
        <v>#REF!</v>
      </c>
    </row>
    <row r="9" spans="1:19" x14ac:dyDescent="0.25">
      <c r="A9" s="198" t="str">
        <f>PLANTILLA!D11</f>
        <v>Francesc Añigas</v>
      </c>
      <c r="B9" s="199">
        <f>PLANTILLA!E11</f>
        <v>22</v>
      </c>
      <c r="C9" s="199">
        <f>PLANTILLA!H11</f>
        <v>5</v>
      </c>
      <c r="D9" s="200">
        <f>PLANTILLA!I11</f>
        <v>4.0999999999999996</v>
      </c>
      <c r="E9" s="201">
        <f t="shared" si="1"/>
        <v>4.0999999999999996</v>
      </c>
      <c r="F9" s="201">
        <f t="shared" si="2"/>
        <v>4.1999999999999993</v>
      </c>
      <c r="G9" s="201">
        <f t="shared" si="3"/>
        <v>5</v>
      </c>
      <c r="H9" s="201">
        <f t="shared" si="4"/>
        <v>5.99</v>
      </c>
      <c r="I9" s="202">
        <f t="shared" si="5"/>
        <v>102.49999999999999</v>
      </c>
      <c r="J9" s="202">
        <f t="shared" si="6"/>
        <v>150.69641999999999</v>
      </c>
      <c r="K9" s="203"/>
      <c r="O9" t="str">
        <f>A16</f>
        <v>David Garcia-Spiess</v>
      </c>
      <c r="P9" s="204">
        <f>E16</f>
        <v>7</v>
      </c>
      <c r="Q9" s="204">
        <f>F16</f>
        <v>7.1</v>
      </c>
      <c r="R9" s="204">
        <f>G16</f>
        <v>1</v>
      </c>
      <c r="S9" s="204">
        <f>H16</f>
        <v>1.99</v>
      </c>
    </row>
    <row r="10" spans="1:19" x14ac:dyDescent="0.25">
      <c r="A10" s="198" t="str">
        <f>PLANTILLA!D12</f>
        <v>Will Duffill</v>
      </c>
      <c r="B10" s="199">
        <f>PLANTILLA!E12</f>
        <v>22</v>
      </c>
      <c r="C10" s="199">
        <f>PLANTILLA!H12</f>
        <v>3</v>
      </c>
      <c r="D10" s="200">
        <f>PLANTILLA!I12</f>
        <v>4.2</v>
      </c>
      <c r="E10" s="201">
        <f t="shared" si="1"/>
        <v>4.2</v>
      </c>
      <c r="F10" s="201">
        <f t="shared" si="2"/>
        <v>4.3</v>
      </c>
      <c r="G10" s="201">
        <f t="shared" si="3"/>
        <v>3</v>
      </c>
      <c r="H10" s="201">
        <f t="shared" si="4"/>
        <v>3.99</v>
      </c>
      <c r="I10" s="202">
        <f t="shared" si="5"/>
        <v>37.800000000000004</v>
      </c>
      <c r="J10" s="202">
        <f t="shared" si="6"/>
        <v>68.456429999999997</v>
      </c>
      <c r="K10" s="203"/>
      <c r="O10" t="str">
        <f>A14</f>
        <v>Eckardt Hägerling</v>
      </c>
      <c r="P10" s="204">
        <f>E14</f>
        <v>2.2000000000000002</v>
      </c>
      <c r="Q10" s="204">
        <f>F14</f>
        <v>2.3000000000000003</v>
      </c>
      <c r="R10" s="204">
        <f>G14</f>
        <v>3</v>
      </c>
      <c r="S10" s="204">
        <f>H14</f>
        <v>3.99</v>
      </c>
    </row>
    <row r="11" spans="1:19" x14ac:dyDescent="0.25">
      <c r="A11" s="198" t="str">
        <f>PLANTILLA!D13</f>
        <v>Valeri Gomis</v>
      </c>
      <c r="B11" s="199">
        <f>PLANTILLA!E13</f>
        <v>22</v>
      </c>
      <c r="C11" s="199">
        <f>PLANTILLA!H13</f>
        <v>6</v>
      </c>
      <c r="D11" s="200">
        <f>PLANTILLA!I13</f>
        <v>4.2</v>
      </c>
      <c r="E11" s="201">
        <f t="shared" si="1"/>
        <v>4.2</v>
      </c>
      <c r="F11" s="201">
        <f t="shared" si="2"/>
        <v>4.3</v>
      </c>
      <c r="G11" s="201">
        <f t="shared" si="3"/>
        <v>6</v>
      </c>
      <c r="H11" s="201">
        <f t="shared" si="4"/>
        <v>6.99</v>
      </c>
      <c r="I11" s="202">
        <f t="shared" si="5"/>
        <v>151.20000000000002</v>
      </c>
      <c r="J11" s="202">
        <f t="shared" si="6"/>
        <v>210.09843000000001</v>
      </c>
      <c r="K11" s="203"/>
      <c r="O11" t="str">
        <f>A10</f>
        <v>Will Duffill</v>
      </c>
      <c r="P11" s="204">
        <f>E10</f>
        <v>4.2</v>
      </c>
      <c r="Q11" s="204">
        <f>F10</f>
        <v>4.3</v>
      </c>
      <c r="R11" s="204">
        <f>G10</f>
        <v>3</v>
      </c>
      <c r="S11" s="204">
        <f>H10</f>
        <v>3.99</v>
      </c>
    </row>
    <row r="12" spans="1:19" x14ac:dyDescent="0.25">
      <c r="A12" s="198" t="e">
        <f>PLANTILLA!#REF!</f>
        <v>#REF!</v>
      </c>
      <c r="B12" s="199" t="e">
        <f>PLANTILLA!#REF!</f>
        <v>#REF!</v>
      </c>
      <c r="C12" s="199" t="e">
        <f>PLANTILLA!#REF!</f>
        <v>#REF!</v>
      </c>
      <c r="D12" s="200" t="e">
        <f>PLANTILLA!#REF!</f>
        <v>#REF!</v>
      </c>
      <c r="E12" s="201" t="e">
        <f t="shared" si="1"/>
        <v>#REF!</v>
      </c>
      <c r="F12" s="201" t="e">
        <f t="shared" si="2"/>
        <v>#REF!</v>
      </c>
      <c r="G12" s="201" t="e">
        <f t="shared" si="3"/>
        <v>#REF!</v>
      </c>
      <c r="H12" s="201" t="e">
        <f t="shared" si="4"/>
        <v>#REF!</v>
      </c>
      <c r="I12" s="202" t="e">
        <f t="shared" si="5"/>
        <v>#REF!</v>
      </c>
      <c r="J12" s="202" t="e">
        <f t="shared" si="6"/>
        <v>#REF!</v>
      </c>
      <c r="K12" s="203"/>
      <c r="O12" t="str">
        <f>A7</f>
        <v>Miklós Gábriel</v>
      </c>
      <c r="P12" s="204">
        <f>E7</f>
        <v>6.6</v>
      </c>
      <c r="Q12" s="204">
        <f t="shared" ref="Q12:S12" si="8">F7</f>
        <v>6.6999999999999993</v>
      </c>
      <c r="R12" s="204">
        <f t="shared" si="8"/>
        <v>2</v>
      </c>
      <c r="S12" s="204">
        <f t="shared" si="8"/>
        <v>2.99</v>
      </c>
    </row>
    <row r="13" spans="1:19" x14ac:dyDescent="0.25">
      <c r="A13" s="198" t="e">
        <f>PLANTILLA!#REF!</f>
        <v>#REF!</v>
      </c>
      <c r="B13" s="199" t="e">
        <f>PLANTILLA!#REF!</f>
        <v>#REF!</v>
      </c>
      <c r="C13" s="199" t="e">
        <f>PLANTILLA!#REF!</f>
        <v>#REF!</v>
      </c>
      <c r="D13" s="200" t="e">
        <f>PLANTILLA!#REF!</f>
        <v>#REF!</v>
      </c>
      <c r="E13" s="201" t="e">
        <f t="shared" si="1"/>
        <v>#REF!</v>
      </c>
      <c r="F13" s="201" t="e">
        <f t="shared" si="2"/>
        <v>#REF!</v>
      </c>
      <c r="G13" s="201" t="e">
        <f t="shared" si="3"/>
        <v>#REF!</v>
      </c>
      <c r="H13" s="201" t="e">
        <f t="shared" si="4"/>
        <v>#REF!</v>
      </c>
      <c r="I13" s="202" t="e">
        <f t="shared" si="5"/>
        <v>#REF!</v>
      </c>
      <c r="J13" s="202" t="e">
        <f t="shared" si="6"/>
        <v>#REF!</v>
      </c>
      <c r="K13" s="203"/>
      <c r="O13" t="e">
        <f>A12</f>
        <v>#REF!</v>
      </c>
      <c r="P13" s="204" t="e">
        <f>E12</f>
        <v>#REF!</v>
      </c>
      <c r="Q13" s="204" t="e">
        <f>F12</f>
        <v>#REF!</v>
      </c>
      <c r="R13" s="204" t="e">
        <f>G12</f>
        <v>#REF!</v>
      </c>
      <c r="S13" s="204" t="e">
        <f>H12</f>
        <v>#REF!</v>
      </c>
    </row>
    <row r="14" spans="1:19" x14ac:dyDescent="0.25">
      <c r="A14" s="198" t="str">
        <f>PLANTILLA!D10</f>
        <v>Eckardt Hägerling</v>
      </c>
      <c r="B14" s="199">
        <f>PLANTILLA!E10</f>
        <v>22</v>
      </c>
      <c r="C14" s="199">
        <f>PLANTILLA!H10</f>
        <v>3</v>
      </c>
      <c r="D14" s="200">
        <f>PLANTILLA!I10</f>
        <v>2.2000000000000002</v>
      </c>
      <c r="E14" s="201">
        <f t="shared" si="1"/>
        <v>2.2000000000000002</v>
      </c>
      <c r="F14" s="201">
        <f t="shared" si="2"/>
        <v>2.3000000000000003</v>
      </c>
      <c r="G14" s="201">
        <f t="shared" si="3"/>
        <v>3</v>
      </c>
      <c r="H14" s="201">
        <f t="shared" si="4"/>
        <v>3.99</v>
      </c>
      <c r="I14" s="202">
        <f t="shared" si="5"/>
        <v>19.8</v>
      </c>
      <c r="J14" s="202">
        <f t="shared" si="6"/>
        <v>36.616230000000009</v>
      </c>
      <c r="K14" s="203"/>
      <c r="P14" s="37" t="e">
        <f>SUM(P4:P13)/10</f>
        <v>#REF!</v>
      </c>
      <c r="Q14" s="37" t="e">
        <f>SUM(Q4:Q13)/10</f>
        <v>#REF!</v>
      </c>
      <c r="R14" s="37"/>
      <c r="S14" s="37"/>
    </row>
    <row r="15" spans="1:19" x14ac:dyDescent="0.25">
      <c r="A15" s="198" t="str">
        <f>PLANTILLA!D18</f>
        <v>Fernando Gazón</v>
      </c>
      <c r="B15" s="199">
        <f>PLANTILLA!E18</f>
        <v>22</v>
      </c>
      <c r="C15" s="199">
        <f>PLANTILLA!H18</f>
        <v>3</v>
      </c>
      <c r="D15" s="200">
        <f>PLANTILLA!I18</f>
        <v>2.5</v>
      </c>
      <c r="E15" s="201">
        <f t="shared" si="1"/>
        <v>2.5</v>
      </c>
      <c r="F15" s="201">
        <f t="shared" si="2"/>
        <v>2.6</v>
      </c>
      <c r="G15" s="201">
        <f t="shared" si="3"/>
        <v>3</v>
      </c>
      <c r="H15" s="201">
        <f t="shared" si="4"/>
        <v>3.99</v>
      </c>
      <c r="I15" s="202">
        <f t="shared" si="5"/>
        <v>22.5</v>
      </c>
      <c r="J15" s="202">
        <f t="shared" si="6"/>
        <v>41.392260000000007</v>
      </c>
      <c r="K15" s="203"/>
    </row>
    <row r="16" spans="1:19" x14ac:dyDescent="0.25">
      <c r="A16" s="198" t="str">
        <f>PLANTILLA!D16</f>
        <v>David Garcia-Spiess</v>
      </c>
      <c r="B16" s="199">
        <f>PLANTILLA!E16</f>
        <v>30</v>
      </c>
      <c r="C16" s="199">
        <f>PLANTILLA!H16</f>
        <v>1</v>
      </c>
      <c r="D16" s="200">
        <f>PLANTILLA!I16</f>
        <v>7</v>
      </c>
      <c r="E16" s="201">
        <f t="shared" si="1"/>
        <v>7</v>
      </c>
      <c r="F16" s="201">
        <f t="shared" si="2"/>
        <v>7.1</v>
      </c>
      <c r="G16" s="201">
        <f t="shared" si="3"/>
        <v>1</v>
      </c>
      <c r="H16" s="201">
        <f t="shared" si="4"/>
        <v>1.99</v>
      </c>
      <c r="I16" s="202">
        <f t="shared" si="5"/>
        <v>7</v>
      </c>
      <c r="J16" s="202">
        <f t="shared" si="6"/>
        <v>28.116710000000001</v>
      </c>
      <c r="K16" s="203"/>
      <c r="L16" s="71" t="s">
        <v>299</v>
      </c>
      <c r="O16" t="s">
        <v>300</v>
      </c>
      <c r="P16" s="32" t="e">
        <f>SUM(P3:P13)</f>
        <v>#REF!</v>
      </c>
      <c r="Q16" s="32" t="e">
        <f>SUM(Q3:Q13)</f>
        <v>#REF!</v>
      </c>
      <c r="R16" s="32"/>
    </row>
    <row r="17" spans="1:18" x14ac:dyDescent="0.25">
      <c r="A17" s="198" t="e">
        <f>PLANTILLA!#REF!</f>
        <v>#REF!</v>
      </c>
      <c r="B17" s="199" t="e">
        <f>PLANTILLA!#REF!</f>
        <v>#REF!</v>
      </c>
      <c r="C17" s="199" t="e">
        <f>PLANTILLA!#REF!</f>
        <v>#REF!</v>
      </c>
      <c r="D17" s="200" t="e">
        <f>PLANTILLA!#REF!</f>
        <v>#REF!</v>
      </c>
      <c r="E17" s="201" t="e">
        <f t="shared" si="1"/>
        <v>#REF!</v>
      </c>
      <c r="F17" s="201" t="e">
        <f t="shared" si="2"/>
        <v>#REF!</v>
      </c>
      <c r="G17" s="201" t="e">
        <f t="shared" si="3"/>
        <v>#REF!</v>
      </c>
      <c r="H17" s="201" t="e">
        <f t="shared" si="4"/>
        <v>#REF!</v>
      </c>
      <c r="I17" s="202" t="e">
        <f t="shared" si="5"/>
        <v>#REF!</v>
      </c>
      <c r="J17" s="202" t="e">
        <f t="shared" si="6"/>
        <v>#REF!</v>
      </c>
      <c r="K17" s="203"/>
      <c r="O17" t="s">
        <v>301</v>
      </c>
      <c r="P17" s="37" t="e">
        <f>P16/17</f>
        <v>#REF!</v>
      </c>
      <c r="Q17" s="37" t="e">
        <f>Q16/17</f>
        <v>#REF!</v>
      </c>
      <c r="R17" s="37"/>
    </row>
    <row r="18" spans="1:18" x14ac:dyDescent="0.25">
      <c r="A18" s="198" t="str">
        <f>PLANTILLA!D17</f>
        <v>Fabien Fabre</v>
      </c>
      <c r="B18" s="199">
        <f>PLANTILLA!E17</f>
        <v>31</v>
      </c>
      <c r="C18" s="199">
        <f>PLANTILLA!H17</f>
        <v>5</v>
      </c>
      <c r="D18" s="200">
        <f>PLANTILLA!I17</f>
        <v>4.8</v>
      </c>
      <c r="E18" s="201">
        <f t="shared" si="1"/>
        <v>4.8</v>
      </c>
      <c r="F18" s="201">
        <f t="shared" si="2"/>
        <v>4.8999999999999995</v>
      </c>
      <c r="G18" s="201">
        <f t="shared" si="3"/>
        <v>5</v>
      </c>
      <c r="H18" s="201">
        <f t="shared" si="4"/>
        <v>5.99</v>
      </c>
      <c r="I18" s="202">
        <f t="shared" si="5"/>
        <v>120</v>
      </c>
      <c r="J18" s="202">
        <f t="shared" si="6"/>
        <v>175.81249</v>
      </c>
      <c r="K18" s="203"/>
      <c r="L18" s="71" t="s">
        <v>302</v>
      </c>
      <c r="O18" t="s">
        <v>303</v>
      </c>
      <c r="P18" s="32">
        <f>R3^2</f>
        <v>16</v>
      </c>
      <c r="Q18" s="32">
        <f>S3^2</f>
        <v>24.900100000000002</v>
      </c>
      <c r="R18" s="32"/>
    </row>
    <row r="19" spans="1:18" x14ac:dyDescent="0.25">
      <c r="A19" s="198" t="str">
        <f>PLANTILLA!D14</f>
        <v>Enrique Cubas</v>
      </c>
      <c r="B19" s="199">
        <f>PLANTILLA!E14</f>
        <v>22</v>
      </c>
      <c r="C19" s="199">
        <f>PLANTILLA!H14</f>
        <v>1</v>
      </c>
      <c r="D19" s="200">
        <f>PLANTILLA!I14</f>
        <v>4.5999999999999996</v>
      </c>
      <c r="E19" s="201">
        <f t="shared" si="1"/>
        <v>4.5999999999999996</v>
      </c>
      <c r="F19" s="201">
        <f t="shared" si="2"/>
        <v>4.6999999999999993</v>
      </c>
      <c r="G19" s="201">
        <f t="shared" si="3"/>
        <v>1</v>
      </c>
      <c r="H19" s="201">
        <f t="shared" si="4"/>
        <v>1.99</v>
      </c>
      <c r="I19" s="202">
        <f t="shared" si="5"/>
        <v>4.5999999999999996</v>
      </c>
      <c r="J19" s="202">
        <f t="shared" si="6"/>
        <v>18.612469999999998</v>
      </c>
      <c r="K19" s="203"/>
      <c r="L19" s="71" t="s">
        <v>304</v>
      </c>
      <c r="O19" t="s">
        <v>305</v>
      </c>
      <c r="P19" s="32">
        <f>P18*P3</f>
        <v>73.599999999999994</v>
      </c>
      <c r="Q19" s="32">
        <f>Q18*Q3</f>
        <v>117.03046999999999</v>
      </c>
      <c r="R19" s="32"/>
    </row>
    <row r="20" spans="1:18" x14ac:dyDescent="0.25">
      <c r="A20" s="198" t="str">
        <f>PLANTILLA!D15</f>
        <v>J. G. Peñuela</v>
      </c>
      <c r="B20" s="199">
        <f>PLANTILLA!E15</f>
        <v>22</v>
      </c>
      <c r="C20" s="199">
        <f>PLANTILLA!H15</f>
        <v>6</v>
      </c>
      <c r="D20" s="200">
        <f>PLANTILLA!I15</f>
        <v>4</v>
      </c>
      <c r="E20" s="201">
        <f t="shared" si="1"/>
        <v>4</v>
      </c>
      <c r="F20" s="201">
        <f t="shared" si="2"/>
        <v>4.0999999999999996</v>
      </c>
      <c r="G20" s="201">
        <f t="shared" si="3"/>
        <v>6</v>
      </c>
      <c r="H20" s="201">
        <f t="shared" si="4"/>
        <v>6.99</v>
      </c>
      <c r="I20" s="202">
        <f t="shared" si="5"/>
        <v>144</v>
      </c>
      <c r="J20" s="202">
        <f t="shared" si="6"/>
        <v>200.32640999999998</v>
      </c>
      <c r="K20" s="203"/>
      <c r="L20" s="71" t="s">
        <v>306</v>
      </c>
      <c r="O20" t="s">
        <v>307</v>
      </c>
      <c r="P20" s="37">
        <f>(P19^(2/3))/30</f>
        <v>0.5854151465733366</v>
      </c>
      <c r="Q20" s="37">
        <f>(Q19^(2/3))/30</f>
        <v>0.79752574490346395</v>
      </c>
      <c r="R20" s="37"/>
    </row>
    <row r="21" spans="1:18" x14ac:dyDescent="0.25">
      <c r="A21" s="198" t="e">
        <f>PLANTILLA!#REF!</f>
        <v>#REF!</v>
      </c>
      <c r="B21" s="199" t="e">
        <f>PLANTILLA!#REF!</f>
        <v>#REF!</v>
      </c>
      <c r="C21" s="199" t="e">
        <f>PLANTILLA!#REF!</f>
        <v>#REF!</v>
      </c>
      <c r="D21" s="200" t="e">
        <f>PLANTILLA!#REF!</f>
        <v>#REF!</v>
      </c>
      <c r="E21" s="201" t="e">
        <f t="shared" si="1"/>
        <v>#REF!</v>
      </c>
      <c r="F21" s="201" t="e">
        <f t="shared" si="2"/>
        <v>#REF!</v>
      </c>
      <c r="G21" s="201" t="e">
        <f t="shared" si="3"/>
        <v>#REF!</v>
      </c>
      <c r="H21" s="201" t="e">
        <f t="shared" si="4"/>
        <v>#REF!</v>
      </c>
      <c r="I21" s="202" t="e">
        <f t="shared" si="5"/>
        <v>#REF!</v>
      </c>
      <c r="J21" s="202" t="e">
        <f t="shared" si="6"/>
        <v>#REF!</v>
      </c>
      <c r="K21" s="203"/>
      <c r="L21" s="71" t="s">
        <v>308</v>
      </c>
      <c r="O21" s="110" t="s">
        <v>167</v>
      </c>
      <c r="P21" s="156" t="e">
        <f>P17+P20</f>
        <v>#REF!</v>
      </c>
      <c r="Q21" s="156" t="e">
        <f>Q17+Q20</f>
        <v>#REF!</v>
      </c>
    </row>
    <row r="22" spans="1:18" x14ac:dyDescent="0.25">
      <c r="A22" s="198" t="e">
        <f>PLANTILLA!#REF!</f>
        <v>#REF!</v>
      </c>
      <c r="B22" s="199" t="e">
        <f>PLANTILLA!#REF!</f>
        <v>#REF!</v>
      </c>
      <c r="C22" s="199" t="e">
        <f>PLANTILLA!#REF!</f>
        <v>#REF!</v>
      </c>
      <c r="D22" s="200" t="e">
        <f>PLANTILLA!#REF!</f>
        <v>#REF!</v>
      </c>
      <c r="E22" s="201" t="e">
        <f t="shared" si="1"/>
        <v>#REF!</v>
      </c>
      <c r="F22" s="201" t="e">
        <f t="shared" si="2"/>
        <v>#REF!</v>
      </c>
      <c r="G22" s="201" t="e">
        <f t="shared" si="3"/>
        <v>#REF!</v>
      </c>
      <c r="H22" s="201" t="e">
        <f t="shared" si="4"/>
        <v>#REF!</v>
      </c>
      <c r="I22" s="202" t="e">
        <f t="shared" si="5"/>
        <v>#REF!</v>
      </c>
      <c r="J22" s="202" t="e">
        <f t="shared" si="6"/>
        <v>#REF!</v>
      </c>
      <c r="K22" s="203"/>
      <c r="L22" t="s">
        <v>309</v>
      </c>
    </row>
    <row r="23" spans="1:18" x14ac:dyDescent="0.25">
      <c r="A23" s="198">
        <f>PLANTILLA!D22</f>
        <v>0</v>
      </c>
      <c r="B23" s="199">
        <f>PLANTILLA!E22</f>
        <v>0</v>
      </c>
      <c r="C23" s="199">
        <f>PLANTILLA!H22</f>
        <v>0</v>
      </c>
      <c r="D23" s="200">
        <f>PLANTILLA!I22</f>
        <v>0</v>
      </c>
      <c r="E23" s="201">
        <f t="shared" si="1"/>
        <v>0</v>
      </c>
      <c r="F23" s="201">
        <f t="shared" si="2"/>
        <v>0.1</v>
      </c>
      <c r="G23" s="201">
        <f t="shared" si="3"/>
        <v>0</v>
      </c>
      <c r="H23" s="201">
        <f t="shared" si="4"/>
        <v>0.99</v>
      </c>
      <c r="I23" s="202">
        <f t="shared" si="5"/>
        <v>0</v>
      </c>
      <c r="J23" s="202">
        <f t="shared" si="6"/>
        <v>9.801E-2</v>
      </c>
      <c r="K23" s="203"/>
      <c r="O23" s="30"/>
    </row>
    <row r="24" spans="1:18" x14ac:dyDescent="0.25">
      <c r="A24" s="198">
        <f>PLANTILLA!D23</f>
        <v>0</v>
      </c>
      <c r="B24" s="199">
        <f>PLANTILLA!E23</f>
        <v>0</v>
      </c>
      <c r="C24" s="199">
        <f>PLANTILLA!H23</f>
        <v>0</v>
      </c>
      <c r="D24" s="200">
        <f>PLANTILLA!I23</f>
        <v>0</v>
      </c>
      <c r="E24" s="201">
        <f t="shared" si="1"/>
        <v>0</v>
      </c>
      <c r="F24" s="201">
        <f t="shared" si="2"/>
        <v>0.1</v>
      </c>
      <c r="G24" s="201">
        <f t="shared" si="3"/>
        <v>0</v>
      </c>
      <c r="H24" s="201">
        <f t="shared" si="4"/>
        <v>0.99</v>
      </c>
      <c r="I24" s="202">
        <f t="shared" si="5"/>
        <v>0</v>
      </c>
      <c r="J24" s="202">
        <f t="shared" si="6"/>
        <v>9.801E-2</v>
      </c>
    </row>
    <row r="25" spans="1:18" x14ac:dyDescent="0.25">
      <c r="A25" s="198">
        <f>PLANTILLA!D24</f>
        <v>0</v>
      </c>
      <c r="B25" s="199">
        <f>PLANTILLA!E24</f>
        <v>0</v>
      </c>
      <c r="C25" s="199">
        <f>PLANTILLA!H24</f>
        <v>0</v>
      </c>
      <c r="D25" s="200">
        <f>PLANTILLA!I24</f>
        <v>0</v>
      </c>
      <c r="E25" s="201">
        <f t="shared" si="1"/>
        <v>0</v>
      </c>
      <c r="F25" s="201">
        <f t="shared" si="2"/>
        <v>0.1</v>
      </c>
      <c r="G25" s="201">
        <f t="shared" si="3"/>
        <v>0</v>
      </c>
      <c r="H25" s="201">
        <f t="shared" si="4"/>
        <v>0.99</v>
      </c>
      <c r="I25" s="202">
        <f t="shared" si="5"/>
        <v>0</v>
      </c>
      <c r="J25" s="202">
        <f t="shared" si="6"/>
        <v>9.801E-2</v>
      </c>
    </row>
    <row r="26" spans="1:18" x14ac:dyDescent="0.25">
      <c r="A26" s="198">
        <f>PLANTILLA!D25</f>
        <v>0</v>
      </c>
      <c r="B26" s="199">
        <f>PLANTILLA!E25</f>
        <v>0</v>
      </c>
      <c r="C26" s="199">
        <f>PLANTILLA!H25</f>
        <v>0</v>
      </c>
      <c r="D26" s="200">
        <f>PLANTILLA!I25</f>
        <v>0</v>
      </c>
      <c r="E26" s="201">
        <f t="shared" si="1"/>
        <v>0</v>
      </c>
      <c r="F26" s="201">
        <f t="shared" si="2"/>
        <v>0.1</v>
      </c>
      <c r="G26" s="201">
        <f t="shared" si="3"/>
        <v>0</v>
      </c>
      <c r="H26" s="201">
        <f t="shared" si="4"/>
        <v>0.99</v>
      </c>
      <c r="I26" s="202">
        <f t="shared" si="5"/>
        <v>0</v>
      </c>
      <c r="J26" s="202">
        <f t="shared" si="6"/>
        <v>9.801E-2</v>
      </c>
    </row>
    <row r="27" spans="1:18" x14ac:dyDescent="0.25">
      <c r="A27" s="198">
        <f>PLANTILLA!D26</f>
        <v>0</v>
      </c>
      <c r="B27" s="199">
        <f>PLANTILLA!E26</f>
        <v>0</v>
      </c>
      <c r="C27" s="199">
        <f>PLANTILLA!H26</f>
        <v>0</v>
      </c>
      <c r="D27" s="200">
        <f>PLANTILLA!I26</f>
        <v>0</v>
      </c>
      <c r="E27" s="201">
        <f t="shared" si="1"/>
        <v>0</v>
      </c>
      <c r="F27" s="201">
        <f t="shared" si="2"/>
        <v>0.1</v>
      </c>
      <c r="G27" s="201">
        <f t="shared" si="3"/>
        <v>0</v>
      </c>
      <c r="H27" s="201">
        <f t="shared" si="4"/>
        <v>0.99</v>
      </c>
      <c r="I27" s="202">
        <f t="shared" si="5"/>
        <v>0</v>
      </c>
      <c r="J27" s="202">
        <f t="shared" si="6"/>
        <v>9.801E-2</v>
      </c>
    </row>
    <row r="28" spans="1:18" x14ac:dyDescent="0.25">
      <c r="A28" s="198">
        <f>PLANTILLA!D27</f>
        <v>0</v>
      </c>
      <c r="B28" s="199">
        <f>PLANTILLA!E27</f>
        <v>0</v>
      </c>
      <c r="C28" s="199">
        <f>PLANTILLA!H27</f>
        <v>0</v>
      </c>
      <c r="D28" s="200">
        <f>PLANTILLA!I27</f>
        <v>0</v>
      </c>
      <c r="E28" s="201">
        <f t="shared" si="1"/>
        <v>0</v>
      </c>
      <c r="F28" s="201">
        <f t="shared" si="2"/>
        <v>0.1</v>
      </c>
      <c r="G28" s="201">
        <f t="shared" si="3"/>
        <v>0</v>
      </c>
      <c r="H28" s="201">
        <f t="shared" si="4"/>
        <v>0.99</v>
      </c>
      <c r="I28" s="202">
        <f t="shared" si="5"/>
        <v>0</v>
      </c>
      <c r="J28" s="202">
        <f t="shared" si="6"/>
        <v>9.801E-2</v>
      </c>
    </row>
    <row r="29" spans="1:18" x14ac:dyDescent="0.25">
      <c r="A29" s="198">
        <f>PLANTILLA!D28</f>
        <v>0</v>
      </c>
      <c r="B29" s="199">
        <f>PLANTILLA!E28</f>
        <v>0</v>
      </c>
      <c r="C29" s="199">
        <f>PLANTILLA!H28</f>
        <v>0</v>
      </c>
      <c r="D29" s="200">
        <f>PLANTILLA!I28</f>
        <v>0</v>
      </c>
      <c r="E29" s="201">
        <f t="shared" si="1"/>
        <v>0</v>
      </c>
      <c r="F29" s="201">
        <f t="shared" si="2"/>
        <v>0.1</v>
      </c>
      <c r="G29" s="201">
        <f t="shared" si="3"/>
        <v>0</v>
      </c>
      <c r="H29" s="201">
        <f t="shared" si="4"/>
        <v>0.99</v>
      </c>
      <c r="I29" s="202">
        <f t="shared" si="5"/>
        <v>0</v>
      </c>
      <c r="J29" s="202">
        <f t="shared" si="6"/>
        <v>9.801E-2</v>
      </c>
    </row>
    <row r="30" spans="1:18" x14ac:dyDescent="0.25">
      <c r="A30" s="198">
        <f>PLANTILLA!D29</f>
        <v>0</v>
      </c>
      <c r="B30" s="199">
        <f>PLANTILLA!E29</f>
        <v>0</v>
      </c>
      <c r="C30" s="199">
        <f>PLANTILLA!H29</f>
        <v>0</v>
      </c>
      <c r="D30" s="200">
        <f>PLANTILLA!I29</f>
        <v>0</v>
      </c>
      <c r="E30" s="201">
        <f t="shared" si="1"/>
        <v>0</v>
      </c>
      <c r="F30" s="201">
        <f t="shared" si="2"/>
        <v>0.1</v>
      </c>
      <c r="G30" s="201">
        <f t="shared" si="3"/>
        <v>0</v>
      </c>
      <c r="H30" s="201">
        <f t="shared" si="4"/>
        <v>0.99</v>
      </c>
      <c r="I30" s="202">
        <f t="shared" si="5"/>
        <v>0</v>
      </c>
      <c r="J30" s="202">
        <f t="shared" si="6"/>
        <v>9.801E-2</v>
      </c>
    </row>
    <row r="31" spans="1:18" x14ac:dyDescent="0.25">
      <c r="A31" s="198">
        <f>PLANTILLA!D30</f>
        <v>0</v>
      </c>
      <c r="B31" s="199">
        <f>PLANTILLA!E30</f>
        <v>0</v>
      </c>
      <c r="C31" s="199">
        <f>PLANTILLA!H30</f>
        <v>0</v>
      </c>
      <c r="D31" s="200">
        <f>PLANTILLA!I30</f>
        <v>0</v>
      </c>
      <c r="E31" s="201">
        <f t="shared" si="1"/>
        <v>0</v>
      </c>
      <c r="F31" s="201">
        <f t="shared" si="2"/>
        <v>0.1</v>
      </c>
      <c r="G31" s="201">
        <f t="shared" si="3"/>
        <v>0</v>
      </c>
      <c r="H31" s="201">
        <f t="shared" si="4"/>
        <v>0.99</v>
      </c>
      <c r="I31" s="202">
        <f t="shared" si="5"/>
        <v>0</v>
      </c>
      <c r="J31" s="202">
        <f t="shared" si="6"/>
        <v>9.801E-2</v>
      </c>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3">
    <tabColor rgb="FF00B0F0"/>
  </sheetPr>
  <dimension ref="A1:CE28"/>
  <sheetViews>
    <sheetView workbookViewId="0">
      <pane xSplit="9" ySplit="2" topLeftCell="J3" activePane="bottomRight" state="frozen"/>
      <selection pane="topRight" activeCell="J1" sqref="J1"/>
      <selection pane="bottomLeft" activeCell="A3" sqref="A3"/>
      <selection pane="bottomRight" activeCell="A18" sqref="A18"/>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70</v>
      </c>
      <c r="Z1" t="s">
        <v>71</v>
      </c>
      <c r="AD1" t="s">
        <v>72</v>
      </c>
      <c r="AH1" t="s">
        <v>73</v>
      </c>
      <c r="AL1" t="s">
        <v>74</v>
      </c>
      <c r="AP1" t="s">
        <v>75</v>
      </c>
      <c r="AW1" t="s">
        <v>76</v>
      </c>
      <c r="BD1" t="s">
        <v>47</v>
      </c>
      <c r="BI1" t="s">
        <v>77</v>
      </c>
      <c r="BN1" t="s">
        <v>78</v>
      </c>
      <c r="BS1" t="s">
        <v>79</v>
      </c>
      <c r="BX1" t="s">
        <v>80</v>
      </c>
      <c r="CB1" t="s">
        <v>43</v>
      </c>
    </row>
    <row r="2" spans="1:83" x14ac:dyDescent="0.25">
      <c r="A2" s="41" t="s">
        <v>3</v>
      </c>
      <c r="B2" s="41" t="s">
        <v>81</v>
      </c>
      <c r="C2" s="41" t="s">
        <v>5</v>
      </c>
      <c r="D2" s="107" t="s">
        <v>82</v>
      </c>
      <c r="E2" s="41" t="s">
        <v>83</v>
      </c>
      <c r="F2" s="49" t="s">
        <v>84</v>
      </c>
      <c r="G2" s="49" t="s">
        <v>96</v>
      </c>
      <c r="H2" s="49" t="s">
        <v>97</v>
      </c>
      <c r="I2" s="50" t="s">
        <v>98</v>
      </c>
      <c r="J2" s="42" t="s">
        <v>85</v>
      </c>
      <c r="K2" s="42" t="s">
        <v>27</v>
      </c>
      <c r="L2" s="42" t="s">
        <v>29</v>
      </c>
      <c r="M2" s="42" t="s">
        <v>86</v>
      </c>
      <c r="N2" s="42" t="s">
        <v>69</v>
      </c>
      <c r="O2" s="42" t="s">
        <v>87</v>
      </c>
      <c r="P2" s="42" t="s">
        <v>88</v>
      </c>
      <c r="Q2" s="42" t="s">
        <v>46</v>
      </c>
      <c r="R2" s="43" t="s">
        <v>21</v>
      </c>
      <c r="S2" s="43" t="s">
        <v>89</v>
      </c>
      <c r="T2" s="43" t="s">
        <v>90</v>
      </c>
      <c r="U2" s="43" t="s">
        <v>25</v>
      </c>
      <c r="V2" s="43" t="s">
        <v>26</v>
      </c>
      <c r="W2" s="44" t="s">
        <v>91</v>
      </c>
      <c r="X2" s="44" t="s">
        <v>92</v>
      </c>
      <c r="Y2" s="44" t="s">
        <v>91</v>
      </c>
      <c r="Z2" s="45" t="s">
        <v>91</v>
      </c>
      <c r="AA2" s="45" t="s">
        <v>92</v>
      </c>
      <c r="AB2" s="45" t="s">
        <v>91</v>
      </c>
      <c r="AC2" s="45" t="s">
        <v>93</v>
      </c>
      <c r="AD2" s="45" t="s">
        <v>91</v>
      </c>
      <c r="AE2" s="45" t="s">
        <v>92</v>
      </c>
      <c r="AF2" s="45" t="s">
        <v>91</v>
      </c>
      <c r="AG2" s="45" t="s">
        <v>93</v>
      </c>
      <c r="AH2" s="44" t="s">
        <v>91</v>
      </c>
      <c r="AI2" s="44" t="s">
        <v>92</v>
      </c>
      <c r="AJ2" s="44" t="s">
        <v>93</v>
      </c>
      <c r="AK2" s="44" t="s">
        <v>94</v>
      </c>
      <c r="AL2" s="44" t="s">
        <v>91</v>
      </c>
      <c r="AM2" s="44" t="s">
        <v>92</v>
      </c>
      <c r="AN2" s="44" t="s">
        <v>93</v>
      </c>
      <c r="AO2" s="44" t="s">
        <v>94</v>
      </c>
      <c r="AP2" s="44" t="s">
        <v>91</v>
      </c>
      <c r="AQ2" s="44" t="s">
        <v>92</v>
      </c>
      <c r="AR2" s="44" t="s">
        <v>91</v>
      </c>
      <c r="AS2" s="44" t="s">
        <v>93</v>
      </c>
      <c r="AT2" s="44" t="s">
        <v>94</v>
      </c>
      <c r="AU2" s="44" t="s">
        <v>95</v>
      </c>
      <c r="AV2" s="44" t="s">
        <v>94</v>
      </c>
      <c r="AW2" s="44" t="s">
        <v>91</v>
      </c>
      <c r="AX2" s="44" t="s">
        <v>92</v>
      </c>
      <c r="AY2" s="44" t="s">
        <v>91</v>
      </c>
      <c r="AZ2" s="44" t="s">
        <v>93</v>
      </c>
      <c r="BA2" s="44" t="s">
        <v>94</v>
      </c>
      <c r="BB2" s="44" t="s">
        <v>95</v>
      </c>
      <c r="BC2" s="44" t="s">
        <v>94</v>
      </c>
      <c r="BD2" s="45" t="s">
        <v>91</v>
      </c>
      <c r="BE2" s="45" t="s">
        <v>92</v>
      </c>
      <c r="BF2" s="45" t="s">
        <v>93</v>
      </c>
      <c r="BG2" s="45" t="s">
        <v>94</v>
      </c>
      <c r="BH2" s="45" t="s">
        <v>95</v>
      </c>
      <c r="BI2" s="45" t="s">
        <v>91</v>
      </c>
      <c r="BJ2" s="45" t="s">
        <v>92</v>
      </c>
      <c r="BK2" s="45" t="s">
        <v>93</v>
      </c>
      <c r="BL2" s="45" t="s">
        <v>94</v>
      </c>
      <c r="BM2" s="45" t="s">
        <v>95</v>
      </c>
      <c r="BN2" s="44" t="s">
        <v>91</v>
      </c>
      <c r="BO2" s="44" t="s">
        <v>92</v>
      </c>
      <c r="BP2" s="44" t="s">
        <v>93</v>
      </c>
      <c r="BQ2" s="44" t="s">
        <v>94</v>
      </c>
      <c r="BR2" s="44" t="s">
        <v>95</v>
      </c>
      <c r="BS2" s="44" t="s">
        <v>91</v>
      </c>
      <c r="BT2" s="44" t="s">
        <v>92</v>
      </c>
      <c r="BU2" s="44" t="s">
        <v>93</v>
      </c>
      <c r="BV2" s="44" t="s">
        <v>94</v>
      </c>
      <c r="BW2" s="44" t="s">
        <v>95</v>
      </c>
      <c r="BX2" s="45" t="s">
        <v>93</v>
      </c>
      <c r="BY2" s="45" t="s">
        <v>94</v>
      </c>
      <c r="BZ2" s="45" t="s">
        <v>95</v>
      </c>
      <c r="CA2" s="45" t="s">
        <v>94</v>
      </c>
      <c r="CB2" s="44" t="s">
        <v>94</v>
      </c>
      <c r="CC2" s="44" t="s">
        <v>95</v>
      </c>
      <c r="CD2" s="44" t="s">
        <v>94</v>
      </c>
      <c r="CE2" s="44" t="s">
        <v>93</v>
      </c>
    </row>
    <row r="3" spans="1:83" x14ac:dyDescent="0.25">
      <c r="A3" t="str">
        <f>PLANTILLA!D5</f>
        <v>Nicolae Hornet</v>
      </c>
      <c r="B3">
        <f>PLANTILLA!E5</f>
        <v>22</v>
      </c>
      <c r="C3" s="33">
        <f ca="1">PLANTILLA!F5</f>
        <v>71</v>
      </c>
      <c r="D3" s="216"/>
      <c r="E3" s="30">
        <f>PLANTILLA!M5</f>
        <v>43190</v>
      </c>
      <c r="F3" s="47">
        <f>PLANTILLA!Q5</f>
        <v>6</v>
      </c>
      <c r="G3" s="48">
        <f t="shared" ref="G3:G4" si="0">(F3/7)^0.5</f>
        <v>0.92582009977255142</v>
      </c>
      <c r="H3" s="48">
        <f t="shared" ref="H3:H4" si="1">IF(F3=7,1,((F3+0.99)/7)^0.5)</f>
        <v>0.99928545900129484</v>
      </c>
      <c r="I3" s="51">
        <f t="shared" ref="I3" ca="1" si="2">IF(TODAY()-E3&gt;335,1,((TODAY()-E3)^0.5)/336^0.5)</f>
        <v>1</v>
      </c>
      <c r="J3" s="39">
        <f>PLANTILLA!I5</f>
        <v>1.4</v>
      </c>
      <c r="K3" s="46">
        <f>PLANTILLA!X5</f>
        <v>6</v>
      </c>
      <c r="L3" s="46">
        <f>PLANTILLA!Y5</f>
        <v>4</v>
      </c>
      <c r="M3" s="46">
        <f>PLANTILLA!Z5</f>
        <v>0</v>
      </c>
      <c r="N3" s="46">
        <f>PLANTILLA!AA5</f>
        <v>3</v>
      </c>
      <c r="O3" s="46">
        <f>PLANTILLA!AB5</f>
        <v>0</v>
      </c>
      <c r="P3" s="46">
        <f>PLANTILLA!AC5</f>
        <v>1</v>
      </c>
      <c r="Q3" s="46">
        <f>PLANTILLA!AD5</f>
        <v>1</v>
      </c>
      <c r="R3" s="46">
        <f t="shared" ref="R3:R4" si="3">((2*(O3+1))+(L3+1))/8</f>
        <v>0.875</v>
      </c>
      <c r="S3" s="46">
        <f t="shared" ref="S3:S4" si="4">(0.5*P3+ 0.3*Q3)/10</f>
        <v>0.08</v>
      </c>
      <c r="T3" s="46">
        <f t="shared" ref="T3:T4" si="5">(0.4*L3+0.3*Q3)/10</f>
        <v>0.19</v>
      </c>
      <c r="U3" s="46">
        <f t="shared" ref="U3:U4" ca="1" si="6">(Q3+I3+(LOG(J3)*4/3))*(F3/7)^0.5</f>
        <v>2.0320245629733606</v>
      </c>
      <c r="V3" s="46">
        <f t="shared" ref="V3:V4" ca="1" si="7">IF(F3=7,U3,(Q3+I3+(LOG(J3)*4/3))*((F3+0.99)/7)^0.5)</f>
        <v>2.1932690796101708</v>
      </c>
      <c r="W3" s="37">
        <f t="shared" ref="W3:W4" ca="1" si="8">((K3+I3+(LOG(J3)*4/3))*0.597)+((L3+I3+(LOG(J3)*4/3))*0.276)</f>
        <v>5.7290930335294696</v>
      </c>
      <c r="X3" s="37">
        <f t="shared" ref="X3:X4" ca="1" si="9">((K3+I3+(LOG(J3)*4/3))*0.866)+((L3+I3+(LOG(J3)*4/3))*0.425)</f>
        <v>8.4385350587474743</v>
      </c>
      <c r="Y3" s="37">
        <f t="shared" ref="Y3:Y4" ca="1" si="10">W3</f>
        <v>5.7290930335294696</v>
      </c>
      <c r="Z3" s="37">
        <f ca="1">((L3+I3+(LOG(J3)*4/3))*0.516)</f>
        <v>2.6805360885466278</v>
      </c>
      <c r="AA3" s="37">
        <f ca="1">((L3+I3+(LOG(J3)*4/3))*1)</f>
        <v>5.1948373809043176</v>
      </c>
      <c r="AB3" s="37">
        <f t="shared" ref="AB3:AB4" ca="1" si="11">Z3/2</f>
        <v>1.3402680442733139</v>
      </c>
      <c r="AC3" s="37">
        <f ca="1">((M3+I3+(LOG(J3)*4/3))*0.238)</f>
        <v>0.28437129665522753</v>
      </c>
      <c r="AD3" s="37">
        <f ca="1">((L3+I3+(LOG(J3)*4/3))*0.378)</f>
        <v>1.963648529981832</v>
      </c>
      <c r="AE3" s="37">
        <f ca="1">((L3+I3+(LOG(J3)*4/3))*0.723)</f>
        <v>3.7558674263938214</v>
      </c>
      <c r="AF3" s="37">
        <f t="shared" ref="AF3:AF4" ca="1" si="12">AD3/2</f>
        <v>0.98182426499091602</v>
      </c>
      <c r="AG3" s="37">
        <f ca="1">((M3+I3+(LOG(J3)*4/3))*0.385)</f>
        <v>0.46001239164816221</v>
      </c>
      <c r="AH3" s="37">
        <f ca="1">((L3+I3+(LOG(J3)*4/3))*0.92)</f>
        <v>4.7792503904319723</v>
      </c>
      <c r="AI3" s="37">
        <f ca="1">((L3+I3+(LOG(J3)*4/3))*0.414)</f>
        <v>2.1506626756943872</v>
      </c>
      <c r="AJ3" s="37">
        <f ca="1">((M3+I3+(LOG(J3)*4/3))*0.167)</f>
        <v>0.199537842611021</v>
      </c>
      <c r="AK3" s="37">
        <f ca="1">((N3+I3+(LOG(J3)*4/3))*0.588)</f>
        <v>2.4665643799717385</v>
      </c>
      <c r="AL3" s="37">
        <f ca="1">((L3+I3+(LOG(J3)*4/3))*0.754)</f>
        <v>3.9169073852018554</v>
      </c>
      <c r="AM3" s="37">
        <f ca="1">((L3+I3+(LOG(J3)*4/3))*0.708)</f>
        <v>3.6779448656802565</v>
      </c>
      <c r="AN3" s="37">
        <f ca="1">((Q3+I3+(LOG(J3)*4/3))*0.167)</f>
        <v>0.36653784261102107</v>
      </c>
      <c r="AO3" s="37">
        <f ca="1">((R3+I3+(LOG(J3)*4/3))*0.288)</f>
        <v>0.59611316570044337</v>
      </c>
      <c r="AP3" s="37">
        <f ca="1">((L3+I3+(LOG(J3)*4/3))*0.27)</f>
        <v>1.4026060928441659</v>
      </c>
      <c r="AQ3" s="37">
        <f ca="1">((L3+I3+(LOG(J3)*4/3))*0.594)</f>
        <v>3.0857334042571645</v>
      </c>
      <c r="AR3" s="37">
        <f t="shared" ref="AR3:AR4" ca="1" si="13">AP3/2</f>
        <v>0.70130304642208297</v>
      </c>
      <c r="AS3" s="37">
        <f ca="1">((M3+I3+(LOG(J3)*4/3))*0.944)</f>
        <v>1.1279264875736754</v>
      </c>
      <c r="AT3" s="37">
        <f ca="1">((O3+I3+(LOG(J3)*4/3))*0.13)</f>
        <v>0.15532885951756126</v>
      </c>
      <c r="AU3" s="37">
        <f ca="1">((P3+I3+(LOG(J3)*4/3))*0.173)+((O3+I3+(LOG(J3)*4/3))*0.12)</f>
        <v>0.52308735260496497</v>
      </c>
      <c r="AV3" s="37">
        <f t="shared" ref="AV3:AV4" ca="1" si="14">AT3/2</f>
        <v>7.7664429758780629E-2</v>
      </c>
      <c r="AW3" s="37">
        <f ca="1">((L3+I3+(LOG(J3)*4/3))*0.189)</f>
        <v>0.98182426499091602</v>
      </c>
      <c r="AX3" s="37">
        <f ca="1">((L3+I3+(LOG(J3)*4/3))*0.4)</f>
        <v>2.0779349523617272</v>
      </c>
      <c r="AY3" s="37">
        <f t="shared" ref="AY3:AY4" ca="1" si="15">AW3/2</f>
        <v>0.49091213249545801</v>
      </c>
      <c r="AZ3" s="37">
        <f ca="1">((M3+I3+(LOG(J3)*4/3))*1)</f>
        <v>1.1948373809043173</v>
      </c>
      <c r="BA3" s="37">
        <f ca="1">((O3+I3+(LOG(J3)*4/3))*0.253)</f>
        <v>0.30229385736879227</v>
      </c>
      <c r="BB3" s="37">
        <f ca="1">((P3+I3+(LOG(J3)*4/3))*0.21)+((O3+I3+(LOG(J3)*4/3))*0.341)</f>
        <v>0.8683553968782789</v>
      </c>
      <c r="BC3" s="37">
        <f t="shared" ref="BC3:BC4" ca="1" si="16">BA3/2</f>
        <v>0.15114692868439614</v>
      </c>
      <c r="BD3" s="37">
        <f ca="1">((L3+I3+(LOG(J3)*4/3))*0.291)</f>
        <v>1.5116976778431563</v>
      </c>
      <c r="BE3" s="37">
        <f ca="1">((L3+I3+(LOG(J3)*4/3))*0.348)</f>
        <v>1.8078034085547023</v>
      </c>
      <c r="BF3" s="37">
        <f ca="1">((M3+I3+(LOG(J3)*4/3))*0.881)</f>
        <v>1.0526517325767035</v>
      </c>
      <c r="BG3" s="37">
        <f ca="1">((N3+I3+(LOG(J3)*4/3))*0.574)+((O3+I3+(LOG(J3)*4/3))*0.315)</f>
        <v>2.7842104316239382</v>
      </c>
      <c r="BH3" s="37">
        <f ca="1">((O3+I3+(LOG(J3)*4/3))*0.241)</f>
        <v>0.28795580879794047</v>
      </c>
      <c r="BI3" s="37">
        <f ca="1">((L3+I3+(LOG(J3)*4/3))*0.485)</f>
        <v>2.5194961297385938</v>
      </c>
      <c r="BJ3" s="37">
        <f ca="1">((L3+I3+(LOG(J3)*4/3))*0.264)</f>
        <v>1.3714370685587398</v>
      </c>
      <c r="BK3" s="37">
        <f ca="1">((M3+I3+(LOG(J3)*4/3))*0.381)</f>
        <v>0.45523304212454491</v>
      </c>
      <c r="BL3" s="37">
        <f ca="1">((N3+I3+(LOG(J3)*4/3))*0.673)+((O3+I3+(LOG(J3)*4/3))*0.201)</f>
        <v>3.0632878709103739</v>
      </c>
      <c r="BM3" s="37">
        <f ca="1">((O3+I3+(LOG(J3)*4/3))*0.052)</f>
        <v>6.21315438070245E-2</v>
      </c>
      <c r="BN3" s="37">
        <f ca="1">((L3+I3+(LOG(J3)*4/3))*0.18)</f>
        <v>0.93507072856277718</v>
      </c>
      <c r="BO3" s="37">
        <f ca="1">((L3+I3+(LOG(J3)*4/3))*0.068)</f>
        <v>0.35324894190149364</v>
      </c>
      <c r="BP3" s="37">
        <f ca="1">((M3+I3+(LOG(J3)*4/3))*0.305)</f>
        <v>0.36442540117581679</v>
      </c>
      <c r="BQ3" s="37">
        <f ca="1">((N3+I3+(LOG(J3)*4/3))*1)+((O3+I3+(LOG(J3)*4/3))*0.286)</f>
        <v>4.5365608718429522</v>
      </c>
      <c r="BR3" s="37">
        <f ca="1">((O3+I3+(LOG(J3)*4/3))*0.135)</f>
        <v>0.16130304642208285</v>
      </c>
      <c r="BS3" s="37">
        <f ca="1">((L3+I3+(LOG(J3)*4/3))*0.284)</f>
        <v>1.4753338161768261</v>
      </c>
      <c r="BT3" s="37">
        <f ca="1">((L3+I3+(LOG(J3)*4/3))*0.244)</f>
        <v>1.2675403209406535</v>
      </c>
      <c r="BU3" s="37">
        <f ca="1">((M3+I3+(LOG(J3)*4/3))*0.631)</f>
        <v>0.75394238735062424</v>
      </c>
      <c r="BV3" s="37">
        <f ca="1">((N3+I3+(LOG(J3)*4/3))*0.702)+((O3+I3+(LOG(J3)*4/3))*0.193)</f>
        <v>3.175379455909364</v>
      </c>
      <c r="BW3" s="37">
        <f ca="1">((O3+I3+(LOG(J3)*4/3))*0.148)</f>
        <v>0.17683593237383896</v>
      </c>
      <c r="BX3" s="37">
        <f ca="1">((M3+I3+(LOG(J3)*4/3))*0.406)</f>
        <v>0.48510397664715288</v>
      </c>
      <c r="BY3" s="37">
        <f ca="1">IF(D3="TEC",((N3+I3+(LOG(J3)*4/3))*0.15)+((O3+I3+(LOG(J3)*4/3))*0.324)+((P3+I3+(LOG(J3)*4/3))*0.127),((N3+I3+(LOG(J3)*4/3))*0.144)+((O3+I3+(LOG(J3)*4/3))*0.25)+((P3+I3+(LOG(J3)*4/3))*0.127))</f>
        <v>1.1815102754511493</v>
      </c>
      <c r="BZ3" s="37">
        <f ca="1">IF(D3="TEC",((O3+I3+(LOG(J3)*4/3))*0.543)+((P3+I3+(LOG(J3)*4/3))*0.583),((O3+I3+(LOG(J3)*4/3))*0.543)+((P3+I3+(LOG(J3)*4/3))*0.583))</f>
        <v>1.9283868908982615</v>
      </c>
      <c r="CA3" s="37">
        <f t="shared" ref="CA3:CA4" ca="1" si="17">BY3</f>
        <v>1.1815102754511493</v>
      </c>
      <c r="CB3" s="37">
        <f ca="1">((P3+I3+(LOG(J3)*4/3))*0.26)+((N3+I3+(LOG(J3)*4/3))*0.221)+((O3+I3+(LOG(J3)*4/3))*0.142)</f>
        <v>1.6673836883033897</v>
      </c>
      <c r="CC3" s="37">
        <f ca="1">((P3+I3+(LOG(J3)*4/3))*1)+((O3+I3+(LOG(J3)*4/3))*0.369)</f>
        <v>2.6357323744580108</v>
      </c>
      <c r="CD3" s="37">
        <f t="shared" ref="CD3:CD4" ca="1" si="18">CB3</f>
        <v>1.6673836883033897</v>
      </c>
      <c r="CE3" s="37">
        <f ca="1">((M3+I3+(LOG(J3)*4/3))*0.25)</f>
        <v>0.29870934522607934</v>
      </c>
    </row>
    <row r="4" spans="1:83" x14ac:dyDescent="0.25">
      <c r="A4" t="str">
        <f>PLANTILLA!D4</f>
        <v>Cosme Fonteboa</v>
      </c>
      <c r="B4">
        <f>PLANTILLA!E4</f>
        <v>22</v>
      </c>
      <c r="C4" s="33">
        <f ca="1">PLANTILLA!F4</f>
        <v>46</v>
      </c>
      <c r="D4" s="216"/>
      <c r="E4" s="30">
        <f>PLANTILLA!M4</f>
        <v>43415</v>
      </c>
      <c r="F4" s="47">
        <f>PLANTILLA!Q4</f>
        <v>4</v>
      </c>
      <c r="G4" s="48">
        <f t="shared" si="0"/>
        <v>0.7559289460184544</v>
      </c>
      <c r="H4" s="48">
        <f t="shared" si="1"/>
        <v>0.84430867747355465</v>
      </c>
      <c r="I4" s="217">
        <v>1.5</v>
      </c>
      <c r="J4" s="39">
        <f>PLANTILLA!I4</f>
        <v>4.5999999999999996</v>
      </c>
      <c r="K4" s="46">
        <f>PLANTILLA!X4</f>
        <v>15</v>
      </c>
      <c r="L4" s="46">
        <f>PLANTILLA!Y4</f>
        <v>10.285714285714286</v>
      </c>
      <c r="M4" s="46">
        <f>PLANTILLA!Z4</f>
        <v>0</v>
      </c>
      <c r="N4" s="46">
        <f>PLANTILLA!AA4</f>
        <v>0</v>
      </c>
      <c r="O4" s="46">
        <f>PLANTILLA!AB4</f>
        <v>0</v>
      </c>
      <c r="P4" s="46">
        <f>PLANTILLA!AC4</f>
        <v>1</v>
      </c>
      <c r="Q4" s="46">
        <f>PLANTILLA!AD4</f>
        <v>1</v>
      </c>
      <c r="R4" s="46">
        <f t="shared" si="3"/>
        <v>1.6607142857142858</v>
      </c>
      <c r="S4" s="46">
        <f t="shared" si="4"/>
        <v>0.08</v>
      </c>
      <c r="T4" s="46">
        <f t="shared" si="5"/>
        <v>0.44142857142857145</v>
      </c>
      <c r="U4" s="46">
        <f t="shared" si="6"/>
        <v>2.5578194706041741</v>
      </c>
      <c r="V4" s="46">
        <f t="shared" si="7"/>
        <v>2.8568679448203009</v>
      </c>
      <c r="W4" s="37">
        <f t="shared" si="8"/>
        <v>13.874807258934496</v>
      </c>
      <c r="X4" s="37">
        <f t="shared" si="9"/>
        <v>20.438755719029789</v>
      </c>
      <c r="Y4" s="37">
        <f t="shared" si="10"/>
        <v>13.874807258934496</v>
      </c>
      <c r="Z4" s="37">
        <f t="shared" ref="Z4:Z18" si="19">((L4+I4+(LOG(J4)*4/3))*0.516)</f>
        <v>6.5374059596254952</v>
      </c>
      <c r="AA4" s="37">
        <f t="shared" ref="AA4:AA18" si="20">((L4+I4+(LOG(J4)*4/3))*1)</f>
        <v>12.669391394623052</v>
      </c>
      <c r="AB4" s="37">
        <f t="shared" si="11"/>
        <v>3.2687029798127476</v>
      </c>
      <c r="AC4" s="37">
        <f t="shared" ref="AC4:AC18" si="21">((M4+I4+(LOG(J4)*4/3))*0.238)</f>
        <v>0.56731515192028614</v>
      </c>
      <c r="AD4" s="37">
        <f t="shared" ref="AD4:AD18" si="22">((L4+I4+(LOG(J4)*4/3))*0.378)</f>
        <v>4.7890299471675135</v>
      </c>
      <c r="AE4" s="37">
        <f t="shared" ref="AE4:AE18" si="23">((L4+I4+(LOG(J4)*4/3))*0.723)</f>
        <v>9.159969978312466</v>
      </c>
      <c r="AF4" s="37">
        <f t="shared" si="12"/>
        <v>2.3945149735837568</v>
      </c>
      <c r="AG4" s="37">
        <f t="shared" ref="AG4:AG18" si="24">((M4+I4+(LOG(J4)*4/3))*0.385)</f>
        <v>0.91771568692987482</v>
      </c>
      <c r="AH4" s="37">
        <f t="shared" ref="AH4:AH18" si="25">((L4+I4+(LOG(J4)*4/3))*0.92)</f>
        <v>11.655840083053208</v>
      </c>
      <c r="AI4" s="37">
        <f t="shared" ref="AI4:AI18" si="26">((L4+I4+(LOG(J4)*4/3))*0.414)</f>
        <v>5.2451280373739433</v>
      </c>
      <c r="AJ4" s="37">
        <f t="shared" ref="AJ4:AJ18" si="27">((M4+I4+(LOG(J4)*4/3))*0.167)</f>
        <v>0.39807407718776389</v>
      </c>
      <c r="AK4" s="37">
        <f t="shared" ref="AK4:AK18" si="28">((N4+I4+(LOG(J4)*4/3))*0.588)</f>
        <v>1.401602140038354</v>
      </c>
      <c r="AL4" s="37">
        <f t="shared" ref="AL4:AL18" si="29">((L4+I4+(LOG(J4)*4/3))*0.754)</f>
        <v>9.5527211115457806</v>
      </c>
      <c r="AM4" s="37">
        <f t="shared" ref="AM4:AM18" si="30">((L4+I4+(LOG(J4)*4/3))*0.708)</f>
        <v>8.9699291073931207</v>
      </c>
      <c r="AN4" s="37">
        <f t="shared" ref="AN4:AN18" si="31">((Q4+I4+(LOG(J4)*4/3))*0.167)</f>
        <v>0.56507407718776392</v>
      </c>
      <c r="AO4" s="37">
        <f t="shared" ref="AO4:AO18" si="32">((R4+I4+(LOG(J4)*4/3))*0.288)</f>
        <v>1.1647847216514384</v>
      </c>
      <c r="AP4" s="37">
        <f t="shared" ref="AP4:AP18" si="33">((L4+I4+(LOG(J4)*4/3))*0.27)</f>
        <v>3.4207356765482242</v>
      </c>
      <c r="AQ4" s="37">
        <f t="shared" ref="AQ4:AQ18" si="34">((L4+I4+(LOG(J4)*4/3))*0.594)</f>
        <v>7.5256184884060922</v>
      </c>
      <c r="AR4" s="37">
        <f t="shared" si="13"/>
        <v>1.7103678382741121</v>
      </c>
      <c r="AS4" s="37">
        <f t="shared" ref="AS4:AS18" si="35">((M4+I4+(LOG(J4)*4/3))*0.944)</f>
        <v>2.2501911908098746</v>
      </c>
      <c r="AT4" s="37">
        <f t="shared" ref="AT4:AT18" si="36">((O4+I4+(LOG(J4)*4/3))*0.13)</f>
        <v>0.30987802415813953</v>
      </c>
      <c r="AU4" s="37">
        <f t="shared" ref="AU4:AU18" si="37">((P4+I4+(LOG(J4)*4/3))*0.173)+((O4+I4+(LOG(J4)*4/3))*0.12)</f>
        <v>0.87141739291026821</v>
      </c>
      <c r="AV4" s="37">
        <f t="shared" si="14"/>
        <v>0.15493901207906977</v>
      </c>
      <c r="AW4" s="37">
        <f t="shared" ref="AW4:AW18" si="38">((L4+I4+(LOG(J4)*4/3))*0.189)</f>
        <v>2.3945149735837568</v>
      </c>
      <c r="AX4" s="37">
        <f t="shared" ref="AX4:AX18" si="39">((L4+I4+(LOG(J4)*4/3))*0.4)</f>
        <v>5.0677565578492212</v>
      </c>
      <c r="AY4" s="37">
        <f t="shared" si="15"/>
        <v>1.1972574867918784</v>
      </c>
      <c r="AZ4" s="37">
        <f t="shared" ref="AZ4:AZ18" si="40">((M4+I4+(LOG(J4)*4/3))*1)</f>
        <v>2.3836771089087656</v>
      </c>
      <c r="BA4" s="37">
        <f t="shared" ref="BA4:BA18" si="41">((O4+I4+(LOG(J4)*4/3))*0.253)</f>
        <v>0.60307030855391774</v>
      </c>
      <c r="BB4" s="37">
        <f t="shared" ref="BB4:BB18" si="42">((P4+I4+(LOG(J4)*4/3))*0.21)+((O4+I4+(LOG(J4)*4/3))*0.341)</f>
        <v>1.5234060870087298</v>
      </c>
      <c r="BC4" s="37">
        <f t="shared" si="16"/>
        <v>0.30153515427695887</v>
      </c>
      <c r="BD4" s="37">
        <f t="shared" ref="BD4:BD18" si="43">((L4+I4+(LOG(J4)*4/3))*0.291)</f>
        <v>3.6867928958353078</v>
      </c>
      <c r="BE4" s="37">
        <f t="shared" ref="BE4:BE18" si="44">((L4+I4+(LOG(J4)*4/3))*0.348)</f>
        <v>4.408948205328822</v>
      </c>
      <c r="BF4" s="37">
        <f t="shared" ref="BF4:BF18" si="45">((M4+I4+(LOG(J4)*4/3))*0.881)</f>
        <v>2.1000195329486226</v>
      </c>
      <c r="BG4" s="37">
        <f t="shared" ref="BG4:BG18" si="46">((N4+I4+(LOG(J4)*4/3))*0.574)+((O4+I4+(LOG(J4)*4/3))*0.315)</f>
        <v>2.1190889498198926</v>
      </c>
      <c r="BH4" s="37">
        <f t="shared" ref="BH4:BH18" si="47">((O4+I4+(LOG(J4)*4/3))*0.241)</f>
        <v>0.57446618324701249</v>
      </c>
      <c r="BI4" s="37">
        <f t="shared" ref="BI4:BI18" si="48">((L4+I4+(LOG(J4)*4/3))*0.485)</f>
        <v>6.1446548263921796</v>
      </c>
      <c r="BJ4" s="37">
        <f t="shared" ref="BJ4:BJ18" si="49">((L4+I4+(LOG(J4)*4/3))*0.264)</f>
        <v>3.3447193281804859</v>
      </c>
      <c r="BK4" s="37">
        <f t="shared" ref="BK4:BK18" si="50">((M4+I4+(LOG(J4)*4/3))*0.381)</f>
        <v>0.90818097849423973</v>
      </c>
      <c r="BL4" s="37">
        <f t="shared" ref="BL4:BL18" si="51">((N4+I4+(LOG(J4)*4/3))*0.673)+((O4+I4+(LOG(J4)*4/3))*0.201)</f>
        <v>2.0833337931862612</v>
      </c>
      <c r="BM4" s="37">
        <f t="shared" ref="BM4:BM18" si="52">((O4+I4+(LOG(J4)*4/3))*0.052)</f>
        <v>0.1239512096632558</v>
      </c>
      <c r="BN4" s="37">
        <f t="shared" ref="BN4:BN18" si="53">((L4+I4+(LOG(J4)*4/3))*0.18)</f>
        <v>2.2804904510321493</v>
      </c>
      <c r="BO4" s="37">
        <f t="shared" ref="BO4:BO18" si="54">((L4+I4+(LOG(J4)*4/3))*0.068)</f>
        <v>0.86151861483436754</v>
      </c>
      <c r="BP4" s="37">
        <f t="shared" ref="BP4:BP18" si="55">((M4+I4+(LOG(J4)*4/3))*0.305)</f>
        <v>0.72702151821717353</v>
      </c>
      <c r="BQ4" s="37">
        <f t="shared" ref="BQ4:BQ18" si="56">((N4+I4+(LOG(J4)*4/3))*1)+((O4+I4+(LOG(J4)*4/3))*0.286)</f>
        <v>3.0654087620566726</v>
      </c>
      <c r="BR4" s="37">
        <f t="shared" ref="BR4:BR18" si="57">((O4+I4+(LOG(J4)*4/3))*0.135)</f>
        <v>0.32179640970268336</v>
      </c>
      <c r="BS4" s="37">
        <f t="shared" ref="BS4:BS18" si="58">((L4+I4+(LOG(J4)*4/3))*0.284)</f>
        <v>3.5981071560729463</v>
      </c>
      <c r="BT4" s="37">
        <f t="shared" ref="BT4:BT18" si="59">((L4+I4+(LOG(J4)*4/3))*0.244)</f>
        <v>3.0913315002880246</v>
      </c>
      <c r="BU4" s="37">
        <f t="shared" ref="BU4:BU18" si="60">((M4+I4+(LOG(J4)*4/3))*0.631)</f>
        <v>1.5041002557214311</v>
      </c>
      <c r="BV4" s="37">
        <f t="shared" ref="BV4:BV18" si="61">((N4+I4+(LOG(J4)*4/3))*0.702)+((O4+I4+(LOG(J4)*4/3))*0.193)</f>
        <v>2.1333910124733451</v>
      </c>
      <c r="BW4" s="37">
        <f t="shared" ref="BW4:BW18" si="62">((O4+I4+(LOG(J4)*4/3))*0.148)</f>
        <v>0.35278421211849731</v>
      </c>
      <c r="BX4" s="37">
        <f t="shared" ref="BX4:BX18" si="63">((M4+I4+(LOG(J4)*4/3))*0.406)</f>
        <v>0.96777290621695888</v>
      </c>
      <c r="BY4" s="37">
        <f t="shared" ref="BY4:BY18" si="64">IF(D4="TEC",((N4+I4+(LOG(J4)*4/3))*0.15)+((O4+I4+(LOG(J4)*4/3))*0.324)+((P4+I4+(LOG(J4)*4/3))*0.127),((N4+I4+(LOG(J4)*4/3))*0.144)+((O4+I4+(LOG(J4)*4/3))*0.25)+((P4+I4+(LOG(J4)*4/3))*0.127))</f>
        <v>1.3688957737414669</v>
      </c>
      <c r="BZ4" s="37">
        <f t="shared" ref="BZ4:BZ18" si="65">IF(D4="TEC",((O4+I4+(LOG(J4)*4/3))*0.543)+((P4+I4+(LOG(J4)*4/3))*0.583),((O4+I4+(LOG(J4)*4/3))*0.543)+((P4+I4+(LOG(J4)*4/3))*0.583))</f>
        <v>3.2670204246312702</v>
      </c>
      <c r="CA4" s="37">
        <f t="shared" si="17"/>
        <v>1.3688957737414669</v>
      </c>
      <c r="CB4" s="37">
        <f t="shared" ref="CB4:CB18" si="66">((P4+I4+(LOG(J4)*4/3))*0.26)+((N4+I4+(LOG(J4)*4/3))*0.221)+((O4+I4+(LOG(J4)*4/3))*0.142)</f>
        <v>1.745030838850161</v>
      </c>
      <c r="CC4" s="37">
        <f t="shared" ref="CC4:CC18" si="67">((P4+I4+(LOG(J4)*4/3))*1)+((O4+I4+(LOG(J4)*4/3))*0.369)</f>
        <v>4.2632539620961003</v>
      </c>
      <c r="CD4" s="37">
        <f t="shared" si="18"/>
        <v>1.745030838850161</v>
      </c>
      <c r="CE4" s="37">
        <f t="shared" ref="CE4:CE18" si="68">((M4+I4+(LOG(J4)*4/3))*0.25)</f>
        <v>0.5959192772271914</v>
      </c>
    </row>
    <row r="5" spans="1:83" x14ac:dyDescent="0.25">
      <c r="A5" t="str">
        <f>PLANTILLA!D9</f>
        <v>Guillermo Pedrajas</v>
      </c>
      <c r="B5">
        <f>PLANTILLA!E9</f>
        <v>22</v>
      </c>
      <c r="C5" s="33">
        <f ca="1">PLANTILLA!F9</f>
        <v>59</v>
      </c>
      <c r="D5" s="208"/>
      <c r="E5" s="30">
        <f>PLANTILLA!M9</f>
        <v>43419</v>
      </c>
      <c r="F5" s="47">
        <f>PLANTILLA!Q9</f>
        <v>6</v>
      </c>
      <c r="G5" s="48">
        <f>(F5/7)^0.5</f>
        <v>0.92582009977255142</v>
      </c>
      <c r="H5" s="48">
        <f>IF(F5=7,1,((F5+0.99)/7)^0.5)</f>
        <v>0.99928545900129484</v>
      </c>
      <c r="I5" s="51">
        <f ca="1">IF(TODAY()-E5&gt;335,1,((TODAY()-E5)^0.5)/336^0.5)</f>
        <v>0.80178372573727319</v>
      </c>
      <c r="J5" s="39">
        <f>PLANTILLA!I9</f>
        <v>4.4000000000000004</v>
      </c>
      <c r="K5" s="46">
        <f>PLANTILLA!X9</f>
        <v>0</v>
      </c>
      <c r="L5" s="46">
        <f>PLANTILLA!Y9</f>
        <v>10.222222222222221</v>
      </c>
      <c r="M5" s="46">
        <f>PLANTILLA!Z9</f>
        <v>11</v>
      </c>
      <c r="N5" s="46">
        <f>PLANTILLA!AA9</f>
        <v>4</v>
      </c>
      <c r="O5" s="46">
        <f>PLANTILLA!AB9</f>
        <v>9</v>
      </c>
      <c r="P5" s="46">
        <f>PLANTILLA!AC9</f>
        <v>4</v>
      </c>
      <c r="Q5" s="46">
        <f>PLANTILLA!AD9</f>
        <v>1</v>
      </c>
      <c r="R5" s="46">
        <f t="shared" ref="R5" si="69">((2*(O5+1))+(L5+1))/8</f>
        <v>3.9027777777777777</v>
      </c>
      <c r="S5" s="46">
        <f t="shared" ref="S5" si="70">(0.5*P5+ 0.3*Q5)/10</f>
        <v>0.22999999999999998</v>
      </c>
      <c r="T5" s="46">
        <f t="shared" ref="T5" si="71">(0.4*L5+0.3*Q5)/10</f>
        <v>0.43888888888888883</v>
      </c>
      <c r="U5" s="46">
        <f ca="1">(Q5+I5+(LOG(J5)*4/3))*(F5/7)^0.5</f>
        <v>2.462422816921785</v>
      </c>
      <c r="V5" s="46">
        <f ca="1">IF(F5=7,U5,(Q5+I5+(LOG(J5)*4/3))*((F5+0.99)/7)^0.5)</f>
        <v>2.6578201482852495</v>
      </c>
      <c r="W5" s="37">
        <f ca="1">((K5+I5+(LOG(J5)*4/3))*0.597)+((L5+I5+(LOG(J5)*4/3))*0.276)</f>
        <v>4.2702694413318953</v>
      </c>
      <c r="X5" s="37">
        <f ca="1">((K5+I5+(LOG(J5)*4/3))*0.866)+((L5+I5+(LOG(J5)*4/3))*0.425)</f>
        <v>6.4871437748294882</v>
      </c>
      <c r="Y5" s="37">
        <f t="shared" ref="Y5" ca="1" si="72">W5</f>
        <v>4.2702694413318953</v>
      </c>
      <c r="Z5" s="37">
        <f t="shared" ca="1" si="19"/>
        <v>6.1310825105695965</v>
      </c>
      <c r="AA5" s="37">
        <f t="shared" ca="1" si="20"/>
        <v>11.881942849941078</v>
      </c>
      <c r="AB5" s="37">
        <f t="shared" ref="AB5" ca="1" si="73">Z5/2</f>
        <v>3.0655412552847983</v>
      </c>
      <c r="AC5" s="37">
        <f t="shared" ca="1" si="21"/>
        <v>3.0130135093970876</v>
      </c>
      <c r="AD5" s="37">
        <f t="shared" ca="1" si="22"/>
        <v>4.4913743972777276</v>
      </c>
      <c r="AE5" s="37">
        <f t="shared" ca="1" si="23"/>
        <v>8.590644680507399</v>
      </c>
      <c r="AF5" s="37">
        <f t="shared" ref="AF5" ca="1" si="74">AD5/2</f>
        <v>2.2456871986388638</v>
      </c>
      <c r="AG5" s="37">
        <f t="shared" ca="1" si="24"/>
        <v>4.8739924416717599</v>
      </c>
      <c r="AH5" s="37">
        <f t="shared" ca="1" si="25"/>
        <v>10.931387421945793</v>
      </c>
      <c r="AI5" s="37">
        <f t="shared" ca="1" si="26"/>
        <v>4.9191243398756059</v>
      </c>
      <c r="AJ5" s="37">
        <f t="shared" ca="1" si="27"/>
        <v>2.114173344829049</v>
      </c>
      <c r="AK5" s="37">
        <f t="shared" ca="1" si="28"/>
        <v>3.3279157290986876</v>
      </c>
      <c r="AL5" s="37">
        <f t="shared" ca="1" si="29"/>
        <v>8.9589849088555731</v>
      </c>
      <c r="AM5" s="37">
        <f t="shared" ca="1" si="30"/>
        <v>8.4124155377582834</v>
      </c>
      <c r="AN5" s="37">
        <f t="shared" ca="1" si="31"/>
        <v>0.44417334482904908</v>
      </c>
      <c r="AO5" s="37">
        <f t="shared" ca="1" si="32"/>
        <v>1.6019995407830305</v>
      </c>
      <c r="AP5" s="37">
        <f t="shared" ca="1" si="33"/>
        <v>3.2081245694840912</v>
      </c>
      <c r="AQ5" s="37">
        <f t="shared" ca="1" si="34"/>
        <v>7.0578740528650004</v>
      </c>
      <c r="AR5" s="37">
        <f t="shared" ref="AR5" ca="1" si="75">AP5/2</f>
        <v>1.6040622847420456</v>
      </c>
      <c r="AS5" s="37">
        <f t="shared" ca="1" si="35"/>
        <v>11.9507762725666</v>
      </c>
      <c r="AT5" s="37">
        <f t="shared" ca="1" si="36"/>
        <v>1.3857636816034513</v>
      </c>
      <c r="AU5" s="37">
        <f t="shared" ca="1" si="37"/>
        <v>2.2582981439216248</v>
      </c>
      <c r="AV5" s="37">
        <f t="shared" ref="AV5" ca="1" si="76">AT5/2</f>
        <v>0.69288184080172566</v>
      </c>
      <c r="AW5" s="37">
        <f t="shared" ca="1" si="38"/>
        <v>2.2456871986388638</v>
      </c>
      <c r="AX5" s="37">
        <f t="shared" ca="1" si="39"/>
        <v>4.7527771399764314</v>
      </c>
      <c r="AY5" s="37">
        <f t="shared" ref="AY5" ca="1" si="77">AW5/2</f>
        <v>1.1228435993194319</v>
      </c>
      <c r="AZ5" s="37">
        <f t="shared" ca="1" si="40"/>
        <v>12.659720627718857</v>
      </c>
      <c r="BA5" s="37">
        <f t="shared" ca="1" si="41"/>
        <v>2.6969093188128705</v>
      </c>
      <c r="BB5" s="37">
        <f t="shared" ca="1" si="42"/>
        <v>4.8235060658730902</v>
      </c>
      <c r="BC5" s="37">
        <f t="shared" ref="BC5" ca="1" si="78">BA5/2</f>
        <v>1.3484546594064353</v>
      </c>
      <c r="BD5" s="37">
        <f t="shared" ca="1" si="43"/>
        <v>3.4576453693328535</v>
      </c>
      <c r="BE5" s="37">
        <f t="shared" ca="1" si="44"/>
        <v>4.1349161117794946</v>
      </c>
      <c r="BF5" s="37">
        <f t="shared" ca="1" si="45"/>
        <v>11.153213873020313</v>
      </c>
      <c r="BG5" s="37">
        <f t="shared" ca="1" si="46"/>
        <v>6.6064916380420637</v>
      </c>
      <c r="BH5" s="37">
        <f t="shared" ca="1" si="47"/>
        <v>2.5689926712802444</v>
      </c>
      <c r="BI5" s="37">
        <f t="shared" ca="1" si="48"/>
        <v>5.7627422822214225</v>
      </c>
      <c r="BJ5" s="37">
        <f t="shared" ca="1" si="49"/>
        <v>3.1368329123844449</v>
      </c>
      <c r="BK5" s="37">
        <f t="shared" ca="1" si="50"/>
        <v>4.8233535591608847</v>
      </c>
      <c r="BL5" s="37">
        <f t="shared" ca="1" si="51"/>
        <v>5.9515958286262816</v>
      </c>
      <c r="BM5" s="37">
        <f t="shared" ca="1" si="52"/>
        <v>0.55430547264138053</v>
      </c>
      <c r="BN5" s="37">
        <f t="shared" ca="1" si="53"/>
        <v>2.138749712989394</v>
      </c>
      <c r="BO5" s="37">
        <f t="shared" ca="1" si="54"/>
        <v>0.80797211379599332</v>
      </c>
      <c r="BP5" s="37">
        <f t="shared" ca="1" si="55"/>
        <v>3.8612147914542509</v>
      </c>
      <c r="BQ5" s="37">
        <f t="shared" ca="1" si="56"/>
        <v>8.708400727246449</v>
      </c>
      <c r="BR5" s="37">
        <f t="shared" ca="1" si="57"/>
        <v>1.4390622847420458</v>
      </c>
      <c r="BS5" s="37">
        <f t="shared" ca="1" si="58"/>
        <v>3.3744717693832658</v>
      </c>
      <c r="BT5" s="37">
        <f t="shared" ca="1" si="59"/>
        <v>2.8991940553856228</v>
      </c>
      <c r="BU5" s="37">
        <f t="shared" ca="1" si="60"/>
        <v>7.9882837160905984</v>
      </c>
      <c r="BV5" s="37">
        <f t="shared" ca="1" si="61"/>
        <v>6.030449961808376</v>
      </c>
      <c r="BW5" s="37">
        <f t="shared" ca="1" si="62"/>
        <v>1.5776386529023907</v>
      </c>
      <c r="BX5" s="37">
        <f t="shared" ca="1" si="63"/>
        <v>5.1398465748538564</v>
      </c>
      <c r="BY5" s="37">
        <f t="shared" ca="1" si="64"/>
        <v>4.1987144470415245</v>
      </c>
      <c r="BZ5" s="37">
        <f t="shared" ca="1" si="65"/>
        <v>9.0878454268114321</v>
      </c>
      <c r="CA5" s="37">
        <f t="shared" ref="CA5" ca="1" si="79">BY5</f>
        <v>4.1987144470415245</v>
      </c>
      <c r="CB5" s="37">
        <f t="shared" ca="1" si="66"/>
        <v>4.2360059510688473</v>
      </c>
      <c r="CC5" s="37">
        <f t="shared" ca="1" si="67"/>
        <v>9.5931575393471142</v>
      </c>
      <c r="CD5" s="37">
        <f t="shared" ref="CD5" ca="1" si="80">CB5</f>
        <v>4.2360059510688473</v>
      </c>
      <c r="CE5" s="37">
        <f t="shared" ca="1" si="68"/>
        <v>3.1649301569297141</v>
      </c>
    </row>
    <row r="6" spans="1:83" x14ac:dyDescent="0.25">
      <c r="A6" t="str">
        <f>PLANTILLA!D20</f>
        <v>Emilio Rojas</v>
      </c>
      <c r="B6">
        <f>PLANTILLA!E20</f>
        <v>31</v>
      </c>
      <c r="C6" s="33">
        <f ca="1">PLANTILLA!F20</f>
        <v>39</v>
      </c>
      <c r="D6" s="216"/>
      <c r="E6" s="30">
        <f>PLANTILLA!M20</f>
        <v>43417</v>
      </c>
      <c r="F6" s="47">
        <f>PLANTILLA!Q20</f>
        <v>7</v>
      </c>
      <c r="G6" s="48">
        <f t="shared" ref="G6:G18" si="81">(F6/7)^0.5</f>
        <v>1</v>
      </c>
      <c r="H6" s="48">
        <f t="shared" ref="H6:H18" si="82">IF(F6=7,1,((F6+0.99)/7)^0.5)</f>
        <v>1</v>
      </c>
      <c r="I6" s="51">
        <f t="shared" ref="I6:I18" ca="1" si="83">IF(TODAY()-E6&gt;335,1,((TODAY()-E6)^0.5)/336^0.5)</f>
        <v>0.80548713447796538</v>
      </c>
      <c r="J6" s="39">
        <f>PLANTILLA!I20</f>
        <v>6.3</v>
      </c>
      <c r="K6" s="46">
        <f>PLANTILLA!X20</f>
        <v>0</v>
      </c>
      <c r="L6" s="46">
        <f>PLANTILLA!Y20</f>
        <v>6</v>
      </c>
      <c r="M6" s="46">
        <f>PLANTILLA!Z20</f>
        <v>2</v>
      </c>
      <c r="N6" s="46">
        <f>PLANTILLA!AA20</f>
        <v>6</v>
      </c>
      <c r="O6" s="46">
        <f>PLANTILLA!AB20</f>
        <v>9</v>
      </c>
      <c r="P6" s="46">
        <f>PLANTILLA!AC20</f>
        <v>9</v>
      </c>
      <c r="Q6" s="46">
        <f>PLANTILLA!AD20</f>
        <v>13</v>
      </c>
      <c r="R6" s="46">
        <f t="shared" ref="R6:R18" si="84">((2*(O6+1))+(L6+1))/8</f>
        <v>3.375</v>
      </c>
      <c r="S6" s="46">
        <f t="shared" ref="S6:S18" si="85">(0.5*P6+ 0.3*Q6)/10</f>
        <v>0.84000000000000008</v>
      </c>
      <c r="T6" s="46">
        <f t="shared" ref="T6:T18" si="86">(0.4*L6+0.3*Q6)/10</f>
        <v>0.63000000000000012</v>
      </c>
      <c r="U6" s="46">
        <f t="shared" ref="U6:U18" ca="1" si="87">(Q6+I6+(LOG(J6)*4/3))*(F6/7)^0.5</f>
        <v>14.871274533749409</v>
      </c>
      <c r="V6" s="46">
        <f t="shared" ref="V6:V18" ca="1" si="88">IF(F6=7,U6,(Q6+I6+(LOG(J6)*4/3))*((F6+0.99)/7)^0.5)</f>
        <v>14.871274533749409</v>
      </c>
      <c r="W6" s="37">
        <f t="shared" ref="W6:W18" ca="1" si="89">((K6+I6+(LOG(J6)*4/3))*0.597)+((L6+I6+(LOG(J6)*4/3))*0.276)</f>
        <v>3.2896226679632328</v>
      </c>
      <c r="X6" s="37">
        <f t="shared" ref="X6:X18" ca="1" si="90">((K6+I6+(LOG(J6)*4/3))*0.866)+((L6+I6+(LOG(J6)*4/3))*0.425)</f>
        <v>4.9658154230704845</v>
      </c>
      <c r="Y6" s="37">
        <f t="shared" ref="Y6:Y18" ca="1" si="91">W6</f>
        <v>3.2896226679632328</v>
      </c>
      <c r="Z6" s="37">
        <f t="shared" ca="1" si="19"/>
        <v>4.0615776594146942</v>
      </c>
      <c r="AA6" s="37">
        <f t="shared" ca="1" si="20"/>
        <v>7.871274533749407</v>
      </c>
      <c r="AB6" s="37">
        <f t="shared" ref="AB6:AB18" ca="1" si="92">Z6/2</f>
        <v>2.0307888297073471</v>
      </c>
      <c r="AC6" s="37">
        <f t="shared" ca="1" si="21"/>
        <v>0.92136333903235901</v>
      </c>
      <c r="AD6" s="37">
        <f t="shared" ca="1" si="22"/>
        <v>2.9753417737572758</v>
      </c>
      <c r="AE6" s="37">
        <f t="shared" ca="1" si="23"/>
        <v>5.690931487900821</v>
      </c>
      <c r="AF6" s="37">
        <f t="shared" ref="AF6:AF18" ca="1" si="93">AD6/2</f>
        <v>1.4876708868786379</v>
      </c>
      <c r="AG6" s="37">
        <f t="shared" ca="1" si="24"/>
        <v>1.4904406954935221</v>
      </c>
      <c r="AH6" s="37">
        <f t="shared" ca="1" si="25"/>
        <v>7.2415725710494545</v>
      </c>
      <c r="AI6" s="37">
        <f t="shared" ca="1" si="26"/>
        <v>3.2587076569722542</v>
      </c>
      <c r="AJ6" s="37">
        <f t="shared" ca="1" si="27"/>
        <v>0.64650284713615114</v>
      </c>
      <c r="AK6" s="37">
        <f t="shared" ca="1" si="28"/>
        <v>4.6283094258446509</v>
      </c>
      <c r="AL6" s="37">
        <f t="shared" ca="1" si="29"/>
        <v>5.9349409984470531</v>
      </c>
      <c r="AM6" s="37">
        <f t="shared" ca="1" si="30"/>
        <v>5.5728623698945796</v>
      </c>
      <c r="AN6" s="37">
        <f t="shared" ca="1" si="31"/>
        <v>2.4835028471361515</v>
      </c>
      <c r="AO6" s="37">
        <f t="shared" ca="1" si="32"/>
        <v>1.510927065719829</v>
      </c>
      <c r="AP6" s="37">
        <f t="shared" ca="1" si="33"/>
        <v>2.1252441241123399</v>
      </c>
      <c r="AQ6" s="37">
        <f t="shared" ca="1" si="34"/>
        <v>4.6755370730471473</v>
      </c>
      <c r="AR6" s="37">
        <f t="shared" ref="AR6:AR18" ca="1" si="94">AP6/2</f>
        <v>1.0626220620561699</v>
      </c>
      <c r="AS6" s="37">
        <f t="shared" ca="1" si="35"/>
        <v>3.6544831598594407</v>
      </c>
      <c r="AT6" s="37">
        <f t="shared" ca="1" si="36"/>
        <v>1.4132656893874231</v>
      </c>
      <c r="AU6" s="37">
        <f t="shared" ca="1" si="37"/>
        <v>3.1852834383885766</v>
      </c>
      <c r="AV6" s="37">
        <f t="shared" ref="AV6:AV18" ca="1" si="95">AT6/2</f>
        <v>0.70663284469371157</v>
      </c>
      <c r="AW6" s="37">
        <f t="shared" ca="1" si="38"/>
        <v>1.4876708868786379</v>
      </c>
      <c r="AX6" s="37">
        <f t="shared" ca="1" si="39"/>
        <v>3.1485098134997629</v>
      </c>
      <c r="AY6" s="37">
        <f t="shared" ref="AY6:AY18" ca="1" si="96">AW6/2</f>
        <v>0.74383544343931896</v>
      </c>
      <c r="AZ6" s="37">
        <f t="shared" ca="1" si="40"/>
        <v>3.8712745337494079</v>
      </c>
      <c r="BA6" s="37">
        <f t="shared" ca="1" si="41"/>
        <v>2.7504324570386003</v>
      </c>
      <c r="BB6" s="37">
        <f t="shared" ca="1" si="42"/>
        <v>5.9900722680959246</v>
      </c>
      <c r="BC6" s="37">
        <f t="shared" ref="BC6:BC18" ca="1" si="97">BA6/2</f>
        <v>1.3752162285193001</v>
      </c>
      <c r="BD6" s="37">
        <f t="shared" ca="1" si="43"/>
        <v>2.2905408893210772</v>
      </c>
      <c r="BE6" s="37">
        <f t="shared" ca="1" si="44"/>
        <v>2.7392035377447934</v>
      </c>
      <c r="BF6" s="37">
        <f t="shared" ca="1" si="45"/>
        <v>3.4105928642332284</v>
      </c>
      <c r="BG6" s="37">
        <f t="shared" ca="1" si="46"/>
        <v>7.9425630605032236</v>
      </c>
      <c r="BH6" s="37">
        <f t="shared" ca="1" si="47"/>
        <v>2.6199771626336075</v>
      </c>
      <c r="BI6" s="37">
        <f t="shared" ca="1" si="48"/>
        <v>3.8175681488684621</v>
      </c>
      <c r="BJ6" s="37">
        <f t="shared" ca="1" si="49"/>
        <v>2.0780164769098435</v>
      </c>
      <c r="BK6" s="37">
        <f t="shared" ca="1" si="50"/>
        <v>1.4749555973585244</v>
      </c>
      <c r="BL6" s="37">
        <f t="shared" ca="1" si="51"/>
        <v>7.4824939424969825</v>
      </c>
      <c r="BM6" s="37">
        <f t="shared" ca="1" si="52"/>
        <v>0.56530627575496928</v>
      </c>
      <c r="BN6" s="37">
        <f t="shared" ca="1" si="53"/>
        <v>1.4168294160748931</v>
      </c>
      <c r="BO6" s="37">
        <f t="shared" ca="1" si="54"/>
        <v>0.5352466682949597</v>
      </c>
      <c r="BP6" s="37">
        <f t="shared" ca="1" si="55"/>
        <v>1.1807387327935694</v>
      </c>
      <c r="BQ6" s="37">
        <f t="shared" ca="1" si="56"/>
        <v>10.980459050401738</v>
      </c>
      <c r="BR6" s="37">
        <f t="shared" ca="1" si="57"/>
        <v>1.4676220620561702</v>
      </c>
      <c r="BS6" s="37">
        <f t="shared" ca="1" si="58"/>
        <v>2.2354419675848316</v>
      </c>
      <c r="BT6" s="37">
        <f t="shared" ca="1" si="59"/>
        <v>1.9205909862348554</v>
      </c>
      <c r="BU6" s="37">
        <f t="shared" ca="1" si="60"/>
        <v>2.4427742307958762</v>
      </c>
      <c r="BV6" s="37">
        <f t="shared" ca="1" si="61"/>
        <v>7.6237907077057194</v>
      </c>
      <c r="BW6" s="37">
        <f t="shared" ca="1" si="62"/>
        <v>1.6089486309949124</v>
      </c>
      <c r="BX6" s="37">
        <f t="shared" ca="1" si="63"/>
        <v>1.5717374607022596</v>
      </c>
      <c r="BY6" s="37">
        <f t="shared" ca="1" si="64"/>
        <v>5.2319340320834415</v>
      </c>
      <c r="BZ6" s="37">
        <f t="shared" ca="1" si="65"/>
        <v>12.241055125001836</v>
      </c>
      <c r="CA6" s="37">
        <f t="shared" ref="CA6:CA18" ca="1" si="98">BY6</f>
        <v>5.2319340320834415</v>
      </c>
      <c r="CB6" s="37">
        <f t="shared" ca="1" si="66"/>
        <v>6.1098040345258813</v>
      </c>
      <c r="CC6" s="37">
        <f t="shared" ca="1" si="67"/>
        <v>14.882774836702939</v>
      </c>
      <c r="CD6" s="37">
        <f t="shared" ref="CD6:CD18" ca="1" si="99">CB6</f>
        <v>6.1098040345258813</v>
      </c>
      <c r="CE6" s="37">
        <f t="shared" ca="1" si="68"/>
        <v>0.96781863343735197</v>
      </c>
    </row>
    <row r="7" spans="1:83" x14ac:dyDescent="0.25">
      <c r="A7" t="str">
        <f>PLANTILLA!D19</f>
        <v>Miklós Gábriel</v>
      </c>
      <c r="B7">
        <f>PLANTILLA!E19</f>
        <v>31</v>
      </c>
      <c r="C7" s="33">
        <f ca="1">PLANTILLA!F19</f>
        <v>1</v>
      </c>
      <c r="D7" s="216"/>
      <c r="E7" s="30">
        <f>PLANTILLA!M19</f>
        <v>43420</v>
      </c>
      <c r="F7" s="47">
        <f>PLANTILLA!Q19</f>
        <v>4</v>
      </c>
      <c r="G7" s="48">
        <f t="shared" si="81"/>
        <v>0.7559289460184544</v>
      </c>
      <c r="H7" s="48">
        <f t="shared" si="82"/>
        <v>0.84430867747355465</v>
      </c>
      <c r="I7" s="51">
        <f t="shared" ca="1" si="83"/>
        <v>0.79992559177773048</v>
      </c>
      <c r="J7" s="39">
        <f>PLANTILLA!I19</f>
        <v>6.6</v>
      </c>
      <c r="K7" s="46">
        <f>PLANTILLA!X19</f>
        <v>0</v>
      </c>
      <c r="L7" s="46">
        <f>PLANTILLA!Y19</f>
        <v>5</v>
      </c>
      <c r="M7" s="46">
        <f>PLANTILLA!Z19</f>
        <v>2</v>
      </c>
      <c r="N7" s="46">
        <f>PLANTILLA!AA19</f>
        <v>4</v>
      </c>
      <c r="O7" s="46">
        <f>PLANTILLA!AB19</f>
        <v>7</v>
      </c>
      <c r="P7" s="46">
        <f>PLANTILLA!AC19</f>
        <v>10</v>
      </c>
      <c r="Q7" s="46">
        <f>PLANTILLA!AD19</f>
        <v>14</v>
      </c>
      <c r="R7" s="46">
        <f t="shared" si="84"/>
        <v>2.75</v>
      </c>
      <c r="S7" s="46">
        <f t="shared" si="85"/>
        <v>0.91999999999999993</v>
      </c>
      <c r="T7" s="46">
        <f t="shared" si="86"/>
        <v>0.62</v>
      </c>
      <c r="U7" s="46">
        <f t="shared" ca="1" si="87"/>
        <v>12.013714798290732</v>
      </c>
      <c r="V7" s="46">
        <f t="shared" ca="1" si="88"/>
        <v>13.418303011565975</v>
      </c>
      <c r="W7" s="37">
        <f t="shared" ca="1" si="89"/>
        <v>3.0322841825926936</v>
      </c>
      <c r="X7" s="37">
        <f t="shared" ca="1" si="90"/>
        <v>4.5684122333644535</v>
      </c>
      <c r="Y7" s="37">
        <f t="shared" ca="1" si="91"/>
        <v>3.0322841825926936</v>
      </c>
      <c r="Z7" s="37">
        <f t="shared" ca="1" si="19"/>
        <v>3.5566078330101147</v>
      </c>
      <c r="AA7" s="37">
        <f t="shared" ca="1" si="20"/>
        <v>6.8926508391668886</v>
      </c>
      <c r="AB7" s="37">
        <f t="shared" ca="1" si="92"/>
        <v>1.7783039165050574</v>
      </c>
      <c r="AC7" s="37">
        <f t="shared" ca="1" si="21"/>
        <v>0.92645089972171946</v>
      </c>
      <c r="AD7" s="37">
        <f t="shared" ca="1" si="22"/>
        <v>2.6054220172050839</v>
      </c>
      <c r="AE7" s="37">
        <f t="shared" ca="1" si="23"/>
        <v>4.9833865567176598</v>
      </c>
      <c r="AF7" s="37">
        <f t="shared" ca="1" si="93"/>
        <v>1.302711008602542</v>
      </c>
      <c r="AG7" s="37">
        <f t="shared" ca="1" si="24"/>
        <v>1.4986705730792522</v>
      </c>
      <c r="AH7" s="37">
        <f t="shared" ca="1" si="25"/>
        <v>6.3412387720335381</v>
      </c>
      <c r="AI7" s="37">
        <f t="shared" ca="1" si="26"/>
        <v>2.8535574474150915</v>
      </c>
      <c r="AJ7" s="37">
        <f t="shared" ca="1" si="27"/>
        <v>0.65007269014087044</v>
      </c>
      <c r="AK7" s="37">
        <f t="shared" ca="1" si="28"/>
        <v>3.4648786934301303</v>
      </c>
      <c r="AL7" s="37">
        <f t="shared" ca="1" si="29"/>
        <v>5.1970587327318336</v>
      </c>
      <c r="AM7" s="37">
        <f t="shared" ca="1" si="30"/>
        <v>4.8799967941301565</v>
      </c>
      <c r="AN7" s="37">
        <f t="shared" ca="1" si="31"/>
        <v>2.6540726901408704</v>
      </c>
      <c r="AO7" s="37">
        <f t="shared" ca="1" si="32"/>
        <v>1.3370834416800639</v>
      </c>
      <c r="AP7" s="37">
        <f t="shared" ca="1" si="33"/>
        <v>1.86101572657506</v>
      </c>
      <c r="AQ7" s="37">
        <f t="shared" ca="1" si="34"/>
        <v>4.0942345984651318</v>
      </c>
      <c r="AR7" s="37">
        <f t="shared" ca="1" si="94"/>
        <v>0.93050786328752999</v>
      </c>
      <c r="AS7" s="37">
        <f t="shared" ca="1" si="35"/>
        <v>3.6746623921735426</v>
      </c>
      <c r="AT7" s="37">
        <f t="shared" ca="1" si="36"/>
        <v>1.1560446090916956</v>
      </c>
      <c r="AU7" s="37">
        <f t="shared" ca="1" si="37"/>
        <v>3.1245466958758978</v>
      </c>
      <c r="AV7" s="37">
        <f t="shared" ca="1" si="95"/>
        <v>0.5780223045458478</v>
      </c>
      <c r="AW7" s="37">
        <f t="shared" ca="1" si="38"/>
        <v>1.302711008602542</v>
      </c>
      <c r="AX7" s="37">
        <f t="shared" ca="1" si="39"/>
        <v>2.7570603356667558</v>
      </c>
      <c r="AY7" s="37">
        <f t="shared" ca="1" si="96"/>
        <v>0.65135550430127098</v>
      </c>
      <c r="AZ7" s="37">
        <f t="shared" ca="1" si="40"/>
        <v>3.8926508391668886</v>
      </c>
      <c r="BA7" s="37">
        <f t="shared" ca="1" si="41"/>
        <v>2.2498406623092229</v>
      </c>
      <c r="BB7" s="37">
        <f t="shared" ca="1" si="42"/>
        <v>5.5298506123809554</v>
      </c>
      <c r="BC7" s="37">
        <f t="shared" ca="1" si="97"/>
        <v>1.1249203311546114</v>
      </c>
      <c r="BD7" s="37">
        <f t="shared" ca="1" si="43"/>
        <v>2.0057613941975645</v>
      </c>
      <c r="BE7" s="37">
        <f t="shared" ca="1" si="44"/>
        <v>2.3986424920300768</v>
      </c>
      <c r="BF7" s="37">
        <f t="shared" ca="1" si="45"/>
        <v>3.4294253893060289</v>
      </c>
      <c r="BG7" s="37">
        <f t="shared" ca="1" si="46"/>
        <v>6.1835665960193644</v>
      </c>
      <c r="BH7" s="37">
        <f t="shared" ca="1" si="47"/>
        <v>2.14312885223922</v>
      </c>
      <c r="BI7" s="37">
        <f t="shared" ca="1" si="48"/>
        <v>3.342935656995941</v>
      </c>
      <c r="BJ7" s="37">
        <f t="shared" ca="1" si="49"/>
        <v>1.8196598215400586</v>
      </c>
      <c r="BK7" s="37">
        <f t="shared" ca="1" si="50"/>
        <v>1.4830999697225846</v>
      </c>
      <c r="BL7" s="37">
        <f t="shared" ca="1" si="51"/>
        <v>5.7531768334318611</v>
      </c>
      <c r="BM7" s="37">
        <f t="shared" ca="1" si="52"/>
        <v>0.46241784363667821</v>
      </c>
      <c r="BN7" s="37">
        <f t="shared" ca="1" si="53"/>
        <v>1.2406771510500398</v>
      </c>
      <c r="BO7" s="37">
        <f t="shared" ca="1" si="54"/>
        <v>0.46870025706334845</v>
      </c>
      <c r="BP7" s="37">
        <f t="shared" ca="1" si="55"/>
        <v>1.1872585059459011</v>
      </c>
      <c r="BQ7" s="37">
        <f t="shared" ca="1" si="56"/>
        <v>8.435948979168618</v>
      </c>
      <c r="BR7" s="37">
        <f t="shared" ca="1" si="57"/>
        <v>1.2005078632875301</v>
      </c>
      <c r="BS7" s="37">
        <f t="shared" ca="1" si="58"/>
        <v>1.9575128383233962</v>
      </c>
      <c r="BT7" s="37">
        <f t="shared" ca="1" si="59"/>
        <v>1.6818068047567207</v>
      </c>
      <c r="BU7" s="37">
        <f t="shared" ca="1" si="60"/>
        <v>2.4562626795143068</v>
      </c>
      <c r="BV7" s="37">
        <f t="shared" ca="1" si="61"/>
        <v>5.8529225010543655</v>
      </c>
      <c r="BW7" s="37">
        <f t="shared" ca="1" si="62"/>
        <v>1.3161123241966994</v>
      </c>
      <c r="BX7" s="37">
        <f t="shared" ca="1" si="63"/>
        <v>1.5804162407017568</v>
      </c>
      <c r="BY7" s="37">
        <f t="shared" ca="1" si="64"/>
        <v>4.5820710872059482</v>
      </c>
      <c r="BZ7" s="37">
        <f t="shared" ca="1" si="65"/>
        <v>11.762124844901916</v>
      </c>
      <c r="CA7" s="37">
        <f t="shared" ca="1" si="98"/>
        <v>4.5820710872059482</v>
      </c>
      <c r="CB7" s="37">
        <f t="shared" ca="1" si="66"/>
        <v>5.6571214728009709</v>
      </c>
      <c r="CC7" s="37">
        <f t="shared" ca="1" si="67"/>
        <v>15.174038998819471</v>
      </c>
      <c r="CD7" s="37">
        <f t="shared" ca="1" si="99"/>
        <v>5.6571214728009709</v>
      </c>
      <c r="CE7" s="37">
        <f t="shared" ca="1" si="68"/>
        <v>0.97316270979172215</v>
      </c>
    </row>
    <row r="8" spans="1:83" x14ac:dyDescent="0.25">
      <c r="A8" t="str">
        <f>PLANTILLA!D11</f>
        <v>Francesc Añigas</v>
      </c>
      <c r="B8">
        <f>PLANTILLA!E11</f>
        <v>22</v>
      </c>
      <c r="C8" s="33">
        <f ca="1">PLANTILLA!F11</f>
        <v>39</v>
      </c>
      <c r="D8" s="216" t="str">
        <f>PLANTILLA!G11</f>
        <v>IMP</v>
      </c>
      <c r="E8" s="30">
        <f>PLANTILLA!M11</f>
        <v>43137</v>
      </c>
      <c r="F8" s="47">
        <f>PLANTILLA!Q11</f>
        <v>7</v>
      </c>
      <c r="G8" s="48">
        <f t="shared" si="81"/>
        <v>1</v>
      </c>
      <c r="H8" s="48">
        <f t="shared" si="82"/>
        <v>1</v>
      </c>
      <c r="I8" s="51">
        <f t="shared" ca="1" si="83"/>
        <v>1</v>
      </c>
      <c r="J8" s="39">
        <f>PLANTILLA!I11</f>
        <v>4.0999999999999996</v>
      </c>
      <c r="K8" s="46">
        <f>PLANTILLA!X11</f>
        <v>0</v>
      </c>
      <c r="L8" s="46">
        <f>PLANTILLA!Y11</f>
        <v>11.555555555555555</v>
      </c>
      <c r="M8" s="46">
        <f>PLANTILLA!Z11</f>
        <v>4</v>
      </c>
      <c r="N8" s="46">
        <f>PLANTILLA!AA11</f>
        <v>12.666666666666666</v>
      </c>
      <c r="O8" s="46">
        <f>PLANTILLA!AB11</f>
        <v>4.25</v>
      </c>
      <c r="P8" s="46">
        <f>PLANTILLA!AC11</f>
        <v>7</v>
      </c>
      <c r="Q8" s="46">
        <f>PLANTILLA!AD11</f>
        <v>3</v>
      </c>
      <c r="R8" s="46">
        <f t="shared" si="84"/>
        <v>2.8819444444444446</v>
      </c>
      <c r="S8" s="46">
        <f t="shared" si="85"/>
        <v>0.44000000000000006</v>
      </c>
      <c r="T8" s="46">
        <f t="shared" si="86"/>
        <v>0.55222222222222217</v>
      </c>
      <c r="U8" s="46">
        <f t="shared" ca="1" si="87"/>
        <v>4.8170451422929803</v>
      </c>
      <c r="V8" s="46">
        <f t="shared" ca="1" si="88"/>
        <v>4.8170451422929803</v>
      </c>
      <c r="W8" s="37">
        <f t="shared" ca="1" si="89"/>
        <v>4.7756137425551053</v>
      </c>
      <c r="X8" s="37">
        <f t="shared" ca="1" si="90"/>
        <v>7.2569163898113489</v>
      </c>
      <c r="Y8" s="37">
        <f t="shared" ca="1" si="91"/>
        <v>4.7756137425551053</v>
      </c>
      <c r="Z8" s="37">
        <f t="shared" ca="1" si="19"/>
        <v>6.9002619600898454</v>
      </c>
      <c r="AA8" s="37">
        <f t="shared" ca="1" si="20"/>
        <v>13.372600697848537</v>
      </c>
      <c r="AB8" s="37">
        <f t="shared" ca="1" si="92"/>
        <v>3.4501309800449227</v>
      </c>
      <c r="AC8" s="37">
        <f t="shared" ca="1" si="21"/>
        <v>1.3844567438657291</v>
      </c>
      <c r="AD8" s="37">
        <f t="shared" ca="1" si="22"/>
        <v>5.0548430637867465</v>
      </c>
      <c r="AE8" s="37">
        <f t="shared" ca="1" si="23"/>
        <v>9.6683903045444914</v>
      </c>
      <c r="AF8" s="37">
        <f t="shared" ca="1" si="93"/>
        <v>2.5274215318933733</v>
      </c>
      <c r="AG8" s="37">
        <f t="shared" ca="1" si="24"/>
        <v>2.2395623797827975</v>
      </c>
      <c r="AH8" s="37">
        <f t="shared" ca="1" si="25"/>
        <v>12.302792642020654</v>
      </c>
      <c r="AI8" s="37">
        <f t="shared" ca="1" si="26"/>
        <v>5.5362566889092939</v>
      </c>
      <c r="AJ8" s="37">
        <f t="shared" ca="1" si="27"/>
        <v>0.97144653876292775</v>
      </c>
      <c r="AK8" s="37">
        <f t="shared" ca="1" si="28"/>
        <v>8.5164225436682717</v>
      </c>
      <c r="AL8" s="37">
        <f t="shared" ca="1" si="29"/>
        <v>10.082940926177796</v>
      </c>
      <c r="AM8" s="37">
        <f t="shared" ca="1" si="30"/>
        <v>9.4678012940767626</v>
      </c>
      <c r="AN8" s="37">
        <f t="shared" ca="1" si="31"/>
        <v>0.80444653876292771</v>
      </c>
      <c r="AO8" s="37">
        <f t="shared" ca="1" si="32"/>
        <v>1.3533090009803783</v>
      </c>
      <c r="AP8" s="37">
        <f t="shared" ca="1" si="33"/>
        <v>3.6106021884191053</v>
      </c>
      <c r="AQ8" s="37">
        <f t="shared" ca="1" si="34"/>
        <v>7.9433248145220308</v>
      </c>
      <c r="AR8" s="37">
        <f t="shared" ca="1" si="94"/>
        <v>1.8053010942095526</v>
      </c>
      <c r="AS8" s="37">
        <f t="shared" ca="1" si="35"/>
        <v>5.4912906143245728</v>
      </c>
      <c r="AT8" s="37">
        <f t="shared" ca="1" si="36"/>
        <v>0.7887158684980875</v>
      </c>
      <c r="AU8" s="37">
        <f t="shared" ca="1" si="37"/>
        <v>2.2533942266918432</v>
      </c>
      <c r="AV8" s="37">
        <f t="shared" ca="1" si="95"/>
        <v>0.39435793424904375</v>
      </c>
      <c r="AW8" s="37">
        <f t="shared" ca="1" si="38"/>
        <v>2.5274215318933733</v>
      </c>
      <c r="AX8" s="37">
        <f t="shared" ca="1" si="39"/>
        <v>5.3490402791394152</v>
      </c>
      <c r="AY8" s="37">
        <f t="shared" ca="1" si="96"/>
        <v>1.2637107659466866</v>
      </c>
      <c r="AZ8" s="37">
        <f t="shared" ca="1" si="40"/>
        <v>5.8170451422929803</v>
      </c>
      <c r="BA8" s="37">
        <f t="shared" ca="1" si="41"/>
        <v>1.534962421000124</v>
      </c>
      <c r="BB8" s="37">
        <f t="shared" ca="1" si="42"/>
        <v>3.9204418734034325</v>
      </c>
      <c r="BC8" s="37">
        <f t="shared" ca="1" si="97"/>
        <v>0.76748121050006202</v>
      </c>
      <c r="BD8" s="37">
        <f t="shared" ca="1" si="43"/>
        <v>3.8914268030739239</v>
      </c>
      <c r="BE8" s="37">
        <f t="shared" ca="1" si="44"/>
        <v>4.6536650428512907</v>
      </c>
      <c r="BF8" s="37">
        <f t="shared" ca="1" si="45"/>
        <v>5.1248167703601153</v>
      </c>
      <c r="BG8" s="37">
        <f t="shared" ca="1" si="46"/>
        <v>10.224769798165127</v>
      </c>
      <c r="BH8" s="37">
        <f t="shared" ca="1" si="47"/>
        <v>1.4621578792926082</v>
      </c>
      <c r="BI8" s="37">
        <f t="shared" ca="1" si="48"/>
        <v>6.4857113384565404</v>
      </c>
      <c r="BJ8" s="37">
        <f t="shared" ca="1" si="49"/>
        <v>3.5303665842320138</v>
      </c>
      <c r="BK8" s="37">
        <f t="shared" ca="1" si="50"/>
        <v>2.2162941992136256</v>
      </c>
      <c r="BL8" s="37">
        <f t="shared" ca="1" si="51"/>
        <v>10.967014121030733</v>
      </c>
      <c r="BM8" s="37">
        <f t="shared" ca="1" si="52"/>
        <v>0.31548634739923498</v>
      </c>
      <c r="BN8" s="37">
        <f t="shared" ca="1" si="53"/>
        <v>2.4070681256127364</v>
      </c>
      <c r="BO8" s="37">
        <f t="shared" ca="1" si="54"/>
        <v>0.90933684745370058</v>
      </c>
      <c r="BP8" s="37">
        <f t="shared" ca="1" si="55"/>
        <v>1.774198768399359</v>
      </c>
      <c r="BQ8" s="37">
        <f t="shared" ca="1" si="56"/>
        <v>16.21888671965544</v>
      </c>
      <c r="BR8" s="37">
        <f t="shared" ca="1" si="57"/>
        <v>0.81905109420955235</v>
      </c>
      <c r="BS8" s="37">
        <f t="shared" ca="1" si="58"/>
        <v>3.797818598188984</v>
      </c>
      <c r="BT8" s="37">
        <f t="shared" ca="1" si="59"/>
        <v>3.2629145702750431</v>
      </c>
      <c r="BU8" s="37">
        <f t="shared" ca="1" si="60"/>
        <v>3.6705554847868704</v>
      </c>
      <c r="BV8" s="37">
        <f t="shared" ca="1" si="61"/>
        <v>11.338505402352217</v>
      </c>
      <c r="BW8" s="37">
        <f t="shared" ca="1" si="62"/>
        <v>0.89792268105936102</v>
      </c>
      <c r="BX8" s="37">
        <f t="shared" ca="1" si="63"/>
        <v>2.36172032777095</v>
      </c>
      <c r="BY8" s="37">
        <f t="shared" ca="1" si="64"/>
        <v>4.7221805191346427</v>
      </c>
      <c r="BZ8" s="37">
        <f t="shared" ca="1" si="65"/>
        <v>8.4347428302218965</v>
      </c>
      <c r="CA8" s="37">
        <f t="shared" ca="1" si="98"/>
        <v>4.7221805191346427</v>
      </c>
      <c r="CB8" s="37">
        <f t="shared" ca="1" si="66"/>
        <v>6.3548524569818605</v>
      </c>
      <c r="CC8" s="37">
        <f t="shared" ca="1" si="67"/>
        <v>11.055784799799092</v>
      </c>
      <c r="CD8" s="37">
        <f t="shared" ca="1" si="99"/>
        <v>6.3548524569818605</v>
      </c>
      <c r="CE8" s="37">
        <f t="shared" ca="1" si="68"/>
        <v>1.4542612855732451</v>
      </c>
    </row>
    <row r="9" spans="1:83" x14ac:dyDescent="0.25">
      <c r="A9" t="str">
        <f>PLANTILLA!D12</f>
        <v>Will Duffill</v>
      </c>
      <c r="B9">
        <f>PLANTILLA!E12</f>
        <v>22</v>
      </c>
      <c r="C9" s="33">
        <f ca="1">PLANTILLA!F12</f>
        <v>0</v>
      </c>
      <c r="D9" s="216" t="str">
        <f>PLANTILLA!G12</f>
        <v>RAP</v>
      </c>
      <c r="E9" s="30">
        <f>PLANTILLA!M12</f>
        <v>43122</v>
      </c>
      <c r="F9" s="47">
        <f>PLANTILLA!Q12</f>
        <v>5</v>
      </c>
      <c r="G9" s="48">
        <f t="shared" si="81"/>
        <v>0.84515425472851657</v>
      </c>
      <c r="H9" s="48">
        <f t="shared" si="82"/>
        <v>0.92504826128926143</v>
      </c>
      <c r="I9" s="51">
        <f t="shared" ca="1" si="83"/>
        <v>1</v>
      </c>
      <c r="J9" s="39">
        <f>PLANTILLA!I12</f>
        <v>4.2</v>
      </c>
      <c r="K9" s="46">
        <f>PLANTILLA!X12</f>
        <v>0</v>
      </c>
      <c r="L9" s="46">
        <f>PLANTILLA!Y12</f>
        <v>10.571428571428571</v>
      </c>
      <c r="M9" s="46">
        <f>PLANTILLA!Z12</f>
        <v>3</v>
      </c>
      <c r="N9" s="46">
        <f>PLANTILLA!AA12</f>
        <v>13</v>
      </c>
      <c r="O9" s="46">
        <f>PLANTILLA!AB12</f>
        <v>7</v>
      </c>
      <c r="P9" s="46">
        <f>PLANTILLA!AC12</f>
        <v>7</v>
      </c>
      <c r="Q9" s="46">
        <f>PLANTILLA!AD12</f>
        <v>3</v>
      </c>
      <c r="R9" s="46">
        <f t="shared" si="84"/>
        <v>3.4464285714285712</v>
      </c>
      <c r="S9" s="46">
        <f t="shared" si="85"/>
        <v>0.44000000000000006</v>
      </c>
      <c r="T9" s="46">
        <f t="shared" si="86"/>
        <v>0.51285714285714279</v>
      </c>
      <c r="U9" s="46">
        <f t="shared" ca="1" si="87"/>
        <v>4.0829394049624854</v>
      </c>
      <c r="V9" s="46">
        <f t="shared" ca="1" si="88"/>
        <v>4.4689072750668375</v>
      </c>
      <c r="W9" s="37">
        <f t="shared" ca="1" si="89"/>
        <v>4.5161764597374416</v>
      </c>
      <c r="X9" s="37">
        <f t="shared" ca="1" si="90"/>
        <v>6.8566769213953949</v>
      </c>
      <c r="Y9" s="37">
        <f t="shared" ca="1" si="91"/>
        <v>4.5161764597374416</v>
      </c>
      <c r="Z9" s="37">
        <f t="shared" ca="1" si="19"/>
        <v>6.3996526546508976</v>
      </c>
      <c r="AA9" s="37">
        <f t="shared" ca="1" si="20"/>
        <v>12.402427625292438</v>
      </c>
      <c r="AB9" s="37">
        <f t="shared" ca="1" si="92"/>
        <v>3.1998263273254488</v>
      </c>
      <c r="AC9" s="37">
        <f t="shared" ca="1" si="21"/>
        <v>1.1497777748196003</v>
      </c>
      <c r="AD9" s="37">
        <f t="shared" ca="1" si="22"/>
        <v>4.6881176423605417</v>
      </c>
      <c r="AE9" s="37">
        <f t="shared" ca="1" si="23"/>
        <v>8.9669551730864328</v>
      </c>
      <c r="AF9" s="37">
        <f t="shared" ca="1" si="93"/>
        <v>2.3440588211802709</v>
      </c>
      <c r="AG9" s="37">
        <f t="shared" ca="1" si="24"/>
        <v>1.859934635737589</v>
      </c>
      <c r="AH9" s="37">
        <f t="shared" ca="1" si="25"/>
        <v>11.410233415269044</v>
      </c>
      <c r="AI9" s="37">
        <f t="shared" ca="1" si="26"/>
        <v>5.1346050368710685</v>
      </c>
      <c r="AJ9" s="37">
        <f t="shared" ca="1" si="27"/>
        <v>0.80677684199526589</v>
      </c>
      <c r="AK9" s="37">
        <f t="shared" ca="1" si="28"/>
        <v>8.7206274436719529</v>
      </c>
      <c r="AL9" s="37">
        <f t="shared" ca="1" si="29"/>
        <v>9.3514304294704989</v>
      </c>
      <c r="AM9" s="37">
        <f t="shared" ca="1" si="30"/>
        <v>8.7809187587070454</v>
      </c>
      <c r="AN9" s="37">
        <f t="shared" ca="1" si="31"/>
        <v>0.80677684199526589</v>
      </c>
      <c r="AO9" s="37">
        <f t="shared" ca="1" si="32"/>
        <v>1.5198991560842221</v>
      </c>
      <c r="AP9" s="37">
        <f t="shared" ca="1" si="33"/>
        <v>3.3486554588289583</v>
      </c>
      <c r="AQ9" s="37">
        <f t="shared" ca="1" si="34"/>
        <v>7.3670420094237077</v>
      </c>
      <c r="AR9" s="37">
        <f t="shared" ca="1" si="94"/>
        <v>1.6743277294144792</v>
      </c>
      <c r="AS9" s="37">
        <f t="shared" ca="1" si="35"/>
        <v>4.5604631068474903</v>
      </c>
      <c r="AT9" s="37">
        <f t="shared" ca="1" si="36"/>
        <v>1.1480298770023027</v>
      </c>
      <c r="AU9" s="37">
        <f t="shared" ca="1" si="37"/>
        <v>2.5874827227821129</v>
      </c>
      <c r="AV9" s="37">
        <f t="shared" ca="1" si="95"/>
        <v>0.57401493850115137</v>
      </c>
      <c r="AW9" s="37">
        <f t="shared" ca="1" si="38"/>
        <v>2.3440588211802709</v>
      </c>
      <c r="AX9" s="37">
        <f t="shared" ca="1" si="39"/>
        <v>4.9609710501169753</v>
      </c>
      <c r="AY9" s="37">
        <f t="shared" ca="1" si="96"/>
        <v>1.1720294105901354</v>
      </c>
      <c r="AZ9" s="37">
        <f t="shared" ca="1" si="40"/>
        <v>4.8309990538638674</v>
      </c>
      <c r="BA9" s="37">
        <f t="shared" ca="1" si="41"/>
        <v>2.2342427606275583</v>
      </c>
      <c r="BB9" s="37">
        <f t="shared" ca="1" si="42"/>
        <v>4.8658804786789904</v>
      </c>
      <c r="BC9" s="37">
        <f t="shared" ca="1" si="97"/>
        <v>1.1171213803137792</v>
      </c>
      <c r="BD9" s="37">
        <f t="shared" ca="1" si="43"/>
        <v>3.6091064389600991</v>
      </c>
      <c r="BE9" s="37">
        <f t="shared" ca="1" si="44"/>
        <v>4.3160448136017679</v>
      </c>
      <c r="BF9" s="37">
        <f t="shared" ca="1" si="45"/>
        <v>4.256110166454067</v>
      </c>
      <c r="BG9" s="37">
        <f t="shared" ca="1" si="46"/>
        <v>11.294758158884976</v>
      </c>
      <c r="BH9" s="37">
        <f t="shared" ca="1" si="47"/>
        <v>2.128270771981192</v>
      </c>
      <c r="BI9" s="37">
        <f t="shared" ca="1" si="48"/>
        <v>6.0151773982668324</v>
      </c>
      <c r="BJ9" s="37">
        <f t="shared" ca="1" si="49"/>
        <v>3.2742408930772036</v>
      </c>
      <c r="BK9" s="37">
        <f t="shared" ca="1" si="50"/>
        <v>1.8406106395221336</v>
      </c>
      <c r="BL9" s="37">
        <f t="shared" ca="1" si="51"/>
        <v>11.756293173077021</v>
      </c>
      <c r="BM9" s="37">
        <f t="shared" ca="1" si="52"/>
        <v>0.45921195080092103</v>
      </c>
      <c r="BN9" s="37">
        <f t="shared" ca="1" si="53"/>
        <v>2.2324369725526387</v>
      </c>
      <c r="BO9" s="37">
        <f t="shared" ca="1" si="54"/>
        <v>0.84336507851988585</v>
      </c>
      <c r="BP9" s="37">
        <f t="shared" ca="1" si="55"/>
        <v>1.4734547114284795</v>
      </c>
      <c r="BQ9" s="37">
        <f t="shared" ca="1" si="56"/>
        <v>17.356664783268933</v>
      </c>
      <c r="BR9" s="37">
        <f t="shared" ca="1" si="57"/>
        <v>1.192184872271622</v>
      </c>
      <c r="BS9" s="37">
        <f t="shared" ca="1" si="58"/>
        <v>3.522289445583052</v>
      </c>
      <c r="BT9" s="37">
        <f t="shared" ca="1" si="59"/>
        <v>3.0261923405713547</v>
      </c>
      <c r="BU9" s="37">
        <f t="shared" ca="1" si="60"/>
        <v>3.0483604029881004</v>
      </c>
      <c r="BV9" s="37">
        <f t="shared" ca="1" si="61"/>
        <v>12.11574415320816</v>
      </c>
      <c r="BW9" s="37">
        <f t="shared" ca="1" si="62"/>
        <v>1.3069878599718521</v>
      </c>
      <c r="BX9" s="37">
        <f t="shared" ca="1" si="63"/>
        <v>1.9613856158687304</v>
      </c>
      <c r="BY9" s="37">
        <f t="shared" ca="1" si="64"/>
        <v>5.4649505070630742</v>
      </c>
      <c r="BZ9" s="37">
        <f t="shared" ca="1" si="65"/>
        <v>9.9437049346507145</v>
      </c>
      <c r="CA9" s="37">
        <f t="shared" ca="1" si="98"/>
        <v>5.4649505070630742</v>
      </c>
      <c r="CB9" s="37">
        <f t="shared" ca="1" si="66"/>
        <v>6.8277124105571891</v>
      </c>
      <c r="CC9" s="37">
        <f t="shared" ca="1" si="67"/>
        <v>12.089637704739634</v>
      </c>
      <c r="CD9" s="37">
        <f t="shared" ca="1" si="99"/>
        <v>6.8277124105571891</v>
      </c>
      <c r="CE9" s="37">
        <f t="shared" ca="1" si="68"/>
        <v>1.2077497634659669</v>
      </c>
    </row>
    <row r="10" spans="1:83" x14ac:dyDescent="0.25">
      <c r="A10" t="str">
        <f>PLANTILLA!D13</f>
        <v>Valeri Gomis</v>
      </c>
      <c r="B10">
        <f>PLANTILLA!E13</f>
        <v>22</v>
      </c>
      <c r="C10" s="33">
        <f ca="1">PLANTILLA!F13</f>
        <v>39</v>
      </c>
      <c r="D10" s="216" t="str">
        <f>PLANTILLA!G13</f>
        <v>IMP</v>
      </c>
      <c r="E10" s="30">
        <f>PLANTILLA!M13</f>
        <v>43051</v>
      </c>
      <c r="F10" s="47">
        <f>PLANTILLA!Q13</f>
        <v>4</v>
      </c>
      <c r="G10" s="48">
        <f t="shared" si="81"/>
        <v>0.7559289460184544</v>
      </c>
      <c r="H10" s="48">
        <f t="shared" si="82"/>
        <v>0.84430867747355465</v>
      </c>
      <c r="I10" s="51">
        <f t="shared" ca="1" si="83"/>
        <v>1</v>
      </c>
      <c r="J10" s="39">
        <f>PLANTILLA!I13</f>
        <v>4.2</v>
      </c>
      <c r="K10" s="46">
        <f>PLANTILLA!X13</f>
        <v>0</v>
      </c>
      <c r="L10" s="46">
        <f>PLANTILLA!Y13</f>
        <v>10.142857142857142</v>
      </c>
      <c r="M10" s="46">
        <f>PLANTILLA!Z13</f>
        <v>3</v>
      </c>
      <c r="N10" s="46">
        <f>PLANTILLA!AA13</f>
        <v>12</v>
      </c>
      <c r="O10" s="46">
        <f>PLANTILLA!AB13</f>
        <v>6.0000000000000009</v>
      </c>
      <c r="P10" s="46">
        <f>PLANTILLA!AC13</f>
        <v>7.25</v>
      </c>
      <c r="Q10" s="46">
        <f>PLANTILLA!AD13</f>
        <v>3</v>
      </c>
      <c r="R10" s="46">
        <f t="shared" si="84"/>
        <v>3.1428571428571432</v>
      </c>
      <c r="S10" s="46">
        <f t="shared" si="85"/>
        <v>0.45250000000000001</v>
      </c>
      <c r="T10" s="46">
        <f t="shared" si="86"/>
        <v>0.49571428571428572</v>
      </c>
      <c r="U10" s="46">
        <f t="shared" ca="1" si="87"/>
        <v>3.6518920230034637</v>
      </c>
      <c r="V10" s="46">
        <f t="shared" ca="1" si="88"/>
        <v>4.0788544220437961</v>
      </c>
      <c r="W10" s="37">
        <f t="shared" ca="1" si="89"/>
        <v>4.3978907454517273</v>
      </c>
      <c r="X10" s="37">
        <f t="shared" ca="1" si="90"/>
        <v>6.6745340642525379</v>
      </c>
      <c r="Y10" s="37">
        <f t="shared" ca="1" si="91"/>
        <v>4.3978907454517273</v>
      </c>
      <c r="Z10" s="37">
        <f t="shared" ca="1" si="19"/>
        <v>6.178509797508041</v>
      </c>
      <c r="AA10" s="37">
        <f t="shared" ca="1" si="20"/>
        <v>11.973856196721009</v>
      </c>
      <c r="AB10" s="37">
        <f t="shared" ca="1" si="92"/>
        <v>3.0892548987540205</v>
      </c>
      <c r="AC10" s="37">
        <f t="shared" ca="1" si="21"/>
        <v>1.1497777748196003</v>
      </c>
      <c r="AD10" s="37">
        <f t="shared" ca="1" si="22"/>
        <v>4.5261176423605418</v>
      </c>
      <c r="AE10" s="37">
        <f t="shared" ca="1" si="23"/>
        <v>8.6570980302292888</v>
      </c>
      <c r="AF10" s="37">
        <f t="shared" ca="1" si="93"/>
        <v>2.2630588211802709</v>
      </c>
      <c r="AG10" s="37">
        <f t="shared" ca="1" si="24"/>
        <v>1.859934635737589</v>
      </c>
      <c r="AH10" s="37">
        <f t="shared" ca="1" si="25"/>
        <v>11.015947700983329</v>
      </c>
      <c r="AI10" s="37">
        <f t="shared" ca="1" si="26"/>
        <v>4.9571764654424975</v>
      </c>
      <c r="AJ10" s="37">
        <f t="shared" ca="1" si="27"/>
        <v>0.80677684199526589</v>
      </c>
      <c r="AK10" s="37">
        <f t="shared" ca="1" si="28"/>
        <v>8.1326274436719537</v>
      </c>
      <c r="AL10" s="37">
        <f t="shared" ca="1" si="29"/>
        <v>9.0282875723276401</v>
      </c>
      <c r="AM10" s="37">
        <f t="shared" ca="1" si="30"/>
        <v>8.4774901872784731</v>
      </c>
      <c r="AN10" s="37">
        <f t="shared" ca="1" si="31"/>
        <v>0.80677684199526589</v>
      </c>
      <c r="AO10" s="37">
        <f t="shared" ca="1" si="32"/>
        <v>1.4324705846556509</v>
      </c>
      <c r="AP10" s="37">
        <f t="shared" ca="1" si="33"/>
        <v>3.2329411731146727</v>
      </c>
      <c r="AQ10" s="37">
        <f t="shared" ca="1" si="34"/>
        <v>7.1124705808522792</v>
      </c>
      <c r="AR10" s="37">
        <f t="shared" ca="1" si="94"/>
        <v>1.6164705865573363</v>
      </c>
      <c r="AS10" s="37">
        <f t="shared" ca="1" si="35"/>
        <v>4.5604631068474903</v>
      </c>
      <c r="AT10" s="37">
        <f t="shared" ca="1" si="36"/>
        <v>1.0180298770023029</v>
      </c>
      <c r="AU10" s="37">
        <f t="shared" ca="1" si="37"/>
        <v>2.5107327227821128</v>
      </c>
      <c r="AV10" s="37">
        <f t="shared" ca="1" si="95"/>
        <v>0.50901493850115143</v>
      </c>
      <c r="AW10" s="37">
        <f t="shared" ca="1" si="38"/>
        <v>2.2630588211802709</v>
      </c>
      <c r="AX10" s="37">
        <f t="shared" ca="1" si="39"/>
        <v>4.7895424786884035</v>
      </c>
      <c r="AY10" s="37">
        <f t="shared" ca="1" si="96"/>
        <v>1.1315294105901355</v>
      </c>
      <c r="AZ10" s="37">
        <f t="shared" ca="1" si="40"/>
        <v>4.8309990538638674</v>
      </c>
      <c r="BA10" s="37">
        <f t="shared" ca="1" si="41"/>
        <v>1.9812427606275587</v>
      </c>
      <c r="BB10" s="37">
        <f t="shared" ca="1" si="42"/>
        <v>4.5773804786789913</v>
      </c>
      <c r="BC10" s="37">
        <f t="shared" ca="1" si="97"/>
        <v>0.99062138031377933</v>
      </c>
      <c r="BD10" s="37">
        <f t="shared" ca="1" si="43"/>
        <v>3.4843921532458135</v>
      </c>
      <c r="BE10" s="37">
        <f t="shared" ca="1" si="44"/>
        <v>4.1669019564589105</v>
      </c>
      <c r="BF10" s="37">
        <f t="shared" ca="1" si="45"/>
        <v>4.256110166454067</v>
      </c>
      <c r="BG10" s="37">
        <f t="shared" ca="1" si="46"/>
        <v>10.405758158884979</v>
      </c>
      <c r="BH10" s="37">
        <f t="shared" ca="1" si="47"/>
        <v>1.8872707719811923</v>
      </c>
      <c r="BI10" s="37">
        <f t="shared" ca="1" si="48"/>
        <v>5.8073202554096888</v>
      </c>
      <c r="BJ10" s="37">
        <f t="shared" ca="1" si="49"/>
        <v>3.1610980359343466</v>
      </c>
      <c r="BK10" s="37">
        <f t="shared" ca="1" si="50"/>
        <v>1.8406106395221336</v>
      </c>
      <c r="BL10" s="37">
        <f t="shared" ca="1" si="51"/>
        <v>10.882293173077022</v>
      </c>
      <c r="BM10" s="37">
        <f t="shared" ca="1" si="52"/>
        <v>0.40721195080092115</v>
      </c>
      <c r="BN10" s="37">
        <f t="shared" ca="1" si="53"/>
        <v>2.1552941154097813</v>
      </c>
      <c r="BO10" s="37">
        <f t="shared" ca="1" si="54"/>
        <v>0.81422222137702871</v>
      </c>
      <c r="BP10" s="37">
        <f t="shared" ca="1" si="55"/>
        <v>1.4734547114284795</v>
      </c>
      <c r="BQ10" s="37">
        <f t="shared" ca="1" si="56"/>
        <v>16.070664783268931</v>
      </c>
      <c r="BR10" s="37">
        <f t="shared" ca="1" si="57"/>
        <v>1.0571848722716224</v>
      </c>
      <c r="BS10" s="37">
        <f t="shared" ca="1" si="58"/>
        <v>3.4005751598687661</v>
      </c>
      <c r="BT10" s="37">
        <f t="shared" ca="1" si="59"/>
        <v>2.9216209119999261</v>
      </c>
      <c r="BU10" s="37">
        <f t="shared" ca="1" si="60"/>
        <v>3.0483604029881004</v>
      </c>
      <c r="BV10" s="37">
        <f t="shared" ca="1" si="61"/>
        <v>11.220744153208161</v>
      </c>
      <c r="BW10" s="37">
        <f t="shared" ca="1" si="62"/>
        <v>1.1589878599718524</v>
      </c>
      <c r="BX10" s="37">
        <f t="shared" ca="1" si="63"/>
        <v>1.9613856158687304</v>
      </c>
      <c r="BY10" s="37">
        <f t="shared" ca="1" si="64"/>
        <v>5.1027005070630747</v>
      </c>
      <c r="BZ10" s="37">
        <f t="shared" ca="1" si="65"/>
        <v>9.5464549346507148</v>
      </c>
      <c r="CA10" s="37">
        <f t="shared" ca="1" si="98"/>
        <v>5.1027005070630747</v>
      </c>
      <c r="CB10" s="37">
        <f t="shared" ca="1" si="66"/>
        <v>6.5297124105571891</v>
      </c>
      <c r="CC10" s="37">
        <f t="shared" ca="1" si="67"/>
        <v>11.970637704739634</v>
      </c>
      <c r="CD10" s="37">
        <f t="shared" ca="1" si="99"/>
        <v>6.5297124105571891</v>
      </c>
      <c r="CE10" s="37">
        <f t="shared" ca="1" si="68"/>
        <v>1.2077497634659669</v>
      </c>
    </row>
    <row r="11" spans="1:83" x14ac:dyDescent="0.25">
      <c r="A11" t="e">
        <f>PLANTILLA!#REF!</f>
        <v>#REF!</v>
      </c>
      <c r="B11" t="e">
        <f>PLANTILLA!#REF!</f>
        <v>#REF!</v>
      </c>
      <c r="C11" s="33" t="e">
        <f>PLANTILLA!#REF!</f>
        <v>#REF!</v>
      </c>
      <c r="D11" s="216" t="e">
        <f>PLANTILLA!#REF!</f>
        <v>#REF!</v>
      </c>
      <c r="E11" s="30" t="e">
        <f>PLANTILLA!#REF!</f>
        <v>#REF!</v>
      </c>
      <c r="F11" s="47" t="e">
        <f>PLANTILLA!#REF!</f>
        <v>#REF!</v>
      </c>
      <c r="G11" s="48" t="e">
        <f t="shared" si="81"/>
        <v>#REF!</v>
      </c>
      <c r="H11" s="48" t="e">
        <f t="shared" si="82"/>
        <v>#REF!</v>
      </c>
      <c r="I11" s="51" t="e">
        <f t="shared" ca="1" si="83"/>
        <v>#REF!</v>
      </c>
      <c r="J11" s="39" t="e">
        <f>PLANTILLA!#REF!</f>
        <v>#REF!</v>
      </c>
      <c r="K11" s="46" t="e">
        <f>PLANTILLA!#REF!</f>
        <v>#REF!</v>
      </c>
      <c r="L11" s="46" t="e">
        <f>PLANTILLA!#REF!</f>
        <v>#REF!</v>
      </c>
      <c r="M11" s="46" t="e">
        <f>PLANTILLA!#REF!</f>
        <v>#REF!</v>
      </c>
      <c r="N11" s="46" t="e">
        <f>PLANTILLA!#REF!</f>
        <v>#REF!</v>
      </c>
      <c r="O11" s="46" t="e">
        <f>PLANTILLA!#REF!</f>
        <v>#REF!</v>
      </c>
      <c r="P11" s="46" t="e">
        <f>PLANTILLA!#REF!</f>
        <v>#REF!</v>
      </c>
      <c r="Q11" s="46" t="e">
        <f>PLANTILLA!#REF!</f>
        <v>#REF!</v>
      </c>
      <c r="R11" s="46" t="e">
        <f t="shared" si="84"/>
        <v>#REF!</v>
      </c>
      <c r="S11" s="46" t="e">
        <f t="shared" si="85"/>
        <v>#REF!</v>
      </c>
      <c r="T11" s="46" t="e">
        <f t="shared" si="86"/>
        <v>#REF!</v>
      </c>
      <c r="U11" s="46" t="e">
        <f t="shared" ca="1" si="87"/>
        <v>#REF!</v>
      </c>
      <c r="V11" s="46" t="e">
        <f t="shared" si="88"/>
        <v>#REF!</v>
      </c>
      <c r="W11" s="37" t="e">
        <f t="shared" ca="1" si="89"/>
        <v>#REF!</v>
      </c>
      <c r="X11" s="37" t="e">
        <f t="shared" ca="1" si="90"/>
        <v>#REF!</v>
      </c>
      <c r="Y11" s="37" t="e">
        <f t="shared" ca="1" si="91"/>
        <v>#REF!</v>
      </c>
      <c r="Z11" s="37" t="e">
        <f t="shared" ca="1" si="19"/>
        <v>#REF!</v>
      </c>
      <c r="AA11" s="37" t="e">
        <f t="shared" ca="1" si="20"/>
        <v>#REF!</v>
      </c>
      <c r="AB11" s="37" t="e">
        <f t="shared" ca="1" si="92"/>
        <v>#REF!</v>
      </c>
      <c r="AC11" s="37" t="e">
        <f t="shared" ca="1" si="21"/>
        <v>#REF!</v>
      </c>
      <c r="AD11" s="37" t="e">
        <f t="shared" ca="1" si="22"/>
        <v>#REF!</v>
      </c>
      <c r="AE11" s="37" t="e">
        <f t="shared" ca="1" si="23"/>
        <v>#REF!</v>
      </c>
      <c r="AF11" s="37" t="e">
        <f t="shared" ca="1" si="93"/>
        <v>#REF!</v>
      </c>
      <c r="AG11" s="37" t="e">
        <f t="shared" ca="1" si="24"/>
        <v>#REF!</v>
      </c>
      <c r="AH11" s="37" t="e">
        <f t="shared" ca="1" si="25"/>
        <v>#REF!</v>
      </c>
      <c r="AI11" s="37" t="e">
        <f t="shared" ca="1" si="26"/>
        <v>#REF!</v>
      </c>
      <c r="AJ11" s="37" t="e">
        <f t="shared" ca="1" si="27"/>
        <v>#REF!</v>
      </c>
      <c r="AK11" s="37" t="e">
        <f t="shared" ca="1" si="28"/>
        <v>#REF!</v>
      </c>
      <c r="AL11" s="37" t="e">
        <f t="shared" ca="1" si="29"/>
        <v>#REF!</v>
      </c>
      <c r="AM11" s="37" t="e">
        <f t="shared" ca="1" si="30"/>
        <v>#REF!</v>
      </c>
      <c r="AN11" s="37" t="e">
        <f t="shared" ca="1" si="31"/>
        <v>#REF!</v>
      </c>
      <c r="AO11" s="37" t="e">
        <f t="shared" ca="1" si="32"/>
        <v>#REF!</v>
      </c>
      <c r="AP11" s="37" t="e">
        <f t="shared" ca="1" si="33"/>
        <v>#REF!</v>
      </c>
      <c r="AQ11" s="37" t="e">
        <f t="shared" ca="1" si="34"/>
        <v>#REF!</v>
      </c>
      <c r="AR11" s="37" t="e">
        <f t="shared" ca="1" si="94"/>
        <v>#REF!</v>
      </c>
      <c r="AS11" s="37" t="e">
        <f t="shared" ca="1" si="35"/>
        <v>#REF!</v>
      </c>
      <c r="AT11" s="37" t="e">
        <f t="shared" ca="1" si="36"/>
        <v>#REF!</v>
      </c>
      <c r="AU11" s="37" t="e">
        <f t="shared" ca="1" si="37"/>
        <v>#REF!</v>
      </c>
      <c r="AV11" s="37" t="e">
        <f t="shared" ca="1" si="95"/>
        <v>#REF!</v>
      </c>
      <c r="AW11" s="37" t="e">
        <f t="shared" ca="1" si="38"/>
        <v>#REF!</v>
      </c>
      <c r="AX11" s="37" t="e">
        <f t="shared" ca="1" si="39"/>
        <v>#REF!</v>
      </c>
      <c r="AY11" s="37" t="e">
        <f t="shared" ca="1" si="96"/>
        <v>#REF!</v>
      </c>
      <c r="AZ11" s="37" t="e">
        <f t="shared" ca="1" si="40"/>
        <v>#REF!</v>
      </c>
      <c r="BA11" s="37" t="e">
        <f t="shared" ca="1" si="41"/>
        <v>#REF!</v>
      </c>
      <c r="BB11" s="37" t="e">
        <f t="shared" ca="1" si="42"/>
        <v>#REF!</v>
      </c>
      <c r="BC11" s="37" t="e">
        <f t="shared" ca="1" si="97"/>
        <v>#REF!</v>
      </c>
      <c r="BD11" s="37" t="e">
        <f t="shared" ca="1" si="43"/>
        <v>#REF!</v>
      </c>
      <c r="BE11" s="37" t="e">
        <f t="shared" ca="1" si="44"/>
        <v>#REF!</v>
      </c>
      <c r="BF11" s="37" t="e">
        <f t="shared" ca="1" si="45"/>
        <v>#REF!</v>
      </c>
      <c r="BG11" s="37" t="e">
        <f t="shared" ca="1" si="46"/>
        <v>#REF!</v>
      </c>
      <c r="BH11" s="37" t="e">
        <f t="shared" ca="1" si="47"/>
        <v>#REF!</v>
      </c>
      <c r="BI11" s="37" t="e">
        <f t="shared" ca="1" si="48"/>
        <v>#REF!</v>
      </c>
      <c r="BJ11" s="37" t="e">
        <f t="shared" ca="1" si="49"/>
        <v>#REF!</v>
      </c>
      <c r="BK11" s="37" t="e">
        <f t="shared" ca="1" si="50"/>
        <v>#REF!</v>
      </c>
      <c r="BL11" s="37" t="e">
        <f t="shared" ca="1" si="51"/>
        <v>#REF!</v>
      </c>
      <c r="BM11" s="37" t="e">
        <f t="shared" ca="1" si="52"/>
        <v>#REF!</v>
      </c>
      <c r="BN11" s="37" t="e">
        <f t="shared" ca="1" si="53"/>
        <v>#REF!</v>
      </c>
      <c r="BO11" s="37" t="e">
        <f t="shared" ca="1" si="54"/>
        <v>#REF!</v>
      </c>
      <c r="BP11" s="37" t="e">
        <f t="shared" ca="1" si="55"/>
        <v>#REF!</v>
      </c>
      <c r="BQ11" s="37" t="e">
        <f t="shared" ca="1" si="56"/>
        <v>#REF!</v>
      </c>
      <c r="BR11" s="37" t="e">
        <f t="shared" ca="1" si="57"/>
        <v>#REF!</v>
      </c>
      <c r="BS11" s="37" t="e">
        <f t="shared" ca="1" si="58"/>
        <v>#REF!</v>
      </c>
      <c r="BT11" s="37" t="e">
        <f t="shared" ca="1" si="59"/>
        <v>#REF!</v>
      </c>
      <c r="BU11" s="37" t="e">
        <f t="shared" ca="1" si="60"/>
        <v>#REF!</v>
      </c>
      <c r="BV11" s="37" t="e">
        <f t="shared" ca="1" si="61"/>
        <v>#REF!</v>
      </c>
      <c r="BW11" s="37" t="e">
        <f t="shared" ca="1" si="62"/>
        <v>#REF!</v>
      </c>
      <c r="BX11" s="37" t="e">
        <f t="shared" ca="1" si="63"/>
        <v>#REF!</v>
      </c>
      <c r="BY11" s="37" t="e">
        <f t="shared" si="64"/>
        <v>#REF!</v>
      </c>
      <c r="BZ11" s="37" t="e">
        <f t="shared" si="65"/>
        <v>#REF!</v>
      </c>
      <c r="CA11" s="37" t="e">
        <f t="shared" si="98"/>
        <v>#REF!</v>
      </c>
      <c r="CB11" s="37" t="e">
        <f t="shared" ca="1" si="66"/>
        <v>#REF!</v>
      </c>
      <c r="CC11" s="37" t="e">
        <f t="shared" ca="1" si="67"/>
        <v>#REF!</v>
      </c>
      <c r="CD11" s="37" t="e">
        <f t="shared" ca="1" si="99"/>
        <v>#REF!</v>
      </c>
      <c r="CE11" s="37" t="e">
        <f t="shared" ca="1" si="68"/>
        <v>#REF!</v>
      </c>
    </row>
    <row r="12" spans="1:83" x14ac:dyDescent="0.25">
      <c r="A12" t="str">
        <f>PLANTILLA!D10</f>
        <v>Eckardt Hägerling</v>
      </c>
      <c r="B12">
        <f>PLANTILLA!E10</f>
        <v>22</v>
      </c>
      <c r="C12" s="33">
        <f ca="1">PLANTILLA!F10</f>
        <v>35</v>
      </c>
      <c r="D12" s="216" t="str">
        <f>PLANTILLA!G10</f>
        <v>IMP</v>
      </c>
      <c r="E12" s="30">
        <f>PLANTILLA!M10</f>
        <v>43045</v>
      </c>
      <c r="F12" s="47">
        <f>PLANTILLA!Q10</f>
        <v>5</v>
      </c>
      <c r="G12" s="48">
        <f t="shared" si="81"/>
        <v>0.84515425472851657</v>
      </c>
      <c r="H12" s="48">
        <f t="shared" si="82"/>
        <v>0.92504826128926143</v>
      </c>
      <c r="I12" s="51">
        <f t="shared" ca="1" si="83"/>
        <v>1</v>
      </c>
      <c r="J12" s="39">
        <f>PLANTILLA!I10</f>
        <v>2.2000000000000002</v>
      </c>
      <c r="K12" s="46">
        <f>PLANTILLA!X10</f>
        <v>0</v>
      </c>
      <c r="L12" s="46">
        <f>PLANTILLA!Y10</f>
        <v>6</v>
      </c>
      <c r="M12" s="46">
        <f>PLANTILLA!Z10</f>
        <v>3</v>
      </c>
      <c r="N12" s="46">
        <f>PLANTILLA!AA10</f>
        <v>6.15</v>
      </c>
      <c r="O12" s="46">
        <f>PLANTILLA!AB10</f>
        <v>3</v>
      </c>
      <c r="P12" s="46">
        <f>PLANTILLA!AC10</f>
        <v>4.6633333333333322</v>
      </c>
      <c r="Q12" s="46">
        <f>PLANTILLA!AD10</f>
        <v>3</v>
      </c>
      <c r="R12" s="46">
        <f t="shared" si="84"/>
        <v>1.875</v>
      </c>
      <c r="S12" s="46">
        <f t="shared" si="85"/>
        <v>0.3231666666666666</v>
      </c>
      <c r="T12" s="46">
        <f t="shared" si="86"/>
        <v>0.33</v>
      </c>
      <c r="U12" s="46">
        <f t="shared" ca="1" si="87"/>
        <v>3.7664836663973098</v>
      </c>
      <c r="V12" s="46">
        <f t="shared" ca="1" si="88"/>
        <v>4.1225363858511654</v>
      </c>
      <c r="W12" s="37">
        <f t="shared" ca="1" si="89"/>
        <v>2.9275800004770485</v>
      </c>
      <c r="X12" s="37">
        <f t="shared" ca="1" si="90"/>
        <v>4.4304235745886249</v>
      </c>
      <c r="Y12" s="37">
        <f t="shared" ca="1" si="91"/>
        <v>2.9275800004770485</v>
      </c>
      <c r="Z12" s="37">
        <f t="shared" ca="1" si="19"/>
        <v>3.8475868044056782</v>
      </c>
      <c r="AA12" s="37">
        <f t="shared" ca="1" si="20"/>
        <v>7.4565635744296088</v>
      </c>
      <c r="AB12" s="37">
        <f t="shared" ca="1" si="92"/>
        <v>1.9237934022028391</v>
      </c>
      <c r="AC12" s="37">
        <f t="shared" ca="1" si="21"/>
        <v>1.0606621307142468</v>
      </c>
      <c r="AD12" s="37">
        <f t="shared" ca="1" si="22"/>
        <v>2.818581031134392</v>
      </c>
      <c r="AE12" s="37">
        <f t="shared" ca="1" si="23"/>
        <v>5.391095464312607</v>
      </c>
      <c r="AF12" s="37">
        <f t="shared" ca="1" si="93"/>
        <v>1.409290515567196</v>
      </c>
      <c r="AG12" s="37">
        <f t="shared" ca="1" si="24"/>
        <v>1.7157769761553994</v>
      </c>
      <c r="AH12" s="37">
        <f t="shared" ca="1" si="25"/>
        <v>6.8600384884752401</v>
      </c>
      <c r="AI12" s="37">
        <f t="shared" ca="1" si="26"/>
        <v>3.087017319813858</v>
      </c>
      <c r="AJ12" s="37">
        <f t="shared" ca="1" si="27"/>
        <v>0.74424611692974474</v>
      </c>
      <c r="AK12" s="37">
        <f t="shared" ca="1" si="28"/>
        <v>4.4726593817646103</v>
      </c>
      <c r="AL12" s="37">
        <f t="shared" ca="1" si="29"/>
        <v>5.6222489351199254</v>
      </c>
      <c r="AM12" s="37">
        <f t="shared" ca="1" si="30"/>
        <v>5.2792470106961629</v>
      </c>
      <c r="AN12" s="37">
        <f t="shared" ca="1" si="31"/>
        <v>0.74424611692974474</v>
      </c>
      <c r="AO12" s="37">
        <f t="shared" ca="1" si="32"/>
        <v>0.95949030943572711</v>
      </c>
      <c r="AP12" s="37">
        <f t="shared" ca="1" si="33"/>
        <v>2.0132721650959944</v>
      </c>
      <c r="AQ12" s="37">
        <f t="shared" ca="1" si="34"/>
        <v>4.4291987632111871</v>
      </c>
      <c r="AR12" s="37">
        <f t="shared" ca="1" si="94"/>
        <v>1.0066360825479972</v>
      </c>
      <c r="AS12" s="37">
        <f t="shared" ca="1" si="35"/>
        <v>4.2069960142615503</v>
      </c>
      <c r="AT12" s="37">
        <f t="shared" ca="1" si="36"/>
        <v>0.57935326467584913</v>
      </c>
      <c r="AU12" s="37">
        <f t="shared" ca="1" si="37"/>
        <v>1.5935297939745419</v>
      </c>
      <c r="AV12" s="37">
        <f t="shared" ca="1" si="95"/>
        <v>0.28967663233792457</v>
      </c>
      <c r="AW12" s="37">
        <f t="shared" ca="1" si="38"/>
        <v>1.409290515567196</v>
      </c>
      <c r="AX12" s="37">
        <f t="shared" ca="1" si="39"/>
        <v>2.9826254297718435</v>
      </c>
      <c r="AY12" s="37">
        <f t="shared" ca="1" si="96"/>
        <v>0.70464525778359799</v>
      </c>
      <c r="AZ12" s="37">
        <f t="shared" ca="1" si="40"/>
        <v>4.4565635744296088</v>
      </c>
      <c r="BA12" s="37">
        <f t="shared" ca="1" si="41"/>
        <v>1.127510584330691</v>
      </c>
      <c r="BB12" s="37">
        <f t="shared" ca="1" si="42"/>
        <v>2.8048665295107145</v>
      </c>
      <c r="BC12" s="37">
        <f t="shared" ca="1" si="97"/>
        <v>0.56375529216534548</v>
      </c>
      <c r="BD12" s="37">
        <f t="shared" ca="1" si="43"/>
        <v>2.1698600001590158</v>
      </c>
      <c r="BE12" s="37">
        <f t="shared" ca="1" si="44"/>
        <v>2.5948841239015037</v>
      </c>
      <c r="BF12" s="37">
        <f t="shared" ca="1" si="45"/>
        <v>3.9262325090724852</v>
      </c>
      <c r="BG12" s="37">
        <f t="shared" ca="1" si="46"/>
        <v>5.7699850176679215</v>
      </c>
      <c r="BH12" s="37">
        <f t="shared" ca="1" si="47"/>
        <v>1.0740318214375357</v>
      </c>
      <c r="BI12" s="37">
        <f t="shared" ca="1" si="48"/>
        <v>3.6164333335983603</v>
      </c>
      <c r="BJ12" s="37">
        <f t="shared" ca="1" si="49"/>
        <v>1.9685327836494169</v>
      </c>
      <c r="BK12" s="37">
        <f t="shared" ca="1" si="50"/>
        <v>1.697950721857681</v>
      </c>
      <c r="BL12" s="37">
        <f t="shared" ca="1" si="51"/>
        <v>6.0149865640514788</v>
      </c>
      <c r="BM12" s="37">
        <f t="shared" ca="1" si="52"/>
        <v>0.23174130587033964</v>
      </c>
      <c r="BN12" s="37">
        <f t="shared" ca="1" si="53"/>
        <v>1.3421814433973296</v>
      </c>
      <c r="BO12" s="37">
        <f t="shared" ca="1" si="54"/>
        <v>0.50704632306121344</v>
      </c>
      <c r="BP12" s="37">
        <f t="shared" ca="1" si="55"/>
        <v>1.3592518902010307</v>
      </c>
      <c r="BQ12" s="37">
        <f t="shared" ca="1" si="56"/>
        <v>8.8811407567164764</v>
      </c>
      <c r="BR12" s="37">
        <f t="shared" ca="1" si="57"/>
        <v>0.60163608254799728</v>
      </c>
      <c r="BS12" s="37">
        <f t="shared" ca="1" si="58"/>
        <v>2.1176640551380088</v>
      </c>
      <c r="BT12" s="37">
        <f t="shared" ca="1" si="59"/>
        <v>1.8194015121608245</v>
      </c>
      <c r="BU12" s="37">
        <f t="shared" ca="1" si="60"/>
        <v>2.812091615465083</v>
      </c>
      <c r="BV12" s="37">
        <f t="shared" ca="1" si="61"/>
        <v>6.1999243991144999</v>
      </c>
      <c r="BW12" s="37">
        <f t="shared" ca="1" si="62"/>
        <v>0.65957140901558209</v>
      </c>
      <c r="BX12" s="37">
        <f t="shared" ca="1" si="63"/>
        <v>1.8093648112184213</v>
      </c>
      <c r="BY12" s="37">
        <f t="shared" ca="1" si="64"/>
        <v>2.9867129556111589</v>
      </c>
      <c r="BZ12" s="37">
        <f t="shared" ca="1" si="65"/>
        <v>5.9878139181410717</v>
      </c>
      <c r="CA12" s="37">
        <f t="shared" ca="1" si="98"/>
        <v>2.9867129556111589</v>
      </c>
      <c r="CB12" s="37">
        <f t="shared" ca="1" si="66"/>
        <v>3.9050557735363132</v>
      </c>
      <c r="CC12" s="37">
        <f t="shared" ca="1" si="67"/>
        <v>7.7643688667274668</v>
      </c>
      <c r="CD12" s="37">
        <f t="shared" ca="1" si="99"/>
        <v>3.9050557735363132</v>
      </c>
      <c r="CE12" s="37">
        <f t="shared" ca="1" si="68"/>
        <v>1.1141408936074022</v>
      </c>
    </row>
    <row r="13" spans="1:83" x14ac:dyDescent="0.25">
      <c r="A13" t="str">
        <f>PLANTILLA!D18</f>
        <v>Fernando Gazón</v>
      </c>
      <c r="B13">
        <f>PLANTILLA!E18</f>
        <v>22</v>
      </c>
      <c r="C13" s="33">
        <f ca="1">PLANTILLA!F18</f>
        <v>76</v>
      </c>
      <c r="D13" s="216" t="str">
        <f>PLANTILLA!G18</f>
        <v>IMP</v>
      </c>
      <c r="E13" s="30">
        <f>PLANTILLA!M18</f>
        <v>43045</v>
      </c>
      <c r="F13" s="47">
        <f>PLANTILLA!Q18</f>
        <v>5</v>
      </c>
      <c r="G13" s="48">
        <f t="shared" si="81"/>
        <v>0.84515425472851657</v>
      </c>
      <c r="H13" s="48">
        <f t="shared" si="82"/>
        <v>0.92504826128926143</v>
      </c>
      <c r="I13" s="51">
        <f t="shared" ca="1" si="83"/>
        <v>1</v>
      </c>
      <c r="J13" s="39">
        <f>PLANTILLA!I18</f>
        <v>2.5</v>
      </c>
      <c r="K13" s="46">
        <f>PLANTILLA!X18</f>
        <v>0</v>
      </c>
      <c r="L13" s="46">
        <f>PLANTILLA!Y18</f>
        <v>4</v>
      </c>
      <c r="M13" s="46">
        <f>PLANTILLA!Z18</f>
        <v>6</v>
      </c>
      <c r="N13" s="46">
        <f>PLANTILLA!AA18</f>
        <v>6</v>
      </c>
      <c r="O13" s="46">
        <f>PLANTILLA!AB18</f>
        <v>4.25</v>
      </c>
      <c r="P13" s="46">
        <f>PLANTILLA!AC18</f>
        <v>5.6190261437908475</v>
      </c>
      <c r="Q13" s="46">
        <f>PLANTILLA!AD18</f>
        <v>3</v>
      </c>
      <c r="R13" s="46">
        <f t="shared" si="84"/>
        <v>1.9375</v>
      </c>
      <c r="S13" s="46">
        <f t="shared" si="85"/>
        <v>0.37095130718954239</v>
      </c>
      <c r="T13" s="46">
        <f t="shared" si="86"/>
        <v>0.25</v>
      </c>
      <c r="U13" s="46">
        <f t="shared" ca="1" si="87"/>
        <v>3.8290446075219</v>
      </c>
      <c r="V13" s="46">
        <f t="shared" ca="1" si="88"/>
        <v>4.1910113293163818</v>
      </c>
      <c r="W13" s="37">
        <f t="shared" ca="1" si="89"/>
        <v>2.4402021700942518</v>
      </c>
      <c r="X13" s="37">
        <f t="shared" ca="1" si="90"/>
        <v>3.6759874015941341</v>
      </c>
      <c r="Y13" s="37">
        <f t="shared" ca="1" si="91"/>
        <v>2.4402021700942518</v>
      </c>
      <c r="Z13" s="37">
        <f t="shared" ca="1" si="19"/>
        <v>2.853782725966362</v>
      </c>
      <c r="AA13" s="37">
        <f t="shared" ca="1" si="20"/>
        <v>5.5305866782293833</v>
      </c>
      <c r="AB13" s="37">
        <f t="shared" ca="1" si="92"/>
        <v>1.426891362983181</v>
      </c>
      <c r="AC13" s="37">
        <f t="shared" ca="1" si="21"/>
        <v>1.7922796294185932</v>
      </c>
      <c r="AD13" s="37">
        <f t="shared" ca="1" si="22"/>
        <v>2.0905617643707068</v>
      </c>
      <c r="AE13" s="37">
        <f t="shared" ca="1" si="23"/>
        <v>3.9986141683598442</v>
      </c>
      <c r="AF13" s="37">
        <f t="shared" ca="1" si="93"/>
        <v>1.0452808821853534</v>
      </c>
      <c r="AG13" s="37">
        <f t="shared" ca="1" si="24"/>
        <v>2.8992758711183129</v>
      </c>
      <c r="AH13" s="37">
        <f t="shared" ca="1" si="25"/>
        <v>5.0881397439710332</v>
      </c>
      <c r="AI13" s="37">
        <f t="shared" ca="1" si="26"/>
        <v>2.2896628847869644</v>
      </c>
      <c r="AJ13" s="37">
        <f t="shared" ca="1" si="27"/>
        <v>1.257607975264307</v>
      </c>
      <c r="AK13" s="37">
        <f t="shared" ca="1" si="28"/>
        <v>4.4279849667988769</v>
      </c>
      <c r="AL13" s="37">
        <f t="shared" ca="1" si="29"/>
        <v>4.170062355384955</v>
      </c>
      <c r="AM13" s="37">
        <f t="shared" ca="1" si="30"/>
        <v>3.9156553681864033</v>
      </c>
      <c r="AN13" s="37">
        <f t="shared" ca="1" si="31"/>
        <v>0.75660797526430701</v>
      </c>
      <c r="AO13" s="37">
        <f t="shared" ca="1" si="32"/>
        <v>0.9988089633300623</v>
      </c>
      <c r="AP13" s="37">
        <f t="shared" ca="1" si="33"/>
        <v>1.4932584031219336</v>
      </c>
      <c r="AQ13" s="37">
        <f t="shared" ca="1" si="34"/>
        <v>3.2851684868682534</v>
      </c>
      <c r="AR13" s="37">
        <f t="shared" ca="1" si="94"/>
        <v>0.74662920156096679</v>
      </c>
      <c r="AS13" s="37">
        <f t="shared" ca="1" si="35"/>
        <v>7.1088738242485379</v>
      </c>
      <c r="AT13" s="37">
        <f t="shared" ca="1" si="36"/>
        <v>0.75147626816981983</v>
      </c>
      <c r="AU13" s="37">
        <f t="shared" ca="1" si="37"/>
        <v>1.9305534195970258</v>
      </c>
      <c r="AV13" s="37">
        <f t="shared" ca="1" si="95"/>
        <v>0.37573813408490991</v>
      </c>
      <c r="AW13" s="37">
        <f t="shared" ca="1" si="38"/>
        <v>1.0452808821853534</v>
      </c>
      <c r="AX13" s="37">
        <f t="shared" ca="1" si="39"/>
        <v>2.2122346712917533</v>
      </c>
      <c r="AY13" s="37">
        <f t="shared" ca="1" si="96"/>
        <v>0.52264044109267671</v>
      </c>
      <c r="AZ13" s="37">
        <f t="shared" ca="1" si="40"/>
        <v>7.5305866782293833</v>
      </c>
      <c r="BA13" s="37">
        <f t="shared" ca="1" si="41"/>
        <v>1.462488429592034</v>
      </c>
      <c r="BB13" s="37">
        <f t="shared" ca="1" si="42"/>
        <v>3.4725987499004685</v>
      </c>
      <c r="BC13" s="37">
        <f t="shared" ca="1" si="97"/>
        <v>0.73124421479601698</v>
      </c>
      <c r="BD13" s="37">
        <f t="shared" ca="1" si="43"/>
        <v>1.6094007233647505</v>
      </c>
      <c r="BE13" s="37">
        <f t="shared" ca="1" si="44"/>
        <v>1.9246441640238252</v>
      </c>
      <c r="BF13" s="37">
        <f t="shared" ca="1" si="45"/>
        <v>6.6344468635200871</v>
      </c>
      <c r="BG13" s="37">
        <f t="shared" ca="1" si="46"/>
        <v>6.1434415569459215</v>
      </c>
      <c r="BH13" s="37">
        <f t="shared" ca="1" si="47"/>
        <v>1.3931213894532812</v>
      </c>
      <c r="BI13" s="37">
        <f t="shared" ca="1" si="48"/>
        <v>2.6823345389412507</v>
      </c>
      <c r="BJ13" s="37">
        <f t="shared" ca="1" si="49"/>
        <v>1.4600748830525572</v>
      </c>
      <c r="BK13" s="37">
        <f t="shared" ca="1" si="50"/>
        <v>2.869153524405395</v>
      </c>
      <c r="BL13" s="37">
        <f t="shared" ca="1" si="51"/>
        <v>6.2299827567724808</v>
      </c>
      <c r="BM13" s="37">
        <f t="shared" ca="1" si="52"/>
        <v>0.30059050726792791</v>
      </c>
      <c r="BN13" s="37">
        <f t="shared" ca="1" si="53"/>
        <v>0.99550560208128891</v>
      </c>
      <c r="BO13" s="37">
        <f t="shared" ca="1" si="54"/>
        <v>0.37607989411959808</v>
      </c>
      <c r="BP13" s="37">
        <f t="shared" ca="1" si="55"/>
        <v>2.2968289368599617</v>
      </c>
      <c r="BQ13" s="37">
        <f t="shared" ca="1" si="56"/>
        <v>9.1838344682029867</v>
      </c>
      <c r="BR13" s="37">
        <f t="shared" ca="1" si="57"/>
        <v>0.78037920156096685</v>
      </c>
      <c r="BS13" s="37">
        <f t="shared" ca="1" si="58"/>
        <v>1.5706866166171447</v>
      </c>
      <c r="BT13" s="37">
        <f t="shared" ca="1" si="59"/>
        <v>1.3494631494879694</v>
      </c>
      <c r="BU13" s="37">
        <f t="shared" ca="1" si="60"/>
        <v>4.7518001939627412</v>
      </c>
      <c r="BV13" s="37">
        <f t="shared" ca="1" si="61"/>
        <v>6.402125077015298</v>
      </c>
      <c r="BW13" s="37">
        <f t="shared" ca="1" si="62"/>
        <v>0.85552682837794869</v>
      </c>
      <c r="BX13" s="37">
        <f t="shared" ca="1" si="63"/>
        <v>3.0574181913611298</v>
      </c>
      <c r="BY13" s="37">
        <f t="shared" ca="1" si="64"/>
        <v>3.4375519796189464</v>
      </c>
      <c r="BZ13" s="37">
        <f t="shared" ca="1" si="65"/>
        <v>7.3070828415163502</v>
      </c>
      <c r="CA13" s="37">
        <f t="shared" ca="1" si="98"/>
        <v>3.4375519796189464</v>
      </c>
      <c r="CB13" s="37">
        <f t="shared" ca="1" si="66"/>
        <v>4.3440022979225263</v>
      </c>
      <c r="CC13" s="37">
        <f t="shared" ca="1" si="67"/>
        <v>9.2826493062868742</v>
      </c>
      <c r="CD13" s="37">
        <f t="shared" ca="1" si="99"/>
        <v>4.3440022979225263</v>
      </c>
      <c r="CE13" s="37">
        <f t="shared" ca="1" si="68"/>
        <v>1.8826466695573458</v>
      </c>
    </row>
    <row r="14" spans="1:83" x14ac:dyDescent="0.25">
      <c r="A14" t="str">
        <f>PLANTILLA!D16</f>
        <v>David Garcia-Spiess</v>
      </c>
      <c r="B14">
        <f>PLANTILLA!E16</f>
        <v>30</v>
      </c>
      <c r="C14" s="33">
        <f ca="1">PLANTILLA!F16</f>
        <v>4</v>
      </c>
      <c r="D14" s="216" t="str">
        <f>PLANTILLA!G16</f>
        <v>POT</v>
      </c>
      <c r="E14" s="30">
        <f>PLANTILLA!M16</f>
        <v>43409</v>
      </c>
      <c r="F14" s="47">
        <f>PLANTILLA!Q16</f>
        <v>6</v>
      </c>
      <c r="G14" s="48">
        <f t="shared" si="81"/>
        <v>0.92582009977255142</v>
      </c>
      <c r="H14" s="48">
        <f t="shared" si="82"/>
        <v>0.99928545900129484</v>
      </c>
      <c r="I14" s="51">
        <f t="shared" ca="1" si="83"/>
        <v>0.82013355474523031</v>
      </c>
      <c r="J14" s="39">
        <f>PLANTILLA!I16</f>
        <v>7</v>
      </c>
      <c r="K14" s="46">
        <f>PLANTILLA!X16</f>
        <v>0</v>
      </c>
      <c r="L14" s="46">
        <f>PLANTILLA!Y16</f>
        <v>9</v>
      </c>
      <c r="M14" s="46">
        <f>PLANTILLA!Z16</f>
        <v>13</v>
      </c>
      <c r="N14" s="46">
        <f>PLANTILLA!AA16</f>
        <v>6</v>
      </c>
      <c r="O14" s="46">
        <f>PLANTILLA!AB16</f>
        <v>7</v>
      </c>
      <c r="P14" s="46">
        <f>PLANTILLA!AC16</f>
        <v>7</v>
      </c>
      <c r="Q14" s="46">
        <f>PLANTILLA!AD16</f>
        <v>17</v>
      </c>
      <c r="R14" s="46">
        <f t="shared" si="84"/>
        <v>3.25</v>
      </c>
      <c r="S14" s="46">
        <f t="shared" si="85"/>
        <v>0.86</v>
      </c>
      <c r="T14" s="46">
        <f t="shared" si="86"/>
        <v>0.86999999999999988</v>
      </c>
      <c r="U14" s="46">
        <f t="shared" ca="1" si="87"/>
        <v>17.541449494579204</v>
      </c>
      <c r="V14" s="46">
        <f t="shared" ca="1" si="88"/>
        <v>18.933392582473619</v>
      </c>
      <c r="W14" s="37">
        <f t="shared" ca="1" si="89"/>
        <v>4.1836707118691816</v>
      </c>
      <c r="X14" s="37">
        <f t="shared" ca="1" si="90"/>
        <v>6.3384878453872995</v>
      </c>
      <c r="Y14" s="37">
        <f t="shared" ca="1" si="91"/>
        <v>4.1836707118691816</v>
      </c>
      <c r="Z14" s="37">
        <f t="shared" ca="1" si="19"/>
        <v>5.6486163657783468</v>
      </c>
      <c r="AA14" s="37">
        <f t="shared" ca="1" si="20"/>
        <v>10.946930941430905</v>
      </c>
      <c r="AB14" s="37">
        <f t="shared" ca="1" si="92"/>
        <v>2.8243081828891734</v>
      </c>
      <c r="AC14" s="37">
        <f ca="1">((M14+I14+(LOG(J14)*4/3))*0.238)</f>
        <v>3.5573695640605552</v>
      </c>
      <c r="AD14" s="37">
        <f t="shared" ca="1" si="22"/>
        <v>4.1379398958608817</v>
      </c>
      <c r="AE14" s="37">
        <f t="shared" ca="1" si="23"/>
        <v>7.9146310706545435</v>
      </c>
      <c r="AF14" s="37">
        <f t="shared" ca="1" si="93"/>
        <v>2.0689699479304409</v>
      </c>
      <c r="AG14" s="37">
        <f t="shared" ca="1" si="24"/>
        <v>5.7545684124508982</v>
      </c>
      <c r="AH14" s="37">
        <f t="shared" ca="1" si="25"/>
        <v>10.071176466116432</v>
      </c>
      <c r="AI14" s="37">
        <f t="shared" ca="1" si="26"/>
        <v>4.5320294097523943</v>
      </c>
      <c r="AJ14" s="37">
        <f t="shared" ca="1" si="27"/>
        <v>2.4961374672189613</v>
      </c>
      <c r="AK14" s="37">
        <f t="shared" ca="1" si="28"/>
        <v>4.6727953935613726</v>
      </c>
      <c r="AL14" s="37">
        <f t="shared" ca="1" si="29"/>
        <v>8.2539859298389029</v>
      </c>
      <c r="AM14" s="37">
        <f t="shared" ca="1" si="30"/>
        <v>7.7504271065330803</v>
      </c>
      <c r="AN14" s="37">
        <f t="shared" ca="1" si="31"/>
        <v>3.1641374672189615</v>
      </c>
      <c r="AO14" s="37">
        <f t="shared" ca="1" si="32"/>
        <v>1.496716111132101</v>
      </c>
      <c r="AP14" s="37">
        <f t="shared" ca="1" si="33"/>
        <v>2.9556713541863444</v>
      </c>
      <c r="AQ14" s="37">
        <f t="shared" ca="1" si="34"/>
        <v>6.5024769792099573</v>
      </c>
      <c r="AR14" s="37">
        <f t="shared" ca="1" si="94"/>
        <v>1.4778356770931722</v>
      </c>
      <c r="AS14" s="37">
        <f t="shared" ca="1" si="35"/>
        <v>14.109902808710773</v>
      </c>
      <c r="AT14" s="37">
        <f t="shared" ca="1" si="36"/>
        <v>1.1631010223860179</v>
      </c>
      <c r="AU14" s="37">
        <f t="shared" ca="1" si="37"/>
        <v>2.6214507658392554</v>
      </c>
      <c r="AV14" s="37">
        <f t="shared" ca="1" si="95"/>
        <v>0.58155051119300893</v>
      </c>
      <c r="AW14" s="37">
        <f t="shared" ca="1" si="38"/>
        <v>2.0689699479304409</v>
      </c>
      <c r="AX14" s="37">
        <f t="shared" ca="1" si="39"/>
        <v>4.3787723765723623</v>
      </c>
      <c r="AY14" s="37">
        <f t="shared" ca="1" si="96"/>
        <v>1.0344849739652204</v>
      </c>
      <c r="AZ14" s="37">
        <f t="shared" ca="1" si="40"/>
        <v>14.946930941430905</v>
      </c>
      <c r="BA14" s="37">
        <f t="shared" ca="1" si="41"/>
        <v>2.2635735281820195</v>
      </c>
      <c r="BB14" s="37">
        <f t="shared" ca="1" si="42"/>
        <v>4.9297589487284297</v>
      </c>
      <c r="BC14" s="37">
        <f t="shared" ca="1" si="97"/>
        <v>1.1317867640910098</v>
      </c>
      <c r="BD14" s="37">
        <f t="shared" ca="1" si="43"/>
        <v>3.1855569039563929</v>
      </c>
      <c r="BE14" s="37">
        <f t="shared" ca="1" si="44"/>
        <v>3.8095319676179544</v>
      </c>
      <c r="BF14" s="37">
        <f t="shared" ca="1" si="45"/>
        <v>13.168246159400628</v>
      </c>
      <c r="BG14" s="37">
        <f t="shared" ca="1" si="46"/>
        <v>7.3798216069320759</v>
      </c>
      <c r="BH14" s="37">
        <f t="shared" ca="1" si="47"/>
        <v>2.1562103568848485</v>
      </c>
      <c r="BI14" s="37">
        <f t="shared" ca="1" si="48"/>
        <v>5.3092615065939883</v>
      </c>
      <c r="BJ14" s="37">
        <f t="shared" ca="1" si="49"/>
        <v>2.8899897685377591</v>
      </c>
      <c r="BK14" s="37">
        <f t="shared" ca="1" si="50"/>
        <v>5.6947806886851744</v>
      </c>
      <c r="BL14" s="37">
        <f t="shared" ca="1" si="51"/>
        <v>7.1466176428106127</v>
      </c>
      <c r="BM14" s="37">
        <f t="shared" ca="1" si="52"/>
        <v>0.4652404089544071</v>
      </c>
      <c r="BN14" s="37">
        <f t="shared" ca="1" si="53"/>
        <v>1.9704475694575627</v>
      </c>
      <c r="BO14" s="37">
        <f t="shared" ca="1" si="54"/>
        <v>0.74439130401730158</v>
      </c>
      <c r="BP14" s="37">
        <f t="shared" ca="1" si="55"/>
        <v>4.558813937136426</v>
      </c>
      <c r="BQ14" s="37">
        <f t="shared" ca="1" si="56"/>
        <v>10.505753190680146</v>
      </c>
      <c r="BR14" s="37">
        <f t="shared" ca="1" si="57"/>
        <v>1.2078356770931724</v>
      </c>
      <c r="BS14" s="37">
        <f t="shared" ca="1" si="58"/>
        <v>3.1089283873663769</v>
      </c>
      <c r="BT14" s="37">
        <f t="shared" ca="1" si="59"/>
        <v>2.6710511497091409</v>
      </c>
      <c r="BU14" s="37">
        <f t="shared" ca="1" si="60"/>
        <v>9.4315134240429011</v>
      </c>
      <c r="BV14" s="37">
        <f t="shared" ca="1" si="61"/>
        <v>7.3055031925806606</v>
      </c>
      <c r="BW14" s="37">
        <f t="shared" ca="1" si="62"/>
        <v>1.3241457793317741</v>
      </c>
      <c r="BX14" s="37">
        <f t="shared" ca="1" si="63"/>
        <v>6.0684539622209481</v>
      </c>
      <c r="BY14" s="37">
        <f t="shared" ca="1" si="64"/>
        <v>4.5173510204855027</v>
      </c>
      <c r="BZ14" s="37">
        <f t="shared" ca="1" si="65"/>
        <v>10.0742442400512</v>
      </c>
      <c r="CA14" s="37">
        <f t="shared" ca="1" si="98"/>
        <v>4.5173510204855027</v>
      </c>
      <c r="CB14" s="37">
        <f t="shared" ca="1" si="66"/>
        <v>5.3529379765114555</v>
      </c>
      <c r="CC14" s="37">
        <f t="shared" ca="1" si="67"/>
        <v>12.248348458818912</v>
      </c>
      <c r="CD14" s="37">
        <f t="shared" ca="1" si="99"/>
        <v>5.3529379765114555</v>
      </c>
      <c r="CE14" s="37">
        <f t="shared" ca="1" si="68"/>
        <v>3.7367327353577262</v>
      </c>
    </row>
    <row r="15" spans="1:83" x14ac:dyDescent="0.25">
      <c r="A15" t="e">
        <f>PLANTILLA!#REF!</f>
        <v>#REF!</v>
      </c>
      <c r="B15" t="e">
        <f>PLANTILLA!#REF!</f>
        <v>#REF!</v>
      </c>
      <c r="C15" s="33" t="e">
        <f>PLANTILLA!#REF!</f>
        <v>#REF!</v>
      </c>
      <c r="D15" s="216"/>
      <c r="E15" s="30" t="e">
        <f>PLANTILLA!#REF!</f>
        <v>#REF!</v>
      </c>
      <c r="F15" s="47" t="e">
        <f>PLANTILLA!#REF!</f>
        <v>#REF!</v>
      </c>
      <c r="G15" s="48" t="e">
        <f t="shared" si="81"/>
        <v>#REF!</v>
      </c>
      <c r="H15" s="48" t="e">
        <f t="shared" si="82"/>
        <v>#REF!</v>
      </c>
      <c r="I15" s="51" t="e">
        <f t="shared" ca="1" si="83"/>
        <v>#REF!</v>
      </c>
      <c r="J15" s="39" t="e">
        <f>PLANTILLA!#REF!</f>
        <v>#REF!</v>
      </c>
      <c r="K15" s="46" t="e">
        <f>PLANTILLA!#REF!</f>
        <v>#REF!</v>
      </c>
      <c r="L15" s="46" t="e">
        <f>PLANTILLA!#REF!</f>
        <v>#REF!</v>
      </c>
      <c r="M15" s="46" t="e">
        <f>PLANTILLA!#REF!</f>
        <v>#REF!</v>
      </c>
      <c r="N15" s="46" t="e">
        <f>PLANTILLA!#REF!</f>
        <v>#REF!</v>
      </c>
      <c r="O15" s="46" t="e">
        <f>PLANTILLA!#REF!</f>
        <v>#REF!</v>
      </c>
      <c r="P15" s="46" t="e">
        <f>PLANTILLA!#REF!</f>
        <v>#REF!</v>
      </c>
      <c r="Q15" s="46" t="e">
        <f>PLANTILLA!#REF!</f>
        <v>#REF!</v>
      </c>
      <c r="R15" s="46" t="e">
        <f t="shared" si="84"/>
        <v>#REF!</v>
      </c>
      <c r="S15" s="46" t="e">
        <f t="shared" si="85"/>
        <v>#REF!</v>
      </c>
      <c r="T15" s="46" t="e">
        <f t="shared" si="86"/>
        <v>#REF!</v>
      </c>
      <c r="U15" s="46" t="e">
        <f t="shared" ca="1" si="87"/>
        <v>#REF!</v>
      </c>
      <c r="V15" s="46" t="e">
        <f t="shared" si="88"/>
        <v>#REF!</v>
      </c>
      <c r="W15" s="37" t="e">
        <f t="shared" ca="1" si="89"/>
        <v>#REF!</v>
      </c>
      <c r="X15" s="37" t="e">
        <f t="shared" ca="1" si="90"/>
        <v>#REF!</v>
      </c>
      <c r="Y15" s="37" t="e">
        <f t="shared" ca="1" si="91"/>
        <v>#REF!</v>
      </c>
      <c r="Z15" s="37" t="e">
        <f t="shared" ca="1" si="19"/>
        <v>#REF!</v>
      </c>
      <c r="AA15" s="37" t="e">
        <f t="shared" ca="1" si="20"/>
        <v>#REF!</v>
      </c>
      <c r="AB15" s="37" t="e">
        <f t="shared" ca="1" si="92"/>
        <v>#REF!</v>
      </c>
      <c r="AC15" s="37" t="e">
        <f t="shared" ca="1" si="21"/>
        <v>#REF!</v>
      </c>
      <c r="AD15" s="37" t="e">
        <f t="shared" ca="1" si="22"/>
        <v>#REF!</v>
      </c>
      <c r="AE15" s="37" t="e">
        <f t="shared" ca="1" si="23"/>
        <v>#REF!</v>
      </c>
      <c r="AF15" s="37" t="e">
        <f t="shared" ca="1" si="93"/>
        <v>#REF!</v>
      </c>
      <c r="AG15" s="37" t="e">
        <f t="shared" ca="1" si="24"/>
        <v>#REF!</v>
      </c>
      <c r="AH15" s="37" t="e">
        <f t="shared" ca="1" si="25"/>
        <v>#REF!</v>
      </c>
      <c r="AI15" s="37" t="e">
        <f t="shared" ca="1" si="26"/>
        <v>#REF!</v>
      </c>
      <c r="AJ15" s="37" t="e">
        <f t="shared" ca="1" si="27"/>
        <v>#REF!</v>
      </c>
      <c r="AK15" s="37" t="e">
        <f t="shared" ca="1" si="28"/>
        <v>#REF!</v>
      </c>
      <c r="AL15" s="37" t="e">
        <f t="shared" ca="1" si="29"/>
        <v>#REF!</v>
      </c>
      <c r="AM15" s="37" t="e">
        <f t="shared" ca="1" si="30"/>
        <v>#REF!</v>
      </c>
      <c r="AN15" s="37" t="e">
        <f t="shared" ca="1" si="31"/>
        <v>#REF!</v>
      </c>
      <c r="AO15" s="37" t="e">
        <f t="shared" ca="1" si="32"/>
        <v>#REF!</v>
      </c>
      <c r="AP15" s="37" t="e">
        <f t="shared" ca="1" si="33"/>
        <v>#REF!</v>
      </c>
      <c r="AQ15" s="37" t="e">
        <f t="shared" ca="1" si="34"/>
        <v>#REF!</v>
      </c>
      <c r="AR15" s="37" t="e">
        <f t="shared" ca="1" si="94"/>
        <v>#REF!</v>
      </c>
      <c r="AS15" s="37" t="e">
        <f t="shared" ca="1" si="35"/>
        <v>#REF!</v>
      </c>
      <c r="AT15" s="37" t="e">
        <f t="shared" ca="1" si="36"/>
        <v>#REF!</v>
      </c>
      <c r="AU15" s="37" t="e">
        <f t="shared" ca="1" si="37"/>
        <v>#REF!</v>
      </c>
      <c r="AV15" s="37" t="e">
        <f t="shared" ca="1" si="95"/>
        <v>#REF!</v>
      </c>
      <c r="AW15" s="37" t="e">
        <f t="shared" ca="1" si="38"/>
        <v>#REF!</v>
      </c>
      <c r="AX15" s="37" t="e">
        <f t="shared" ca="1" si="39"/>
        <v>#REF!</v>
      </c>
      <c r="AY15" s="37" t="e">
        <f t="shared" ca="1" si="96"/>
        <v>#REF!</v>
      </c>
      <c r="AZ15" s="37" t="e">
        <f t="shared" ca="1" si="40"/>
        <v>#REF!</v>
      </c>
      <c r="BA15" s="37" t="e">
        <f t="shared" ca="1" si="41"/>
        <v>#REF!</v>
      </c>
      <c r="BB15" s="37" t="e">
        <f t="shared" ca="1" si="42"/>
        <v>#REF!</v>
      </c>
      <c r="BC15" s="37" t="e">
        <f t="shared" ca="1" si="97"/>
        <v>#REF!</v>
      </c>
      <c r="BD15" s="37" t="e">
        <f t="shared" ca="1" si="43"/>
        <v>#REF!</v>
      </c>
      <c r="BE15" s="37" t="e">
        <f t="shared" ca="1" si="44"/>
        <v>#REF!</v>
      </c>
      <c r="BF15" s="37" t="e">
        <f t="shared" ca="1" si="45"/>
        <v>#REF!</v>
      </c>
      <c r="BG15" s="37" t="e">
        <f t="shared" ca="1" si="46"/>
        <v>#REF!</v>
      </c>
      <c r="BH15" s="37" t="e">
        <f t="shared" ca="1" si="47"/>
        <v>#REF!</v>
      </c>
      <c r="BI15" s="37" t="e">
        <f t="shared" ca="1" si="48"/>
        <v>#REF!</v>
      </c>
      <c r="BJ15" s="37" t="e">
        <f t="shared" ca="1" si="49"/>
        <v>#REF!</v>
      </c>
      <c r="BK15" s="37" t="e">
        <f t="shared" ca="1" si="50"/>
        <v>#REF!</v>
      </c>
      <c r="BL15" s="37" t="e">
        <f t="shared" ca="1" si="51"/>
        <v>#REF!</v>
      </c>
      <c r="BM15" s="37" t="e">
        <f t="shared" ca="1" si="52"/>
        <v>#REF!</v>
      </c>
      <c r="BN15" s="37" t="e">
        <f t="shared" ca="1" si="53"/>
        <v>#REF!</v>
      </c>
      <c r="BO15" s="37" t="e">
        <f t="shared" ca="1" si="54"/>
        <v>#REF!</v>
      </c>
      <c r="BP15" s="37" t="e">
        <f t="shared" ca="1" si="55"/>
        <v>#REF!</v>
      </c>
      <c r="BQ15" s="37" t="e">
        <f t="shared" ca="1" si="56"/>
        <v>#REF!</v>
      </c>
      <c r="BR15" s="37" t="e">
        <f t="shared" ca="1" si="57"/>
        <v>#REF!</v>
      </c>
      <c r="BS15" s="37" t="e">
        <f t="shared" ca="1" si="58"/>
        <v>#REF!</v>
      </c>
      <c r="BT15" s="37" t="e">
        <f t="shared" ca="1" si="59"/>
        <v>#REF!</v>
      </c>
      <c r="BU15" s="37" t="e">
        <f t="shared" ca="1" si="60"/>
        <v>#REF!</v>
      </c>
      <c r="BV15" s="37" t="e">
        <f t="shared" ca="1" si="61"/>
        <v>#REF!</v>
      </c>
      <c r="BW15" s="37" t="e">
        <f t="shared" ca="1" si="62"/>
        <v>#REF!</v>
      </c>
      <c r="BX15" s="37" t="e">
        <f t="shared" ca="1" si="63"/>
        <v>#REF!</v>
      </c>
      <c r="BY15" s="37" t="e">
        <f t="shared" ca="1" si="64"/>
        <v>#REF!</v>
      </c>
      <c r="BZ15" s="37" t="e">
        <f t="shared" ca="1" si="65"/>
        <v>#REF!</v>
      </c>
      <c r="CA15" s="37" t="e">
        <f t="shared" ca="1" si="98"/>
        <v>#REF!</v>
      </c>
      <c r="CB15" s="37" t="e">
        <f t="shared" ca="1" si="66"/>
        <v>#REF!</v>
      </c>
      <c r="CC15" s="37" t="e">
        <f t="shared" ca="1" si="67"/>
        <v>#REF!</v>
      </c>
      <c r="CD15" s="37" t="e">
        <f t="shared" ca="1" si="99"/>
        <v>#REF!</v>
      </c>
      <c r="CE15" s="37" t="e">
        <f t="shared" ca="1" si="68"/>
        <v>#REF!</v>
      </c>
    </row>
    <row r="16" spans="1:83" x14ac:dyDescent="0.25">
      <c r="A16" t="str">
        <f>PLANTILLA!D17</f>
        <v>Fabien Fabre</v>
      </c>
      <c r="B16">
        <f>PLANTILLA!E17</f>
        <v>31</v>
      </c>
      <c r="C16" s="33">
        <f ca="1">PLANTILLA!F17</f>
        <v>9</v>
      </c>
      <c r="D16" s="216" t="str">
        <f>PLANTILLA!G17</f>
        <v>IMP</v>
      </c>
      <c r="E16" s="30">
        <f>PLANTILLA!M17</f>
        <v>43415</v>
      </c>
      <c r="F16" s="47">
        <f>PLANTILLA!Q17</f>
        <v>5</v>
      </c>
      <c r="G16" s="48">
        <f t="shared" si="81"/>
        <v>0.84515425472851657</v>
      </c>
      <c r="H16" s="48">
        <f t="shared" si="82"/>
        <v>0.92504826128926143</v>
      </c>
      <c r="I16" s="51">
        <f t="shared" ca="1" si="83"/>
        <v>0.80917359371268716</v>
      </c>
      <c r="J16" s="39">
        <f>PLANTILLA!I17</f>
        <v>4.8</v>
      </c>
      <c r="K16" s="46">
        <f>PLANTILLA!X17</f>
        <v>0</v>
      </c>
      <c r="L16" s="46">
        <f>PLANTILLA!Y17</f>
        <v>5</v>
      </c>
      <c r="M16" s="46">
        <f>PLANTILLA!Z17</f>
        <v>11</v>
      </c>
      <c r="N16" s="46">
        <f>PLANTILLA!AA17</f>
        <v>2</v>
      </c>
      <c r="O16" s="46">
        <f>PLANTILLA!AB17</f>
        <v>4</v>
      </c>
      <c r="P16" s="46">
        <f>PLANTILLA!AC17</f>
        <v>5</v>
      </c>
      <c r="Q16" s="46">
        <f>PLANTILLA!AD17</f>
        <v>12</v>
      </c>
      <c r="R16" s="46">
        <f t="shared" si="84"/>
        <v>2</v>
      </c>
      <c r="S16" s="46">
        <f t="shared" si="85"/>
        <v>0.61</v>
      </c>
      <c r="T16" s="46">
        <f t="shared" si="86"/>
        <v>0.55999999999999994</v>
      </c>
      <c r="U16" s="46">
        <f t="shared" ca="1" si="87"/>
        <v>11.593399469301771</v>
      </c>
      <c r="V16" s="46">
        <f t="shared" ca="1" si="88"/>
        <v>12.689345124286685</v>
      </c>
      <c r="W16" s="37">
        <f t="shared" ca="1" si="89"/>
        <v>2.8793733476163599</v>
      </c>
      <c r="X16" s="37">
        <f t="shared" ca="1" si="90"/>
        <v>4.3422863594189227</v>
      </c>
      <c r="Y16" s="37">
        <f t="shared" ca="1" si="91"/>
        <v>2.8793733476163599</v>
      </c>
      <c r="Z16" s="37">
        <f t="shared" ca="1" si="19"/>
        <v>3.4662275456701508</v>
      </c>
      <c r="AA16" s="37">
        <f t="shared" ca="1" si="20"/>
        <v>6.7174952435468036</v>
      </c>
      <c r="AB16" s="37">
        <f t="shared" ca="1" si="92"/>
        <v>1.7331137728350754</v>
      </c>
      <c r="AC16" s="37">
        <f t="shared" ca="1" si="21"/>
        <v>3.0267638679641391</v>
      </c>
      <c r="AD16" s="37">
        <f t="shared" ca="1" si="22"/>
        <v>2.5392132020606919</v>
      </c>
      <c r="AE16" s="37">
        <f t="shared" ca="1" si="23"/>
        <v>4.8567490610843391</v>
      </c>
      <c r="AF16" s="37">
        <f t="shared" ca="1" si="93"/>
        <v>1.2696066010303459</v>
      </c>
      <c r="AG16" s="37">
        <f t="shared" ca="1" si="24"/>
        <v>4.8962356687655193</v>
      </c>
      <c r="AH16" s="37">
        <f t="shared" ca="1" si="25"/>
        <v>6.1800956240630596</v>
      </c>
      <c r="AI16" s="37">
        <f t="shared" ca="1" si="26"/>
        <v>2.7810430308283767</v>
      </c>
      <c r="AJ16" s="37">
        <f t="shared" ca="1" si="27"/>
        <v>2.1238217056723165</v>
      </c>
      <c r="AK16" s="37">
        <f t="shared" ca="1" si="28"/>
        <v>2.1858872032055205</v>
      </c>
      <c r="AL16" s="37">
        <f t="shared" ca="1" si="29"/>
        <v>5.0649914136342895</v>
      </c>
      <c r="AM16" s="37">
        <f t="shared" ca="1" si="30"/>
        <v>4.7559866324311368</v>
      </c>
      <c r="AN16" s="37">
        <f t="shared" ca="1" si="31"/>
        <v>2.2908217056723164</v>
      </c>
      <c r="AO16" s="37">
        <f t="shared" ca="1" si="32"/>
        <v>1.0706386301414794</v>
      </c>
      <c r="AP16" s="37">
        <f t="shared" ca="1" si="33"/>
        <v>1.8137237157576371</v>
      </c>
      <c r="AQ16" s="37">
        <f t="shared" ca="1" si="34"/>
        <v>3.990192174666801</v>
      </c>
      <c r="AR16" s="37">
        <f t="shared" ca="1" si="94"/>
        <v>0.90686185787881857</v>
      </c>
      <c r="AS16" s="37">
        <f t="shared" ca="1" si="35"/>
        <v>12.005315509908183</v>
      </c>
      <c r="AT16" s="37">
        <f t="shared" ca="1" si="36"/>
        <v>0.7432743816610845</v>
      </c>
      <c r="AU16" s="37">
        <f t="shared" ca="1" si="37"/>
        <v>1.8482261063592134</v>
      </c>
      <c r="AV16" s="37">
        <f t="shared" ca="1" si="95"/>
        <v>0.37163719083054225</v>
      </c>
      <c r="AW16" s="37">
        <f t="shared" ca="1" si="38"/>
        <v>1.2696066010303459</v>
      </c>
      <c r="AX16" s="37">
        <f t="shared" ca="1" si="39"/>
        <v>2.6869980974187215</v>
      </c>
      <c r="AY16" s="37">
        <f t="shared" ca="1" si="96"/>
        <v>0.63480330051517297</v>
      </c>
      <c r="AZ16" s="37">
        <f t="shared" ca="1" si="40"/>
        <v>12.717495243546804</v>
      </c>
      <c r="BA16" s="37">
        <f t="shared" ca="1" si="41"/>
        <v>1.4465262966173413</v>
      </c>
      <c r="BB16" s="37">
        <f t="shared" ca="1" si="42"/>
        <v>3.3603398791942887</v>
      </c>
      <c r="BC16" s="37">
        <f t="shared" ca="1" si="97"/>
        <v>0.72326314830867067</v>
      </c>
      <c r="BD16" s="37">
        <f t="shared" ca="1" si="43"/>
        <v>1.9547911158721196</v>
      </c>
      <c r="BE16" s="37">
        <f t="shared" ca="1" si="44"/>
        <v>2.3376883447542873</v>
      </c>
      <c r="BF16" s="37">
        <f t="shared" ca="1" si="45"/>
        <v>11.204113309564734</v>
      </c>
      <c r="BG16" s="37">
        <f t="shared" ca="1" si="46"/>
        <v>3.9348532715131084</v>
      </c>
      <c r="BH16" s="37">
        <f t="shared" ca="1" si="47"/>
        <v>1.3779163536947796</v>
      </c>
      <c r="BI16" s="37">
        <f t="shared" ca="1" si="48"/>
        <v>3.2579851931201995</v>
      </c>
      <c r="BJ16" s="37">
        <f t="shared" ca="1" si="49"/>
        <v>1.7734187442963563</v>
      </c>
      <c r="BK16" s="37">
        <f t="shared" ca="1" si="50"/>
        <v>4.8453656877913325</v>
      </c>
      <c r="BL16" s="37">
        <f t="shared" ca="1" si="51"/>
        <v>3.6510908428599067</v>
      </c>
      <c r="BM16" s="37">
        <f t="shared" ca="1" si="52"/>
        <v>0.29730975266443377</v>
      </c>
      <c r="BN16" s="37">
        <f t="shared" ca="1" si="53"/>
        <v>1.2091491438384245</v>
      </c>
      <c r="BO16" s="37">
        <f t="shared" ca="1" si="54"/>
        <v>0.45678967656118269</v>
      </c>
      <c r="BP16" s="37">
        <f t="shared" ca="1" si="55"/>
        <v>3.8788360492817748</v>
      </c>
      <c r="BQ16" s="37">
        <f t="shared" ca="1" si="56"/>
        <v>5.3526988832011888</v>
      </c>
      <c r="BR16" s="37">
        <f t="shared" ca="1" si="57"/>
        <v>0.77186185787881856</v>
      </c>
      <c r="BS16" s="37">
        <f t="shared" ca="1" si="58"/>
        <v>1.9077686491672921</v>
      </c>
      <c r="BT16" s="37">
        <f t="shared" ca="1" si="59"/>
        <v>1.63906883942542</v>
      </c>
      <c r="BU16" s="37">
        <f t="shared" ca="1" si="60"/>
        <v>8.0247394986780325</v>
      </c>
      <c r="BV16" s="37">
        <f t="shared" ca="1" si="61"/>
        <v>3.713158242974389</v>
      </c>
      <c r="BW16" s="37">
        <f t="shared" ca="1" si="62"/>
        <v>0.84618929604492688</v>
      </c>
      <c r="BX16" s="37">
        <f t="shared" ca="1" si="63"/>
        <v>5.163303068880003</v>
      </c>
      <c r="BY16" s="37">
        <f t="shared" ca="1" si="64"/>
        <v>2.8178150218878848</v>
      </c>
      <c r="BZ16" s="37">
        <f t="shared" ca="1" si="65"/>
        <v>7.0208996442337011</v>
      </c>
      <c r="CA16" s="37">
        <f t="shared" ca="1" si="98"/>
        <v>2.8178150218878848</v>
      </c>
      <c r="CB16" s="37">
        <f t="shared" ca="1" si="66"/>
        <v>3.3799995367296587</v>
      </c>
      <c r="CC16" s="37">
        <f t="shared" ca="1" si="67"/>
        <v>8.8272509884155745</v>
      </c>
      <c r="CD16" s="37">
        <f t="shared" ca="1" si="99"/>
        <v>3.3799995367296587</v>
      </c>
      <c r="CE16" s="37">
        <f t="shared" ca="1" si="68"/>
        <v>3.1793738108867009</v>
      </c>
    </row>
    <row r="17" spans="1:83" x14ac:dyDescent="0.25">
      <c r="A17" t="str">
        <f>PLANTILLA!D14</f>
        <v>Enrique Cubas</v>
      </c>
      <c r="B17">
        <f>PLANTILLA!E14</f>
        <v>22</v>
      </c>
      <c r="C17" s="33">
        <f ca="1">PLANTILLA!F14</f>
        <v>35</v>
      </c>
      <c r="D17" s="216" t="str">
        <f>PLANTILLA!G14</f>
        <v>RAP</v>
      </c>
      <c r="E17" s="30">
        <f>PLANTILLA!M14</f>
        <v>43046</v>
      </c>
      <c r="F17" s="47">
        <f>PLANTILLA!Q14</f>
        <v>7</v>
      </c>
      <c r="G17" s="48">
        <f t="shared" si="81"/>
        <v>1</v>
      </c>
      <c r="H17" s="48">
        <f t="shared" si="82"/>
        <v>1</v>
      </c>
      <c r="I17" s="217">
        <v>1.5</v>
      </c>
      <c r="J17" s="39">
        <f>PLANTILLA!I14</f>
        <v>4.5999999999999996</v>
      </c>
      <c r="K17" s="46">
        <f>PLANTILLA!X14</f>
        <v>0</v>
      </c>
      <c r="L17" s="46">
        <f>PLANTILLA!Y14</f>
        <v>8.6</v>
      </c>
      <c r="M17" s="46">
        <f>PLANTILLA!Z14</f>
        <v>5.7</v>
      </c>
      <c r="N17" s="46">
        <f>PLANTILLA!AA14</f>
        <v>14.124999999999996</v>
      </c>
      <c r="O17" s="46">
        <f>PLANTILLA!AB14</f>
        <v>6</v>
      </c>
      <c r="P17" s="46">
        <f>PLANTILLA!AC14</f>
        <v>7.5</v>
      </c>
      <c r="Q17" s="46">
        <f>PLANTILLA!AD14</f>
        <v>5</v>
      </c>
      <c r="R17" s="46">
        <f t="shared" si="84"/>
        <v>2.95</v>
      </c>
      <c r="S17" s="46">
        <f t="shared" si="85"/>
        <v>0.52500000000000002</v>
      </c>
      <c r="T17" s="46">
        <f t="shared" si="86"/>
        <v>0.49399999999999994</v>
      </c>
      <c r="U17" s="46">
        <f t="shared" si="87"/>
        <v>7.3836771089087652</v>
      </c>
      <c r="V17" s="46">
        <f t="shared" si="88"/>
        <v>7.3836771089087652</v>
      </c>
      <c r="W17" s="37">
        <f t="shared" si="89"/>
        <v>4.4545501160773524</v>
      </c>
      <c r="X17" s="37">
        <f t="shared" si="90"/>
        <v>6.7323271476012163</v>
      </c>
      <c r="Y17" s="37">
        <f t="shared" si="91"/>
        <v>4.4545501160773524</v>
      </c>
      <c r="Z17" s="37">
        <f t="shared" si="19"/>
        <v>5.6675773881969231</v>
      </c>
      <c r="AA17" s="37">
        <f t="shared" si="20"/>
        <v>10.983677108908765</v>
      </c>
      <c r="AB17" s="37">
        <f t="shared" si="92"/>
        <v>2.8337886940984616</v>
      </c>
      <c r="AC17" s="37">
        <f t="shared" si="21"/>
        <v>1.9239151519202862</v>
      </c>
      <c r="AD17" s="37">
        <f t="shared" si="22"/>
        <v>4.1518299471675135</v>
      </c>
      <c r="AE17" s="37">
        <f t="shared" si="23"/>
        <v>7.9411985497410367</v>
      </c>
      <c r="AF17" s="37">
        <f t="shared" si="93"/>
        <v>2.0759149735837568</v>
      </c>
      <c r="AG17" s="37">
        <f t="shared" si="24"/>
        <v>3.1122156869298752</v>
      </c>
      <c r="AH17" s="37">
        <f t="shared" si="25"/>
        <v>10.104982940196065</v>
      </c>
      <c r="AI17" s="37">
        <f t="shared" si="26"/>
        <v>4.5472423230882288</v>
      </c>
      <c r="AJ17" s="37">
        <f t="shared" si="27"/>
        <v>1.349974077187764</v>
      </c>
      <c r="AK17" s="37">
        <f t="shared" si="28"/>
        <v>9.7071021400383515</v>
      </c>
      <c r="AL17" s="37">
        <f t="shared" si="29"/>
        <v>8.2816925401172092</v>
      </c>
      <c r="AM17" s="37">
        <f t="shared" si="30"/>
        <v>7.7764433931074048</v>
      </c>
      <c r="AN17" s="37">
        <f t="shared" si="31"/>
        <v>1.233074077187764</v>
      </c>
      <c r="AO17" s="37">
        <f t="shared" si="32"/>
        <v>1.5360990073657244</v>
      </c>
      <c r="AP17" s="37">
        <f t="shared" si="33"/>
        <v>2.9655928194053667</v>
      </c>
      <c r="AQ17" s="37">
        <f t="shared" si="34"/>
        <v>6.5243042026918063</v>
      </c>
      <c r="AR17" s="37">
        <f t="shared" si="94"/>
        <v>1.4827964097026833</v>
      </c>
      <c r="AS17" s="37">
        <f t="shared" si="35"/>
        <v>7.6309911908098753</v>
      </c>
      <c r="AT17" s="37">
        <f t="shared" si="36"/>
        <v>1.0898780241581396</v>
      </c>
      <c r="AU17" s="37">
        <f t="shared" si="37"/>
        <v>2.715917392910268</v>
      </c>
      <c r="AV17" s="37">
        <f t="shared" si="95"/>
        <v>0.54493901207906981</v>
      </c>
      <c r="AW17" s="37">
        <f t="shared" si="38"/>
        <v>2.0759149735837568</v>
      </c>
      <c r="AX17" s="37">
        <f t="shared" si="39"/>
        <v>4.3934708435635059</v>
      </c>
      <c r="AY17" s="37">
        <f t="shared" si="96"/>
        <v>1.0379574867918784</v>
      </c>
      <c r="AZ17" s="37">
        <f t="shared" si="40"/>
        <v>8.0836771089087662</v>
      </c>
      <c r="BA17" s="37">
        <f t="shared" si="41"/>
        <v>2.1210703085539175</v>
      </c>
      <c r="BB17" s="37">
        <f t="shared" si="42"/>
        <v>4.9344060870087301</v>
      </c>
      <c r="BC17" s="37">
        <f t="shared" si="97"/>
        <v>1.0605351542769588</v>
      </c>
      <c r="BD17" s="37">
        <f t="shared" si="43"/>
        <v>3.1962500386924502</v>
      </c>
      <c r="BE17" s="37">
        <f t="shared" si="44"/>
        <v>3.8223196339002499</v>
      </c>
      <c r="BF17" s="37">
        <f t="shared" si="45"/>
        <v>7.1217195329486227</v>
      </c>
      <c r="BG17" s="37">
        <f t="shared" si="46"/>
        <v>12.11683894981989</v>
      </c>
      <c r="BH17" s="37">
        <f t="shared" si="47"/>
        <v>2.0204661832470125</v>
      </c>
      <c r="BI17" s="37">
        <f t="shared" si="48"/>
        <v>5.3270833978207506</v>
      </c>
      <c r="BJ17" s="37">
        <f t="shared" si="49"/>
        <v>2.8996907567519141</v>
      </c>
      <c r="BK17" s="37">
        <f t="shared" si="50"/>
        <v>3.07988097849424</v>
      </c>
      <c r="BL17" s="37">
        <f t="shared" si="51"/>
        <v>12.79545879318626</v>
      </c>
      <c r="BM17" s="37">
        <f t="shared" si="52"/>
        <v>0.43595120966325579</v>
      </c>
      <c r="BN17" s="37">
        <f t="shared" si="53"/>
        <v>1.9770618796035775</v>
      </c>
      <c r="BO17" s="37">
        <f t="shared" si="54"/>
        <v>0.74689004340579601</v>
      </c>
      <c r="BP17" s="37">
        <f t="shared" si="55"/>
        <v>2.4655215182171735</v>
      </c>
      <c r="BQ17" s="37">
        <f t="shared" si="56"/>
        <v>18.906408762056671</v>
      </c>
      <c r="BR17" s="37">
        <f t="shared" si="57"/>
        <v>1.1317964097026834</v>
      </c>
      <c r="BS17" s="37">
        <f t="shared" si="58"/>
        <v>3.1193642989300887</v>
      </c>
      <c r="BT17" s="37">
        <f t="shared" si="59"/>
        <v>2.6800172145737386</v>
      </c>
      <c r="BU17" s="37">
        <f t="shared" si="60"/>
        <v>5.1008002557214311</v>
      </c>
      <c r="BV17" s="37">
        <f t="shared" si="61"/>
        <v>13.207141012473343</v>
      </c>
      <c r="BW17" s="37">
        <f t="shared" si="62"/>
        <v>1.2407842121184971</v>
      </c>
      <c r="BX17" s="37">
        <f t="shared" si="63"/>
        <v>3.2819729062169594</v>
      </c>
      <c r="BY17" s="37">
        <f t="shared" si="64"/>
        <v>5.7283957737414655</v>
      </c>
      <c r="BZ17" s="37">
        <f t="shared" si="65"/>
        <v>10.314520424631269</v>
      </c>
      <c r="CA17" s="37">
        <f t="shared" si="98"/>
        <v>5.7283957737414655</v>
      </c>
      <c r="CB17" s="37">
        <f t="shared" si="66"/>
        <v>7.4086558388501604</v>
      </c>
      <c r="CC17" s="37">
        <f t="shared" si="67"/>
        <v>12.9772539620961</v>
      </c>
      <c r="CD17" s="37">
        <f t="shared" si="99"/>
        <v>7.4086558388501604</v>
      </c>
      <c r="CE17" s="37">
        <f t="shared" si="68"/>
        <v>2.0209192772271916</v>
      </c>
    </row>
    <row r="18" spans="1:83" x14ac:dyDescent="0.25">
      <c r="A18" t="str">
        <f>PLANTILLA!D15</f>
        <v>J. G. Peñuela</v>
      </c>
      <c r="B18">
        <f>PLANTILLA!E15</f>
        <v>22</v>
      </c>
      <c r="C18" s="33">
        <f ca="1">PLANTILLA!F15</f>
        <v>35</v>
      </c>
      <c r="D18" s="216" t="str">
        <f>PLANTILLA!G15</f>
        <v>IMP</v>
      </c>
      <c r="E18" s="30">
        <f>PLANTILLA!M15</f>
        <v>43054</v>
      </c>
      <c r="F18" s="47">
        <f>PLANTILLA!Q15</f>
        <v>5</v>
      </c>
      <c r="G18" s="48">
        <f t="shared" si="81"/>
        <v>0.84515425472851657</v>
      </c>
      <c r="H18" s="48">
        <f t="shared" si="82"/>
        <v>0.92504826128926143</v>
      </c>
      <c r="I18" s="51">
        <f t="shared" ca="1" si="83"/>
        <v>1</v>
      </c>
      <c r="J18" s="39">
        <f>PLANTILLA!I15</f>
        <v>4</v>
      </c>
      <c r="K18" s="46">
        <f>PLANTILLA!X15</f>
        <v>0</v>
      </c>
      <c r="L18" s="46">
        <f>PLANTILLA!Y15</f>
        <v>9.1428571428571423</v>
      </c>
      <c r="M18" s="46">
        <f>PLANTILLA!Z15</f>
        <v>5</v>
      </c>
      <c r="N18" s="46">
        <f>PLANTILLA!AA15</f>
        <v>13.19</v>
      </c>
      <c r="O18" s="46">
        <f>PLANTILLA!AB15</f>
        <v>5</v>
      </c>
      <c r="P18" s="46">
        <f>PLANTILLA!AC15</f>
        <v>7.8016666666666676</v>
      </c>
      <c r="Q18" s="46">
        <f>PLANTILLA!AD15</f>
        <v>3</v>
      </c>
      <c r="R18" s="46">
        <f t="shared" si="84"/>
        <v>2.7678571428571428</v>
      </c>
      <c r="S18" s="46">
        <f t="shared" si="85"/>
        <v>0.48008333333333331</v>
      </c>
      <c r="T18" s="46">
        <f t="shared" si="86"/>
        <v>0.45571428571428568</v>
      </c>
      <c r="U18" s="46">
        <f t="shared" ca="1" si="87"/>
        <v>4.0590617699442548</v>
      </c>
      <c r="V18" s="46">
        <f t="shared" ca="1" si="88"/>
        <v>4.4427724427167252</v>
      </c>
      <c r="W18" s="37">
        <f t="shared" ca="1" si="89"/>
        <v>4.0972264013343196</v>
      </c>
      <c r="X18" s="37">
        <f t="shared" ca="1" si="90"/>
        <v>6.213060217453485</v>
      </c>
      <c r="Y18" s="37">
        <f t="shared" ca="1" si="91"/>
        <v>4.0972264013343196</v>
      </c>
      <c r="Z18" s="37">
        <f t="shared" ca="1" si="19"/>
        <v>5.6479315597479243</v>
      </c>
      <c r="AA18" s="37">
        <f t="shared" ca="1" si="20"/>
        <v>10.945603797961093</v>
      </c>
      <c r="AB18" s="37">
        <f t="shared" ca="1" si="92"/>
        <v>2.8239657798739621</v>
      </c>
      <c r="AC18" s="37">
        <f t="shared" ca="1" si="21"/>
        <v>1.6190537039147399</v>
      </c>
      <c r="AD18" s="37">
        <f t="shared" ca="1" si="22"/>
        <v>4.1374382356292934</v>
      </c>
      <c r="AE18" s="37">
        <f t="shared" ca="1" si="23"/>
        <v>7.9136715459258697</v>
      </c>
      <c r="AF18" s="37">
        <f t="shared" ca="1" si="93"/>
        <v>2.0687191178146467</v>
      </c>
      <c r="AG18" s="37">
        <f t="shared" ca="1" si="24"/>
        <v>2.6190574622150207</v>
      </c>
      <c r="AH18" s="37">
        <f t="shared" ca="1" si="25"/>
        <v>10.069955494124207</v>
      </c>
      <c r="AI18" s="37">
        <f t="shared" ca="1" si="26"/>
        <v>4.5314799723558918</v>
      </c>
      <c r="AJ18" s="37">
        <f t="shared" ca="1" si="27"/>
        <v>1.1360586914023596</v>
      </c>
      <c r="AK18" s="37">
        <f t="shared" ca="1" si="28"/>
        <v>8.815735033201122</v>
      </c>
      <c r="AL18" s="37">
        <f t="shared" ca="1" si="29"/>
        <v>8.2529852636626639</v>
      </c>
      <c r="AM18" s="37">
        <f t="shared" ca="1" si="30"/>
        <v>7.7494874889564533</v>
      </c>
      <c r="AN18" s="37">
        <f t="shared" ca="1" si="31"/>
        <v>0.80205869140235964</v>
      </c>
      <c r="AO18" s="37">
        <f t="shared" ca="1" si="32"/>
        <v>1.3163338938127946</v>
      </c>
      <c r="AP18" s="37">
        <f t="shared" ca="1" si="33"/>
        <v>2.9553130254494953</v>
      </c>
      <c r="AQ18" s="37">
        <f t="shared" ca="1" si="34"/>
        <v>6.5016886559888887</v>
      </c>
      <c r="AR18" s="37">
        <f t="shared" ca="1" si="94"/>
        <v>1.4776565127247476</v>
      </c>
      <c r="AS18" s="37">
        <f t="shared" ca="1" si="35"/>
        <v>6.4217928424181281</v>
      </c>
      <c r="AT18" s="37">
        <f t="shared" ca="1" si="36"/>
        <v>0.88435706516351353</v>
      </c>
      <c r="AU18" s="37">
        <f t="shared" ca="1" si="37"/>
        <v>2.4778931032787908</v>
      </c>
      <c r="AV18" s="37">
        <f t="shared" ca="1" si="95"/>
        <v>0.44217853258175677</v>
      </c>
      <c r="AW18" s="37">
        <f t="shared" ca="1" si="38"/>
        <v>2.0687191178146467</v>
      </c>
      <c r="AX18" s="37">
        <f t="shared" ca="1" si="39"/>
        <v>4.3782415191844377</v>
      </c>
      <c r="AY18" s="37">
        <f t="shared" ca="1" si="96"/>
        <v>1.0343595589073233</v>
      </c>
      <c r="AZ18" s="37">
        <f t="shared" ca="1" si="40"/>
        <v>6.8027466551039497</v>
      </c>
      <c r="BA18" s="37">
        <f t="shared" ca="1" si="41"/>
        <v>1.7210949037412993</v>
      </c>
      <c r="BB18" s="37">
        <f t="shared" ca="1" si="42"/>
        <v>4.3366634069622769</v>
      </c>
      <c r="BC18" s="37">
        <f t="shared" ca="1" si="97"/>
        <v>0.86054745187064963</v>
      </c>
      <c r="BD18" s="37">
        <f t="shared" ca="1" si="43"/>
        <v>3.1851707052066778</v>
      </c>
      <c r="BE18" s="37">
        <f t="shared" ca="1" si="44"/>
        <v>3.8090701216904601</v>
      </c>
      <c r="BF18" s="37">
        <f t="shared" ca="1" si="45"/>
        <v>5.9932198031465793</v>
      </c>
      <c r="BG18" s="37">
        <f t="shared" ca="1" si="46"/>
        <v>10.748701776387412</v>
      </c>
      <c r="BH18" s="37">
        <f t="shared" ca="1" si="47"/>
        <v>1.6394619438800517</v>
      </c>
      <c r="BI18" s="37">
        <f t="shared" ca="1" si="48"/>
        <v>5.3086178420111301</v>
      </c>
      <c r="BJ18" s="37">
        <f t="shared" ca="1" si="49"/>
        <v>2.8896394026617287</v>
      </c>
      <c r="BK18" s="37">
        <f t="shared" ca="1" si="50"/>
        <v>2.5918464755946049</v>
      </c>
      <c r="BL18" s="37">
        <f t="shared" ca="1" si="51"/>
        <v>11.457470576560853</v>
      </c>
      <c r="BM18" s="37">
        <f t="shared" ca="1" si="52"/>
        <v>0.35374282606540536</v>
      </c>
      <c r="BN18" s="37">
        <f t="shared" ca="1" si="53"/>
        <v>1.9702086836329966</v>
      </c>
      <c r="BO18" s="37">
        <f t="shared" ca="1" si="54"/>
        <v>0.7443010582613544</v>
      </c>
      <c r="BP18" s="37">
        <f t="shared" ca="1" si="55"/>
        <v>2.0748377298067044</v>
      </c>
      <c r="BQ18" s="37">
        <f t="shared" ca="1" si="56"/>
        <v>16.93833219846368</v>
      </c>
      <c r="BR18" s="37">
        <f t="shared" ca="1" si="57"/>
        <v>0.91837079843903324</v>
      </c>
      <c r="BS18" s="37">
        <f t="shared" ca="1" si="58"/>
        <v>3.1085514786209503</v>
      </c>
      <c r="BT18" s="37">
        <f t="shared" ca="1" si="59"/>
        <v>2.6707273267025067</v>
      </c>
      <c r="BU18" s="37">
        <f t="shared" ca="1" si="60"/>
        <v>4.2925331393705921</v>
      </c>
      <c r="BV18" s="37">
        <f t="shared" ca="1" si="61"/>
        <v>11.837838256318035</v>
      </c>
      <c r="BW18" s="37">
        <f t="shared" ca="1" si="62"/>
        <v>1.0068065049553845</v>
      </c>
      <c r="BX18" s="37">
        <f t="shared" ca="1" si="63"/>
        <v>2.7619151419722039</v>
      </c>
      <c r="BY18" s="37">
        <f t="shared" ca="1" si="64"/>
        <v>5.0794026739758245</v>
      </c>
      <c r="BZ18" s="37">
        <f t="shared" ca="1" si="65"/>
        <v>9.2932644003137153</v>
      </c>
      <c r="CA18" s="37">
        <f t="shared" ca="1" si="98"/>
        <v>5.0794026739758245</v>
      </c>
      <c r="CB18" s="37">
        <f t="shared" ca="1" si="66"/>
        <v>6.7765344994630947</v>
      </c>
      <c r="CC18" s="37">
        <f t="shared" ca="1" si="67"/>
        <v>12.114626837503977</v>
      </c>
      <c r="CD18" s="37">
        <f t="shared" ca="1" si="99"/>
        <v>6.7765344994630947</v>
      </c>
      <c r="CE18" s="37">
        <f t="shared" ca="1" si="68"/>
        <v>1.7006866637759874</v>
      </c>
    </row>
    <row r="19" spans="1:83" x14ac:dyDescent="0.25">
      <c r="C19" s="33"/>
      <c r="D19" s="216"/>
      <c r="E19" s="30"/>
      <c r="F19" s="47"/>
      <c r="G19" s="48"/>
      <c r="H19" s="48"/>
      <c r="I19" s="51"/>
      <c r="J19" s="39"/>
      <c r="K19" s="46"/>
      <c r="L19" s="46"/>
      <c r="M19" s="46"/>
      <c r="N19" s="46"/>
      <c r="O19" s="46"/>
      <c r="P19" s="46"/>
      <c r="Q19" s="46"/>
      <c r="R19" s="46"/>
      <c r="S19" s="46"/>
      <c r="T19" s="46"/>
      <c r="U19" s="46"/>
      <c r="V19" s="46"/>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row>
    <row r="20" spans="1:83" x14ac:dyDescent="0.25">
      <c r="M20" s="37"/>
      <c r="N20" s="37"/>
      <c r="AH20" s="37"/>
      <c r="AI20" s="37"/>
    </row>
    <row r="21" spans="1:83" ht="18.75" x14ac:dyDescent="0.3">
      <c r="A21" s="103" t="s">
        <v>160</v>
      </c>
      <c r="B21" s="103" t="s">
        <v>161</v>
      </c>
      <c r="C21" s="103"/>
      <c r="D21" s="104"/>
      <c r="Z21" s="37"/>
      <c r="AA21" s="37"/>
      <c r="BV21" s="37"/>
      <c r="BW21" s="37"/>
    </row>
    <row r="22" spans="1:83" x14ac:dyDescent="0.25">
      <c r="A22" s="105" t="s">
        <v>162</v>
      </c>
      <c r="B22" s="106">
        <v>1</v>
      </c>
      <c r="C22" s="108">
        <v>0.624</v>
      </c>
      <c r="D22" s="109">
        <v>0.245</v>
      </c>
      <c r="AH22" s="37"/>
      <c r="AI22" s="37"/>
    </row>
    <row r="23" spans="1:83" x14ac:dyDescent="0.25">
      <c r="A23" s="105" t="s">
        <v>163</v>
      </c>
      <c r="B23" s="106">
        <v>1</v>
      </c>
      <c r="C23" s="108">
        <v>1.002</v>
      </c>
      <c r="D23" s="109">
        <v>0.34</v>
      </c>
      <c r="AG23" s="115"/>
      <c r="AH23" s="116"/>
    </row>
    <row r="24" spans="1:83" x14ac:dyDescent="0.25">
      <c r="A24" s="105" t="s">
        <v>164</v>
      </c>
      <c r="B24" s="106">
        <v>1</v>
      </c>
      <c r="C24" s="108">
        <v>0.46800000000000003</v>
      </c>
      <c r="D24" s="109">
        <v>0.125</v>
      </c>
      <c r="Z24" s="37"/>
      <c r="AA24" s="37"/>
      <c r="AH24" s="117"/>
      <c r="AI24" s="117"/>
      <c r="BV24" s="37"/>
      <c r="BW24" s="37"/>
    </row>
    <row r="25" spans="1:83" x14ac:dyDescent="0.25">
      <c r="A25" s="105" t="s">
        <v>165</v>
      </c>
      <c r="B25" s="106">
        <v>1</v>
      </c>
      <c r="C25" s="108">
        <v>0.877</v>
      </c>
      <c r="D25" s="109">
        <v>0.25</v>
      </c>
      <c r="W25" s="116"/>
    </row>
    <row r="26" spans="1:83" x14ac:dyDescent="0.25">
      <c r="A26" s="105" t="s">
        <v>166</v>
      </c>
      <c r="B26" s="106">
        <v>1</v>
      </c>
      <c r="C26" s="108">
        <v>0.59299999999999997</v>
      </c>
      <c r="D26" s="109">
        <v>0.19</v>
      </c>
      <c r="W26" s="116"/>
    </row>
    <row r="28" spans="1:83" x14ac:dyDescent="0.25">
      <c r="Z28" s="116"/>
      <c r="AA28" s="116"/>
      <c r="BV28" s="116"/>
      <c r="BW28" s="116"/>
    </row>
  </sheetData>
  <conditionalFormatting sqref="U3:V19">
    <cfRule type="cellIs" dxfId="10" priority="20" operator="greaterThan">
      <formula>15</formula>
    </cfRule>
  </conditionalFormatting>
  <conditionalFormatting sqref="R3:R19">
    <cfRule type="cellIs" dxfId="9" priority="19" operator="greaterThan">
      <formula>3.2</formula>
    </cfRule>
  </conditionalFormatting>
  <conditionalFormatting sqref="S3:T19">
    <cfRule type="cellIs" dxfId="8" priority="18" operator="greaterThan">
      <formula>0.6</formula>
    </cfRule>
  </conditionalFormatting>
  <conditionalFormatting sqref="W3:AI19 AK3:AM19 AO3:BD19 BF3:CE19">
    <cfRule type="cellIs" dxfId="7" priority="17" operator="greaterThan">
      <formula>12.5</formula>
    </cfRule>
  </conditionalFormatting>
  <conditionalFormatting sqref="J3:J19">
    <cfRule type="cellIs" dxfId="6" priority="14" operator="greaterThan">
      <formula>7</formula>
    </cfRule>
  </conditionalFormatting>
  <conditionalFormatting sqref="K3:Q19">
    <cfRule type="colorScale" priority="5439">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249977111117893"/>
  </sheetPr>
  <dimension ref="A1:AJ71"/>
  <sheetViews>
    <sheetView zoomScaleNormal="100" workbookViewId="0">
      <selection activeCell="AG9" sqref="AG9"/>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 bestFit="1" customWidth="1"/>
    <col min="29" max="29" width="4.85546875" bestFit="1" customWidth="1"/>
    <col min="30" max="36" width="5.5703125" bestFit="1" customWidth="1"/>
  </cols>
  <sheetData>
    <row r="1" spans="1:36" x14ac:dyDescent="0.25">
      <c r="C1" s="136"/>
      <c r="D1" s="110"/>
      <c r="G1" s="65"/>
      <c r="H1" s="52"/>
      <c r="J1" s="65"/>
      <c r="K1" s="65"/>
      <c r="M1" s="137"/>
      <c r="T1" s="249"/>
      <c r="U1" s="249"/>
      <c r="V1" s="249"/>
      <c r="W1" s="138"/>
      <c r="X1" s="249" t="s">
        <v>167</v>
      </c>
      <c r="Y1" s="249"/>
      <c r="Z1" s="113">
        <f>T2+U2+V2+W2+X2+Y2+Z2</f>
        <v>14</v>
      </c>
      <c r="AA1" s="32">
        <f>Z1/16</f>
        <v>0.875</v>
      </c>
      <c r="AC1" s="65"/>
      <c r="AD1" s="65"/>
      <c r="AE1" s="65"/>
      <c r="AF1" s="65"/>
      <c r="AG1" s="65"/>
      <c r="AH1" s="65"/>
      <c r="AI1" s="65"/>
      <c r="AJ1" s="65"/>
    </row>
    <row r="2" spans="1:36" x14ac:dyDescent="0.25">
      <c r="A2" s="139"/>
      <c r="B2" s="139"/>
      <c r="C2" s="140"/>
      <c r="D2" s="141">
        <f ca="1">TODAY()</f>
        <v>43635</v>
      </c>
      <c r="G2" s="65"/>
      <c r="H2" s="142"/>
      <c r="I2" s="142"/>
      <c r="J2" s="143"/>
      <c r="K2" s="143"/>
      <c r="L2" s="142"/>
      <c r="M2" s="144"/>
      <c r="N2" s="142"/>
      <c r="O2" s="142"/>
      <c r="P2" s="142"/>
      <c r="Q2" s="142"/>
      <c r="R2" s="142"/>
      <c r="S2" s="142"/>
      <c r="T2" s="147">
        <v>0</v>
      </c>
      <c r="U2" s="148">
        <v>0</v>
      </c>
      <c r="V2" s="148">
        <v>0</v>
      </c>
      <c r="W2" s="147">
        <v>14</v>
      </c>
      <c r="X2" s="149">
        <v>0</v>
      </c>
      <c r="Y2" s="149">
        <v>0</v>
      </c>
      <c r="Z2" s="149">
        <v>0</v>
      </c>
      <c r="AA2" s="145"/>
      <c r="AB2" s="146"/>
      <c r="AC2" s="146"/>
      <c r="AD2" s="146"/>
      <c r="AE2" s="146"/>
      <c r="AF2" s="146"/>
      <c r="AG2" s="146"/>
      <c r="AH2" s="146"/>
      <c r="AI2" s="146"/>
      <c r="AJ2" s="146"/>
    </row>
    <row r="3" spans="1:36" x14ac:dyDescent="0.25">
      <c r="A3" s="10" t="s">
        <v>1</v>
      </c>
      <c r="B3" s="10" t="s">
        <v>2</v>
      </c>
      <c r="C3" s="11" t="s">
        <v>181</v>
      </c>
      <c r="D3" s="12" t="s">
        <v>3</v>
      </c>
      <c r="E3" s="10" t="s">
        <v>4</v>
      </c>
      <c r="F3" s="10" t="s">
        <v>5</v>
      </c>
      <c r="G3" s="10" t="s">
        <v>6</v>
      </c>
      <c r="H3" s="10" t="s">
        <v>7</v>
      </c>
      <c r="I3" s="10" t="s">
        <v>8</v>
      </c>
      <c r="J3" s="10" t="s">
        <v>9</v>
      </c>
      <c r="K3" s="13" t="s">
        <v>187</v>
      </c>
      <c r="L3" s="13" t="s">
        <v>188</v>
      </c>
      <c r="M3" s="10" t="s">
        <v>15</v>
      </c>
      <c r="N3" s="10" t="s">
        <v>16</v>
      </c>
      <c r="O3" s="10" t="s">
        <v>17</v>
      </c>
      <c r="P3" s="10" t="s">
        <v>18</v>
      </c>
      <c r="Q3" s="10" t="s">
        <v>19</v>
      </c>
      <c r="R3" s="10" t="s">
        <v>20</v>
      </c>
      <c r="S3" s="10" t="s">
        <v>6</v>
      </c>
      <c r="T3" s="151" t="s">
        <v>15</v>
      </c>
      <c r="U3" s="151" t="s">
        <v>16</v>
      </c>
      <c r="V3" s="151" t="s">
        <v>17</v>
      </c>
      <c r="W3" s="151" t="s">
        <v>18</v>
      </c>
      <c r="X3" s="151" t="s">
        <v>19</v>
      </c>
      <c r="Y3" s="151" t="s">
        <v>20</v>
      </c>
      <c r="Z3" s="151" t="s">
        <v>6</v>
      </c>
      <c r="AA3" s="150" t="s">
        <v>4</v>
      </c>
      <c r="AB3" s="150" t="s">
        <v>5</v>
      </c>
      <c r="AC3" s="151" t="s">
        <v>8</v>
      </c>
      <c r="AD3" s="151" t="s">
        <v>15</v>
      </c>
      <c r="AE3" s="151" t="s">
        <v>16</v>
      </c>
      <c r="AF3" s="151" t="s">
        <v>17</v>
      </c>
      <c r="AG3" s="151" t="s">
        <v>18</v>
      </c>
      <c r="AH3" s="151" t="s">
        <v>19</v>
      </c>
      <c r="AI3" s="151" t="s">
        <v>20</v>
      </c>
      <c r="AJ3" s="151" t="s">
        <v>6</v>
      </c>
    </row>
    <row r="4" spans="1:36" x14ac:dyDescent="0.25">
      <c r="A4" s="15" t="str">
        <f>PLANTILLA!A5</f>
        <v>#19</v>
      </c>
      <c r="B4" s="15" t="str">
        <f>PLANTILLA!B5</f>
        <v>POR</v>
      </c>
      <c r="C4" s="120">
        <f ca="1">PLANTILLA!C5</f>
        <v>11.366071428571429</v>
      </c>
      <c r="D4" s="28" t="str">
        <f>PLANTILLA!D5</f>
        <v>Nicolae Hornet</v>
      </c>
      <c r="E4" s="16">
        <f>PLANTILLA!E5</f>
        <v>22</v>
      </c>
      <c r="F4" s="17">
        <f ca="1">PLANTILLA!F5</f>
        <v>71</v>
      </c>
      <c r="G4" s="18"/>
      <c r="H4" s="4">
        <f>PLANTILLA!H5</f>
        <v>5</v>
      </c>
      <c r="I4" s="27">
        <f>PLANTILLA!I5</f>
        <v>1.4</v>
      </c>
      <c r="J4" s="19">
        <f>PLANTILLA!O5</f>
        <v>5</v>
      </c>
      <c r="K4" s="6">
        <f t="shared" ref="K4:K5" si="0">(H4)*(H4)*(I4)</f>
        <v>35</v>
      </c>
      <c r="L4" s="6">
        <f t="shared" ref="L4:L5" si="1">(H4+1)*(H4+1)*I4</f>
        <v>50.4</v>
      </c>
      <c r="M4" s="21">
        <f>PLANTILLA!X5</f>
        <v>6</v>
      </c>
      <c r="N4" s="21">
        <f>PLANTILLA!Y5</f>
        <v>4</v>
      </c>
      <c r="O4" s="21">
        <f>PLANTILLA!Z5</f>
        <v>0</v>
      </c>
      <c r="P4" s="21">
        <f>PLANTILLA!AA5</f>
        <v>3</v>
      </c>
      <c r="Q4" s="21">
        <f>PLANTILLA!AB5</f>
        <v>0</v>
      </c>
      <c r="R4" s="21">
        <f>PLANTILLA!AC5</f>
        <v>1</v>
      </c>
      <c r="S4" s="21">
        <f>PLANTILLA!AD5</f>
        <v>1</v>
      </c>
      <c r="T4" s="154">
        <v>0</v>
      </c>
      <c r="U4" s="154">
        <v>0</v>
      </c>
      <c r="V4" s="154">
        <v>0</v>
      </c>
      <c r="W4" s="154">
        <v>0</v>
      </c>
      <c r="X4" s="154">
        <v>0</v>
      </c>
      <c r="Y4" s="154">
        <v>0</v>
      </c>
      <c r="Z4" s="154">
        <v>0</v>
      </c>
      <c r="AA4" s="152">
        <v>20</v>
      </c>
      <c r="AB4" s="153">
        <f ca="1">F4+($W$2*7)-112</f>
        <v>57</v>
      </c>
      <c r="AC4" s="25">
        <f t="shared" ref="AC4:AC5" si="2">I4+$AC$2</f>
        <v>1.4</v>
      </c>
      <c r="AD4" s="155">
        <f t="shared" ref="AD4" si="3">M4</f>
        <v>6</v>
      </c>
      <c r="AE4" s="155">
        <f t="shared" ref="AE4" si="4">N4</f>
        <v>4</v>
      </c>
      <c r="AF4" s="155">
        <f t="shared" ref="AF4" si="5">O4</f>
        <v>0</v>
      </c>
      <c r="AG4" s="155">
        <f t="shared" ref="AG4" si="6">P4</f>
        <v>3</v>
      </c>
      <c r="AH4" s="155">
        <f t="shared" ref="AH4" si="7">Q4</f>
        <v>0</v>
      </c>
      <c r="AI4" s="155">
        <f t="shared" ref="AI4" si="8">R4</f>
        <v>1</v>
      </c>
      <c r="AJ4" s="155">
        <f t="shared" ref="AJ4" si="9">S4</f>
        <v>1</v>
      </c>
    </row>
    <row r="5" spans="1:36" x14ac:dyDescent="0.25">
      <c r="A5" s="15" t="str">
        <f>PLANTILLA!A4</f>
        <v>#1</v>
      </c>
      <c r="B5" s="15" t="str">
        <f>PLANTILLA!B4</f>
        <v>POR</v>
      </c>
      <c r="C5" s="120">
        <f ca="1">PLANTILLA!C4</f>
        <v>11.589285714285714</v>
      </c>
      <c r="D5" s="28" t="str">
        <f>PLANTILLA!D4</f>
        <v>Cosme Fonteboa</v>
      </c>
      <c r="E5" s="16">
        <f>PLANTILLA!E4</f>
        <v>22</v>
      </c>
      <c r="F5" s="17">
        <f ca="1">PLANTILLA!F4</f>
        <v>46</v>
      </c>
      <c r="G5" s="18"/>
      <c r="H5" s="4">
        <f>PLANTILLA!H4</f>
        <v>4</v>
      </c>
      <c r="I5" s="27">
        <f>PLANTILLA!I4</f>
        <v>4.5999999999999996</v>
      </c>
      <c r="J5" s="19">
        <f>PLANTILLA!O4</f>
        <v>6.7</v>
      </c>
      <c r="K5" s="6">
        <f t="shared" si="0"/>
        <v>73.599999999999994</v>
      </c>
      <c r="L5" s="6">
        <f t="shared" si="1"/>
        <v>114.99999999999999</v>
      </c>
      <c r="M5" s="21">
        <f>PLANTILLA!X4</f>
        <v>15</v>
      </c>
      <c r="N5" s="21">
        <f>PLANTILLA!Y4</f>
        <v>10.285714285714286</v>
      </c>
      <c r="O5" s="21">
        <f>PLANTILLA!Z4</f>
        <v>0</v>
      </c>
      <c r="P5" s="21">
        <f>PLANTILLA!AA4</f>
        <v>0</v>
      </c>
      <c r="Q5" s="21">
        <f>PLANTILLA!AB4</f>
        <v>0</v>
      </c>
      <c r="R5" s="21">
        <f>PLANTILLA!AC4</f>
        <v>1</v>
      </c>
      <c r="S5" s="21">
        <f>PLANTILLA!AD4</f>
        <v>1</v>
      </c>
      <c r="T5" s="154">
        <v>0</v>
      </c>
      <c r="U5" s="154">
        <v>0</v>
      </c>
      <c r="V5" s="154">
        <v>0</v>
      </c>
      <c r="W5" s="154">
        <v>0</v>
      </c>
      <c r="X5" s="154">
        <v>0</v>
      </c>
      <c r="Y5" s="154">
        <v>0</v>
      </c>
      <c r="Z5" s="154">
        <v>0</v>
      </c>
      <c r="AA5" s="152">
        <v>20</v>
      </c>
      <c r="AB5" s="153">
        <f ca="1">F5+($W$2*7)-112</f>
        <v>32</v>
      </c>
      <c r="AC5" s="25">
        <f t="shared" si="2"/>
        <v>4.5999999999999996</v>
      </c>
      <c r="AD5" s="155">
        <f t="shared" ref="AD5:AD23" si="10">M5</f>
        <v>15</v>
      </c>
      <c r="AE5" s="155">
        <f t="shared" ref="AE5:AE23" si="11">N5</f>
        <v>10.285714285714286</v>
      </c>
      <c r="AF5" s="155">
        <f t="shared" ref="AF5:AF23" si="12">O5</f>
        <v>0</v>
      </c>
      <c r="AG5" s="155">
        <f t="shared" ref="AG5:AG23" si="13">P5</f>
        <v>0</v>
      </c>
      <c r="AH5" s="155">
        <f t="shared" ref="AH5:AH23" si="14">Q5</f>
        <v>0</v>
      </c>
      <c r="AI5" s="155">
        <f t="shared" ref="AI5:AI23" si="15">R5</f>
        <v>1</v>
      </c>
      <c r="AJ5" s="155">
        <f t="shared" ref="AJ5:AJ23" si="16">S5</f>
        <v>1</v>
      </c>
    </row>
    <row r="6" spans="1:36" ht="16.5" customHeight="1" x14ac:dyDescent="0.25">
      <c r="A6" s="15" t="str">
        <f>PLANTILLA!A9</f>
        <v>#2</v>
      </c>
      <c r="B6" s="15" t="str">
        <f>PLANTILLA!B9</f>
        <v>CEN</v>
      </c>
      <c r="C6" s="120">
        <f ca="1">PLANTILLA!C9</f>
        <v>11.473214285714286</v>
      </c>
      <c r="D6" s="28" t="str">
        <f>PLANTILLA!D9</f>
        <v>Guillermo Pedrajas</v>
      </c>
      <c r="E6" s="16">
        <f>PLANTILLA!E9</f>
        <v>22</v>
      </c>
      <c r="F6" s="17">
        <f ca="1">PLANTILLA!F9</f>
        <v>59</v>
      </c>
      <c r="G6" s="18"/>
      <c r="H6" s="4">
        <f>PLANTILLA!H9</f>
        <v>4</v>
      </c>
      <c r="I6" s="27">
        <f>PLANTILLA!I9</f>
        <v>4.4000000000000004</v>
      </c>
      <c r="J6" s="19">
        <f>PLANTILLA!O9</f>
        <v>6.5</v>
      </c>
      <c r="K6" s="6">
        <f>(H6)*(H6)*(I6)</f>
        <v>70.400000000000006</v>
      </c>
      <c r="L6" s="6">
        <f>(H6+1)*(H6+1)*I6</f>
        <v>110.00000000000001</v>
      </c>
      <c r="M6" s="21">
        <f>PLANTILLA!X9</f>
        <v>0</v>
      </c>
      <c r="N6" s="21">
        <f>PLANTILLA!Y9</f>
        <v>10.222222222222221</v>
      </c>
      <c r="O6" s="21">
        <f>PLANTILLA!Z9</f>
        <v>11</v>
      </c>
      <c r="P6" s="21">
        <f>PLANTILLA!AA9</f>
        <v>4</v>
      </c>
      <c r="Q6" s="21">
        <f>PLANTILLA!AB9</f>
        <v>9</v>
      </c>
      <c r="R6" s="21">
        <f>PLANTILLA!AC9</f>
        <v>4</v>
      </c>
      <c r="S6" s="21">
        <f>PLANTILLA!AD9</f>
        <v>1</v>
      </c>
      <c r="T6" s="154">
        <v>0</v>
      </c>
      <c r="U6" s="154">
        <v>0</v>
      </c>
      <c r="V6" s="154">
        <v>0</v>
      </c>
      <c r="W6" s="154">
        <v>0</v>
      </c>
      <c r="X6" s="154">
        <v>0</v>
      </c>
      <c r="Y6" s="154">
        <v>0</v>
      </c>
      <c r="Z6" s="154">
        <v>0</v>
      </c>
      <c r="AA6" s="152">
        <f t="shared" ref="AA6:AA23" si="17">E6</f>
        <v>22</v>
      </c>
      <c r="AB6" s="153">
        <f t="shared" ref="AB6:AB23" ca="1" si="18">F6+($W$2*7)</f>
        <v>157</v>
      </c>
      <c r="AC6" s="25">
        <f>I6+$AC$2</f>
        <v>4.4000000000000004</v>
      </c>
      <c r="AD6" s="155">
        <f t="shared" si="10"/>
        <v>0</v>
      </c>
      <c r="AE6" s="155">
        <f t="shared" si="11"/>
        <v>10.222222222222221</v>
      </c>
      <c r="AF6" s="155">
        <f t="shared" si="12"/>
        <v>11</v>
      </c>
      <c r="AG6" s="155">
        <f t="shared" si="13"/>
        <v>4</v>
      </c>
      <c r="AH6" s="155">
        <f t="shared" si="14"/>
        <v>9</v>
      </c>
      <c r="AI6" s="155">
        <f t="shared" si="15"/>
        <v>4</v>
      </c>
      <c r="AJ6" s="155">
        <f t="shared" si="16"/>
        <v>1</v>
      </c>
    </row>
    <row r="7" spans="1:36" ht="16.5" customHeight="1" x14ac:dyDescent="0.25">
      <c r="A7" s="15" t="str">
        <f>PLANTILLA!A20</f>
        <v>#38</v>
      </c>
      <c r="B7" s="15" t="str">
        <f>PLANTILLA!B20</f>
        <v>DAV</v>
      </c>
      <c r="C7" s="120">
        <f ca="1">PLANTILLA!C20</f>
        <v>2.6517857142857144</v>
      </c>
      <c r="D7" s="28" t="str">
        <f>PLANTILLA!D20</f>
        <v>Emilio Rojas</v>
      </c>
      <c r="E7" s="16">
        <f>PLANTILLA!E20</f>
        <v>31</v>
      </c>
      <c r="F7" s="17">
        <f ca="1">PLANTILLA!F20</f>
        <v>39</v>
      </c>
      <c r="G7" s="18"/>
      <c r="H7" s="4">
        <f>PLANTILLA!H20</f>
        <v>4</v>
      </c>
      <c r="I7" s="27">
        <f>PLANTILLA!I20</f>
        <v>6.3</v>
      </c>
      <c r="J7" s="19">
        <f>PLANTILLA!O20</f>
        <v>5.3</v>
      </c>
      <c r="K7" s="6">
        <f t="shared" ref="K7:K23" si="19">(H7)*(H7)*(I7)</f>
        <v>100.8</v>
      </c>
      <c r="L7" s="6">
        <f t="shared" ref="L7:L23" si="20">(H7+1)*(H7+1)*I7</f>
        <v>157.5</v>
      </c>
      <c r="M7" s="21">
        <f>PLANTILLA!X20</f>
        <v>0</v>
      </c>
      <c r="N7" s="21">
        <f>PLANTILLA!Y20</f>
        <v>6</v>
      </c>
      <c r="O7" s="21">
        <f>PLANTILLA!Z20</f>
        <v>2</v>
      </c>
      <c r="P7" s="21">
        <f>PLANTILLA!AA20</f>
        <v>6</v>
      </c>
      <c r="Q7" s="21">
        <f>PLANTILLA!AB20</f>
        <v>9</v>
      </c>
      <c r="R7" s="21">
        <f>PLANTILLA!AC20</f>
        <v>9</v>
      </c>
      <c r="S7" s="21">
        <f>PLANTILLA!AD20</f>
        <v>13</v>
      </c>
      <c r="T7" s="154">
        <v>0</v>
      </c>
      <c r="U7" s="154">
        <v>0</v>
      </c>
      <c r="V7" s="154">
        <v>0</v>
      </c>
      <c r="W7" s="154">
        <v>0.5</v>
      </c>
      <c r="X7" s="154">
        <v>0</v>
      </c>
      <c r="Y7" s="154">
        <v>0</v>
      </c>
      <c r="Z7" s="154">
        <v>0</v>
      </c>
      <c r="AA7" s="152">
        <f t="shared" si="17"/>
        <v>31</v>
      </c>
      <c r="AB7" s="153">
        <f t="shared" ca="1" si="18"/>
        <v>137</v>
      </c>
      <c r="AC7" s="25">
        <f t="shared" ref="AC7:AC23" si="21">I7+$AC$2</f>
        <v>6.3</v>
      </c>
      <c r="AD7" s="155">
        <f t="shared" si="10"/>
        <v>0</v>
      </c>
      <c r="AE7" s="155">
        <f t="shared" si="11"/>
        <v>6</v>
      </c>
      <c r="AF7" s="155">
        <f t="shared" si="12"/>
        <v>2</v>
      </c>
      <c r="AG7" s="155">
        <f>9+5/7</f>
        <v>9.7142857142857135</v>
      </c>
      <c r="AH7" s="155">
        <f t="shared" si="14"/>
        <v>9</v>
      </c>
      <c r="AI7" s="155">
        <f t="shared" si="15"/>
        <v>9</v>
      </c>
      <c r="AJ7" s="155">
        <f t="shared" si="16"/>
        <v>13</v>
      </c>
    </row>
    <row r="8" spans="1:36" ht="16.5" customHeight="1" x14ac:dyDescent="0.25">
      <c r="A8" s="15" t="str">
        <f>PLANTILLA!A19</f>
        <v>#36</v>
      </c>
      <c r="B8" s="15" t="str">
        <f>PLANTILLA!B19</f>
        <v>DAV</v>
      </c>
      <c r="C8" s="120">
        <f ca="1">PLANTILLA!C19</f>
        <v>2.9910714285714284</v>
      </c>
      <c r="D8" s="28" t="str">
        <f>PLANTILLA!D19</f>
        <v>Miklós Gábriel</v>
      </c>
      <c r="E8" s="16">
        <f>PLANTILLA!E19</f>
        <v>31</v>
      </c>
      <c r="F8" s="17">
        <f ca="1">PLANTILLA!F19</f>
        <v>1</v>
      </c>
      <c r="G8" s="18"/>
      <c r="H8" s="4">
        <f>PLANTILLA!H19</f>
        <v>2</v>
      </c>
      <c r="I8" s="27">
        <f>PLANTILLA!I19</f>
        <v>6.6</v>
      </c>
      <c r="J8" s="19">
        <f>PLANTILLA!O19</f>
        <v>5.4</v>
      </c>
      <c r="K8" s="6">
        <f t="shared" si="19"/>
        <v>26.4</v>
      </c>
      <c r="L8" s="6">
        <f t="shared" si="20"/>
        <v>59.4</v>
      </c>
      <c r="M8" s="21">
        <f>PLANTILLA!X19</f>
        <v>0</v>
      </c>
      <c r="N8" s="21">
        <f>PLANTILLA!Y19</f>
        <v>5</v>
      </c>
      <c r="O8" s="21">
        <f>PLANTILLA!Z19</f>
        <v>2</v>
      </c>
      <c r="P8" s="21">
        <f>PLANTILLA!AA19</f>
        <v>4</v>
      </c>
      <c r="Q8" s="21">
        <f>PLANTILLA!AB19</f>
        <v>7</v>
      </c>
      <c r="R8" s="21">
        <f>PLANTILLA!AC19</f>
        <v>10</v>
      </c>
      <c r="S8" s="21">
        <f>PLANTILLA!AD19</f>
        <v>14</v>
      </c>
      <c r="T8" s="154">
        <v>0</v>
      </c>
      <c r="U8" s="154">
        <v>0</v>
      </c>
      <c r="V8" s="154">
        <v>0</v>
      </c>
      <c r="W8" s="154">
        <v>0</v>
      </c>
      <c r="X8" s="154">
        <v>0</v>
      </c>
      <c r="Y8" s="154">
        <v>0</v>
      </c>
      <c r="Z8" s="154">
        <v>0</v>
      </c>
      <c r="AA8" s="152">
        <v>20</v>
      </c>
      <c r="AB8" s="153">
        <f t="shared" ref="AB8:AB21" ca="1" si="22">F8+($W$2*7)-112</f>
        <v>-13</v>
      </c>
      <c r="AC8" s="25">
        <f t="shared" si="21"/>
        <v>6.6</v>
      </c>
      <c r="AD8" s="155">
        <f t="shared" si="10"/>
        <v>0</v>
      </c>
      <c r="AE8" s="155">
        <f t="shared" si="11"/>
        <v>5</v>
      </c>
      <c r="AF8" s="155">
        <f t="shared" si="12"/>
        <v>2</v>
      </c>
      <c r="AG8" s="155">
        <f t="shared" si="13"/>
        <v>4</v>
      </c>
      <c r="AH8" s="155">
        <f t="shared" si="14"/>
        <v>7</v>
      </c>
      <c r="AI8" s="155">
        <f t="shared" si="15"/>
        <v>10</v>
      </c>
      <c r="AJ8" s="155">
        <f t="shared" si="16"/>
        <v>14</v>
      </c>
    </row>
    <row r="9" spans="1:36" ht="16.5" customHeight="1" x14ac:dyDescent="0.25">
      <c r="A9" s="15" t="e">
        <f>PLANTILLA!#REF!</f>
        <v>#REF!</v>
      </c>
      <c r="B9" s="15" t="e">
        <f>PLANTILLA!#REF!</f>
        <v>#REF!</v>
      </c>
      <c r="C9" s="120" t="e">
        <f>PLANTILLA!#REF!</f>
        <v>#REF!</v>
      </c>
      <c r="D9" s="28" t="e">
        <f>PLANTILLA!#REF!</f>
        <v>#REF!</v>
      </c>
      <c r="E9" s="16" t="e">
        <f>PLANTILLA!#REF!</f>
        <v>#REF!</v>
      </c>
      <c r="F9" s="17" t="e">
        <f>PLANTILLA!#REF!</f>
        <v>#REF!</v>
      </c>
      <c r="G9" s="18"/>
      <c r="H9" s="4" t="e">
        <f>PLANTILLA!#REF!</f>
        <v>#REF!</v>
      </c>
      <c r="I9" s="27" t="e">
        <f>PLANTILLA!#REF!</f>
        <v>#REF!</v>
      </c>
      <c r="J9" s="19" t="e">
        <f>PLANTILLA!#REF!</f>
        <v>#REF!</v>
      </c>
      <c r="K9" s="6" t="e">
        <f t="shared" si="19"/>
        <v>#REF!</v>
      </c>
      <c r="L9" s="6" t="e">
        <f t="shared" si="20"/>
        <v>#REF!</v>
      </c>
      <c r="M9" s="21" t="e">
        <f>PLANTILLA!#REF!</f>
        <v>#REF!</v>
      </c>
      <c r="N9" s="21" t="e">
        <f>PLANTILLA!#REF!</f>
        <v>#REF!</v>
      </c>
      <c r="O9" s="21" t="e">
        <f>PLANTILLA!#REF!</f>
        <v>#REF!</v>
      </c>
      <c r="P9" s="21" t="e">
        <f>PLANTILLA!#REF!</f>
        <v>#REF!</v>
      </c>
      <c r="Q9" s="21" t="e">
        <f>PLANTILLA!#REF!</f>
        <v>#REF!</v>
      </c>
      <c r="R9" s="21" t="e">
        <f>PLANTILLA!#REF!</f>
        <v>#REF!</v>
      </c>
      <c r="S9" s="21" t="e">
        <f>PLANTILLA!#REF!</f>
        <v>#REF!</v>
      </c>
      <c r="T9" s="154">
        <v>0</v>
      </c>
      <c r="U9" s="154">
        <v>0</v>
      </c>
      <c r="V9" s="154">
        <v>0</v>
      </c>
      <c r="W9" s="154">
        <v>0.5</v>
      </c>
      <c r="X9" s="154">
        <v>0</v>
      </c>
      <c r="Y9" s="154">
        <v>0</v>
      </c>
      <c r="Z9" s="154">
        <v>0</v>
      </c>
      <c r="AA9" s="152">
        <v>20</v>
      </c>
      <c r="AB9" s="153" t="e">
        <f t="shared" si="22"/>
        <v>#REF!</v>
      </c>
      <c r="AC9" s="25" t="e">
        <f t="shared" si="21"/>
        <v>#REF!</v>
      </c>
      <c r="AD9" s="155" t="e">
        <f t="shared" si="10"/>
        <v>#REF!</v>
      </c>
      <c r="AE9" s="155" t="e">
        <f t="shared" si="11"/>
        <v>#REF!</v>
      </c>
      <c r="AF9" s="155" t="e">
        <f t="shared" si="12"/>
        <v>#REF!</v>
      </c>
      <c r="AG9" s="155">
        <v>11</v>
      </c>
      <c r="AH9" s="155" t="e">
        <f t="shared" si="14"/>
        <v>#REF!</v>
      </c>
      <c r="AI9" s="155" t="e">
        <f t="shared" si="15"/>
        <v>#REF!</v>
      </c>
      <c r="AJ9" s="155" t="e">
        <f t="shared" si="16"/>
        <v>#REF!</v>
      </c>
    </row>
    <row r="10" spans="1:36" ht="16.5" customHeight="1" x14ac:dyDescent="0.25">
      <c r="A10" s="15" t="str">
        <f>PLANTILLA!A11</f>
        <v>#9</v>
      </c>
      <c r="B10" s="15" t="str">
        <f>PLANTILLA!B11</f>
        <v>EXT-LAT</v>
      </c>
      <c r="C10" s="120">
        <f ca="1">PLANTILLA!C11</f>
        <v>11.651785714285714</v>
      </c>
      <c r="D10" s="28" t="str">
        <f>PLANTILLA!D11</f>
        <v>Francesc Añigas</v>
      </c>
      <c r="E10" s="16">
        <f>PLANTILLA!E11</f>
        <v>22</v>
      </c>
      <c r="F10" s="17">
        <f ca="1">PLANTILLA!F11</f>
        <v>39</v>
      </c>
      <c r="G10" s="18"/>
      <c r="H10" s="4">
        <f>PLANTILLA!H11</f>
        <v>5</v>
      </c>
      <c r="I10" s="27">
        <f>PLANTILLA!I11</f>
        <v>4.0999999999999996</v>
      </c>
      <c r="J10" s="19">
        <f>PLANTILLA!O11</f>
        <v>5.8</v>
      </c>
      <c r="K10" s="6">
        <f t="shared" si="19"/>
        <v>102.49999999999999</v>
      </c>
      <c r="L10" s="6">
        <f t="shared" si="20"/>
        <v>147.6</v>
      </c>
      <c r="M10" s="21">
        <f>PLANTILLA!X11</f>
        <v>0</v>
      </c>
      <c r="N10" s="21">
        <f>PLANTILLA!Y11</f>
        <v>11.555555555555555</v>
      </c>
      <c r="O10" s="21">
        <f>PLANTILLA!Z11</f>
        <v>4</v>
      </c>
      <c r="P10" s="21">
        <f>PLANTILLA!AA11</f>
        <v>12.666666666666666</v>
      </c>
      <c r="Q10" s="21">
        <f>PLANTILLA!AB11</f>
        <v>4.25</v>
      </c>
      <c r="R10" s="21">
        <f>PLANTILLA!AC11</f>
        <v>7</v>
      </c>
      <c r="S10" s="21">
        <f>PLANTILLA!AD11</f>
        <v>3</v>
      </c>
      <c r="T10" s="154">
        <v>0</v>
      </c>
      <c r="U10" s="154">
        <v>0</v>
      </c>
      <c r="V10" s="154">
        <v>0</v>
      </c>
      <c r="W10" s="154">
        <v>1</v>
      </c>
      <c r="X10" s="154">
        <v>0</v>
      </c>
      <c r="Y10" s="154">
        <v>0</v>
      </c>
      <c r="Z10" s="154">
        <v>0</v>
      </c>
      <c r="AA10" s="152">
        <v>20</v>
      </c>
      <c r="AB10" s="153">
        <f t="shared" ca="1" si="22"/>
        <v>25</v>
      </c>
      <c r="AC10" s="25">
        <f t="shared" si="21"/>
        <v>4.0999999999999996</v>
      </c>
      <c r="AD10" s="155">
        <f t="shared" si="10"/>
        <v>0</v>
      </c>
      <c r="AE10" s="155">
        <f t="shared" si="11"/>
        <v>11.555555555555555</v>
      </c>
      <c r="AF10" s="155">
        <f t="shared" si="12"/>
        <v>4</v>
      </c>
      <c r="AG10" s="155">
        <v>12</v>
      </c>
      <c r="AH10" s="155">
        <f t="shared" si="14"/>
        <v>4.25</v>
      </c>
      <c r="AI10" s="155">
        <f t="shared" si="15"/>
        <v>7</v>
      </c>
      <c r="AJ10" s="155">
        <f t="shared" si="16"/>
        <v>3</v>
      </c>
    </row>
    <row r="11" spans="1:36" ht="16.5" customHeight="1" x14ac:dyDescent="0.25">
      <c r="A11" s="15" t="str">
        <f>PLANTILLA!A12</f>
        <v>#3</v>
      </c>
      <c r="B11" s="15" t="str">
        <f>PLANTILLA!B12</f>
        <v>EXT-LAT</v>
      </c>
      <c r="C11" s="120">
        <f ca="1">PLANTILLA!C12</f>
        <v>12</v>
      </c>
      <c r="D11" s="28" t="str">
        <f>PLANTILLA!D12</f>
        <v>Will Duffill</v>
      </c>
      <c r="E11" s="16">
        <f>PLANTILLA!E12</f>
        <v>22</v>
      </c>
      <c r="F11" s="17">
        <f ca="1">PLANTILLA!F12</f>
        <v>0</v>
      </c>
      <c r="G11" s="18"/>
      <c r="H11" s="4">
        <f>PLANTILLA!H12</f>
        <v>3</v>
      </c>
      <c r="I11" s="27">
        <f>PLANTILLA!I12</f>
        <v>4.2</v>
      </c>
      <c r="J11" s="19">
        <f>PLANTILLA!O12</f>
        <v>5.7</v>
      </c>
      <c r="K11" s="6">
        <f t="shared" si="19"/>
        <v>37.800000000000004</v>
      </c>
      <c r="L11" s="6">
        <f t="shared" si="20"/>
        <v>67.2</v>
      </c>
      <c r="M11" s="21">
        <f>PLANTILLA!X12</f>
        <v>0</v>
      </c>
      <c r="N11" s="21">
        <f>PLANTILLA!Y12</f>
        <v>10.571428571428571</v>
      </c>
      <c r="O11" s="21">
        <f>PLANTILLA!Z12</f>
        <v>3</v>
      </c>
      <c r="P11" s="21">
        <f>PLANTILLA!AA12</f>
        <v>13</v>
      </c>
      <c r="Q11" s="21">
        <f>PLANTILLA!AB12</f>
        <v>7</v>
      </c>
      <c r="R11" s="21">
        <f>PLANTILLA!AC12</f>
        <v>7</v>
      </c>
      <c r="S11" s="21">
        <f>PLANTILLA!AD12</f>
        <v>3</v>
      </c>
      <c r="T11" s="154">
        <v>0</v>
      </c>
      <c r="U11" s="154">
        <v>0</v>
      </c>
      <c r="V11" s="154">
        <v>0</v>
      </c>
      <c r="W11" s="154">
        <v>1</v>
      </c>
      <c r="X11" s="154">
        <v>0</v>
      </c>
      <c r="Y11" s="154">
        <v>0</v>
      </c>
      <c r="Z11" s="154">
        <v>0</v>
      </c>
      <c r="AA11" s="152">
        <v>20</v>
      </c>
      <c r="AB11" s="153">
        <f t="shared" ca="1" si="22"/>
        <v>-14</v>
      </c>
      <c r="AC11" s="25">
        <f t="shared" si="21"/>
        <v>4.2</v>
      </c>
      <c r="AD11" s="155">
        <f t="shared" si="10"/>
        <v>0</v>
      </c>
      <c r="AE11" s="155">
        <f t="shared" si="11"/>
        <v>10.571428571428571</v>
      </c>
      <c r="AF11" s="155">
        <f t="shared" si="12"/>
        <v>3</v>
      </c>
      <c r="AG11" s="155">
        <f>12+1/5</f>
        <v>12.2</v>
      </c>
      <c r="AH11" s="155">
        <f t="shared" si="14"/>
        <v>7</v>
      </c>
      <c r="AI11" s="155">
        <f t="shared" si="15"/>
        <v>7</v>
      </c>
      <c r="AJ11" s="155">
        <f t="shared" si="16"/>
        <v>3</v>
      </c>
    </row>
    <row r="12" spans="1:36" ht="16.5" customHeight="1" x14ac:dyDescent="0.25">
      <c r="A12" s="15" t="str">
        <f>PLANTILLA!A13</f>
        <v>#5</v>
      </c>
      <c r="B12" s="15" t="str">
        <f>PLANTILLA!B13</f>
        <v>EXT-LAT</v>
      </c>
      <c r="C12" s="120">
        <f ca="1">PLANTILLA!C13</f>
        <v>11.651785714285714</v>
      </c>
      <c r="D12" s="28" t="str">
        <f>PLANTILLA!D13</f>
        <v>Valeri Gomis</v>
      </c>
      <c r="E12" s="16">
        <f>PLANTILLA!E13</f>
        <v>22</v>
      </c>
      <c r="F12" s="17">
        <f ca="1">PLANTILLA!F13</f>
        <v>39</v>
      </c>
      <c r="G12" s="18"/>
      <c r="H12" s="4">
        <f>PLANTILLA!H13</f>
        <v>6</v>
      </c>
      <c r="I12" s="27">
        <f>PLANTILLA!I13</f>
        <v>4.2</v>
      </c>
      <c r="J12" s="19">
        <f>PLANTILLA!O13</f>
        <v>5.0999999999999996</v>
      </c>
      <c r="K12" s="6">
        <f t="shared" si="19"/>
        <v>151.20000000000002</v>
      </c>
      <c r="L12" s="6">
        <f t="shared" si="20"/>
        <v>205.8</v>
      </c>
      <c r="M12" s="21">
        <f>PLANTILLA!X13</f>
        <v>0</v>
      </c>
      <c r="N12" s="21">
        <f>PLANTILLA!Y13</f>
        <v>10.142857142857142</v>
      </c>
      <c r="O12" s="21">
        <f>PLANTILLA!Z13</f>
        <v>3</v>
      </c>
      <c r="P12" s="21">
        <f>PLANTILLA!AA13</f>
        <v>12</v>
      </c>
      <c r="Q12" s="21">
        <f>PLANTILLA!AB13</f>
        <v>6.0000000000000009</v>
      </c>
      <c r="R12" s="21">
        <f>PLANTILLA!AC13</f>
        <v>7.25</v>
      </c>
      <c r="S12" s="21">
        <f>PLANTILLA!AD13</f>
        <v>3</v>
      </c>
      <c r="T12" s="154">
        <v>0</v>
      </c>
      <c r="U12" s="154">
        <v>0</v>
      </c>
      <c r="V12" s="154">
        <v>0</v>
      </c>
      <c r="W12" s="154">
        <v>0.5</v>
      </c>
      <c r="X12" s="154">
        <v>0</v>
      </c>
      <c r="Y12" s="154">
        <v>0</v>
      </c>
      <c r="Z12" s="154">
        <v>0</v>
      </c>
      <c r="AA12" s="152">
        <v>20</v>
      </c>
      <c r="AB12" s="153">
        <f t="shared" ca="1" si="22"/>
        <v>25</v>
      </c>
      <c r="AC12" s="25">
        <f t="shared" si="21"/>
        <v>4.2</v>
      </c>
      <c r="AD12" s="155">
        <f t="shared" si="10"/>
        <v>0</v>
      </c>
      <c r="AE12" s="155">
        <f t="shared" si="11"/>
        <v>10.142857142857142</v>
      </c>
      <c r="AF12" s="155">
        <f t="shared" si="12"/>
        <v>3</v>
      </c>
      <c r="AG12" s="155">
        <f>11+4/10</f>
        <v>11.4</v>
      </c>
      <c r="AH12" s="155">
        <f t="shared" si="14"/>
        <v>6.0000000000000009</v>
      </c>
      <c r="AI12" s="155">
        <f t="shared" si="15"/>
        <v>7.25</v>
      </c>
      <c r="AJ12" s="155">
        <f t="shared" si="16"/>
        <v>3</v>
      </c>
    </row>
    <row r="13" spans="1:36" ht="16.5" customHeight="1" x14ac:dyDescent="0.25">
      <c r="A13" s="15" t="e">
        <f>PLANTILLA!#REF!</f>
        <v>#REF!</v>
      </c>
      <c r="B13" s="15" t="e">
        <f>PLANTILLA!#REF!</f>
        <v>#REF!</v>
      </c>
      <c r="C13" s="120" t="e">
        <f>PLANTILLA!#REF!</f>
        <v>#REF!</v>
      </c>
      <c r="D13" s="28" t="e">
        <f>PLANTILLA!#REF!</f>
        <v>#REF!</v>
      </c>
      <c r="E13" s="16" t="e">
        <f>PLANTILLA!#REF!</f>
        <v>#REF!</v>
      </c>
      <c r="F13" s="17" t="e">
        <f>PLANTILLA!#REF!</f>
        <v>#REF!</v>
      </c>
      <c r="G13" s="18"/>
      <c r="H13" s="4" t="e">
        <f>PLANTILLA!#REF!</f>
        <v>#REF!</v>
      </c>
      <c r="I13" s="27" t="e">
        <f>PLANTILLA!#REF!</f>
        <v>#REF!</v>
      </c>
      <c r="J13" s="19" t="e">
        <f>PLANTILLA!#REF!</f>
        <v>#REF!</v>
      </c>
      <c r="K13" s="6" t="e">
        <f t="shared" si="19"/>
        <v>#REF!</v>
      </c>
      <c r="L13" s="6" t="e">
        <f t="shared" si="20"/>
        <v>#REF!</v>
      </c>
      <c r="M13" s="21" t="e">
        <f>PLANTILLA!#REF!</f>
        <v>#REF!</v>
      </c>
      <c r="N13" s="21" t="e">
        <f>PLANTILLA!#REF!</f>
        <v>#REF!</v>
      </c>
      <c r="O13" s="21" t="e">
        <f>PLANTILLA!#REF!</f>
        <v>#REF!</v>
      </c>
      <c r="P13" s="21" t="e">
        <f>PLANTILLA!#REF!</f>
        <v>#REF!</v>
      </c>
      <c r="Q13" s="21" t="e">
        <f>PLANTILLA!#REF!</f>
        <v>#REF!</v>
      </c>
      <c r="R13" s="21" t="e">
        <f>PLANTILLA!#REF!</f>
        <v>#REF!</v>
      </c>
      <c r="S13" s="21" t="e">
        <f>PLANTILLA!#REF!</f>
        <v>#REF!</v>
      </c>
      <c r="T13" s="154">
        <v>0</v>
      </c>
      <c r="U13" s="154">
        <v>0</v>
      </c>
      <c r="V13" s="154">
        <v>0</v>
      </c>
      <c r="W13" s="154">
        <v>0.5</v>
      </c>
      <c r="X13" s="154">
        <v>0</v>
      </c>
      <c r="Y13" s="154">
        <v>0</v>
      </c>
      <c r="Z13" s="154">
        <v>0</v>
      </c>
      <c r="AA13" s="152">
        <v>20</v>
      </c>
      <c r="AB13" s="153" t="e">
        <f t="shared" si="22"/>
        <v>#REF!</v>
      </c>
      <c r="AC13" s="25" t="e">
        <f t="shared" si="21"/>
        <v>#REF!</v>
      </c>
      <c r="AD13" s="155" t="e">
        <f t="shared" si="10"/>
        <v>#REF!</v>
      </c>
      <c r="AE13" s="155" t="e">
        <f t="shared" si="11"/>
        <v>#REF!</v>
      </c>
      <c r="AF13" s="155" t="e">
        <f t="shared" si="12"/>
        <v>#REF!</v>
      </c>
      <c r="AG13" s="155">
        <f>9+6/7</f>
        <v>9.8571428571428577</v>
      </c>
      <c r="AH13" s="155" t="e">
        <f t="shared" si="14"/>
        <v>#REF!</v>
      </c>
      <c r="AI13" s="155" t="e">
        <f t="shared" si="15"/>
        <v>#REF!</v>
      </c>
      <c r="AJ13" s="155" t="e">
        <f t="shared" si="16"/>
        <v>#REF!</v>
      </c>
    </row>
    <row r="14" spans="1:36" ht="16.5" customHeight="1" x14ac:dyDescent="0.25">
      <c r="A14" s="15" t="e">
        <f>PLANTILLA!#REF!</f>
        <v>#REF!</v>
      </c>
      <c r="B14" s="15" t="e">
        <f>PLANTILLA!#REF!</f>
        <v>#REF!</v>
      </c>
      <c r="C14" s="120" t="e">
        <f>PLANTILLA!#REF!</f>
        <v>#REF!</v>
      </c>
      <c r="D14" s="28" t="e">
        <f>PLANTILLA!#REF!</f>
        <v>#REF!</v>
      </c>
      <c r="E14" s="16" t="e">
        <f>PLANTILLA!#REF!</f>
        <v>#REF!</v>
      </c>
      <c r="F14" s="17" t="e">
        <f>PLANTILLA!#REF!</f>
        <v>#REF!</v>
      </c>
      <c r="G14" s="18"/>
      <c r="H14" s="4" t="e">
        <f>PLANTILLA!#REF!</f>
        <v>#REF!</v>
      </c>
      <c r="I14" s="27" t="e">
        <f>PLANTILLA!#REF!</f>
        <v>#REF!</v>
      </c>
      <c r="J14" s="19" t="e">
        <f>PLANTILLA!#REF!</f>
        <v>#REF!</v>
      </c>
      <c r="K14" s="6" t="e">
        <f t="shared" si="19"/>
        <v>#REF!</v>
      </c>
      <c r="L14" s="6" t="e">
        <f t="shared" si="20"/>
        <v>#REF!</v>
      </c>
      <c r="M14" s="21" t="e">
        <f>PLANTILLA!#REF!</f>
        <v>#REF!</v>
      </c>
      <c r="N14" s="21" t="e">
        <f>PLANTILLA!#REF!</f>
        <v>#REF!</v>
      </c>
      <c r="O14" s="21" t="e">
        <f>PLANTILLA!#REF!</f>
        <v>#REF!</v>
      </c>
      <c r="P14" s="21" t="e">
        <f>PLANTILLA!#REF!</f>
        <v>#REF!</v>
      </c>
      <c r="Q14" s="21" t="e">
        <f>PLANTILLA!#REF!</f>
        <v>#REF!</v>
      </c>
      <c r="R14" s="21" t="e">
        <f>PLANTILLA!#REF!</f>
        <v>#REF!</v>
      </c>
      <c r="S14" s="21" t="e">
        <f>PLANTILLA!#REF!</f>
        <v>#REF!</v>
      </c>
      <c r="T14" s="154">
        <v>0</v>
      </c>
      <c r="U14" s="154">
        <v>0</v>
      </c>
      <c r="V14" s="154">
        <v>0</v>
      </c>
      <c r="W14" s="154">
        <v>0</v>
      </c>
      <c r="X14" s="154">
        <v>0</v>
      </c>
      <c r="Y14" s="154">
        <v>0</v>
      </c>
      <c r="Z14" s="154">
        <v>0</v>
      </c>
      <c r="AA14" s="152">
        <v>20</v>
      </c>
      <c r="AB14" s="153" t="e">
        <f t="shared" si="22"/>
        <v>#REF!</v>
      </c>
      <c r="AC14" s="25" t="e">
        <f t="shared" si="21"/>
        <v>#REF!</v>
      </c>
      <c r="AD14" s="155" t="e">
        <f t="shared" si="10"/>
        <v>#REF!</v>
      </c>
      <c r="AE14" s="155" t="e">
        <f t="shared" si="11"/>
        <v>#REF!</v>
      </c>
      <c r="AF14" s="155" t="e">
        <f t="shared" si="12"/>
        <v>#REF!</v>
      </c>
      <c r="AG14" s="155" t="e">
        <f t="shared" si="13"/>
        <v>#REF!</v>
      </c>
      <c r="AH14" s="155" t="e">
        <f t="shared" si="14"/>
        <v>#REF!</v>
      </c>
      <c r="AI14" s="155" t="e">
        <f t="shared" si="15"/>
        <v>#REF!</v>
      </c>
      <c r="AJ14" s="155" t="e">
        <f t="shared" si="16"/>
        <v>#REF!</v>
      </c>
    </row>
    <row r="15" spans="1:36" ht="16.5" customHeight="1" x14ac:dyDescent="0.25">
      <c r="A15" s="15" t="str">
        <f>PLANTILLA!A10</f>
        <v>#23</v>
      </c>
      <c r="B15" s="15" t="str">
        <f>PLANTILLA!B10</f>
        <v>LAT</v>
      </c>
      <c r="C15" s="120">
        <f ca="1">PLANTILLA!C10</f>
        <v>11.6875</v>
      </c>
      <c r="D15" s="28" t="str">
        <f>PLANTILLA!D10</f>
        <v>Eckardt Hägerling</v>
      </c>
      <c r="E15" s="16">
        <f>PLANTILLA!E10</f>
        <v>22</v>
      </c>
      <c r="F15" s="17">
        <f ca="1">PLANTILLA!F10</f>
        <v>35</v>
      </c>
      <c r="G15" s="18"/>
      <c r="H15" s="4">
        <f>PLANTILLA!H10</f>
        <v>3</v>
      </c>
      <c r="I15" s="27">
        <f>PLANTILLA!I10</f>
        <v>2.2000000000000002</v>
      </c>
      <c r="J15" s="19">
        <f>PLANTILLA!O10</f>
        <v>5.0999999999999996</v>
      </c>
      <c r="K15" s="6">
        <f t="shared" si="19"/>
        <v>19.8</v>
      </c>
      <c r="L15" s="6">
        <f t="shared" si="20"/>
        <v>35.200000000000003</v>
      </c>
      <c r="M15" s="21">
        <f>PLANTILLA!X10</f>
        <v>0</v>
      </c>
      <c r="N15" s="21">
        <f>PLANTILLA!Y10</f>
        <v>6</v>
      </c>
      <c r="O15" s="21">
        <f>PLANTILLA!Z10</f>
        <v>3</v>
      </c>
      <c r="P15" s="21">
        <f>PLANTILLA!AA10</f>
        <v>6.15</v>
      </c>
      <c r="Q15" s="21">
        <f>PLANTILLA!AB10</f>
        <v>3</v>
      </c>
      <c r="R15" s="21">
        <f>PLANTILLA!AC10</f>
        <v>4.6633333333333322</v>
      </c>
      <c r="S15" s="21">
        <f>PLANTILLA!AD10</f>
        <v>3</v>
      </c>
      <c r="T15" s="154">
        <v>0</v>
      </c>
      <c r="U15" s="154">
        <v>0</v>
      </c>
      <c r="V15" s="154">
        <v>0</v>
      </c>
      <c r="W15" s="154">
        <v>0</v>
      </c>
      <c r="X15" s="154">
        <v>0</v>
      </c>
      <c r="Y15" s="154">
        <v>0</v>
      </c>
      <c r="Z15" s="154">
        <v>0</v>
      </c>
      <c r="AA15" s="152">
        <v>20</v>
      </c>
      <c r="AB15" s="153">
        <f t="shared" ca="1" si="22"/>
        <v>21</v>
      </c>
      <c r="AC15" s="25">
        <f t="shared" si="21"/>
        <v>2.2000000000000002</v>
      </c>
      <c r="AD15" s="155">
        <f t="shared" si="10"/>
        <v>0</v>
      </c>
      <c r="AE15" s="155">
        <f t="shared" si="11"/>
        <v>6</v>
      </c>
      <c r="AF15" s="155">
        <f t="shared" si="12"/>
        <v>3</v>
      </c>
      <c r="AG15" s="155">
        <f t="shared" si="13"/>
        <v>6.15</v>
      </c>
      <c r="AH15" s="155">
        <f t="shared" si="14"/>
        <v>3</v>
      </c>
      <c r="AI15" s="155">
        <f t="shared" si="15"/>
        <v>4.6633333333333322</v>
      </c>
      <c r="AJ15" s="155">
        <f t="shared" si="16"/>
        <v>3</v>
      </c>
    </row>
    <row r="16" spans="1:36" ht="16.5" customHeight="1" x14ac:dyDescent="0.25">
      <c r="A16" s="15" t="str">
        <f>PLANTILLA!A18</f>
        <v>#21</v>
      </c>
      <c r="B16" s="15" t="str">
        <f>PLANTILLA!B18</f>
        <v>MED</v>
      </c>
      <c r="C16" s="120">
        <f ca="1">PLANTILLA!C18</f>
        <v>11.321428571428571</v>
      </c>
      <c r="D16" s="28" t="str">
        <f>PLANTILLA!D18</f>
        <v>Fernando Gazón</v>
      </c>
      <c r="E16" s="16">
        <f>PLANTILLA!E18</f>
        <v>22</v>
      </c>
      <c r="F16" s="17">
        <f ca="1">PLANTILLA!F18</f>
        <v>76</v>
      </c>
      <c r="G16" s="18"/>
      <c r="H16" s="4">
        <f>PLANTILLA!H18</f>
        <v>3</v>
      </c>
      <c r="I16" s="27">
        <f>PLANTILLA!I18</f>
        <v>2.5</v>
      </c>
      <c r="J16" s="19">
        <f>PLANTILLA!O18</f>
        <v>5.0999999999999996</v>
      </c>
      <c r="K16" s="6">
        <f t="shared" si="19"/>
        <v>22.5</v>
      </c>
      <c r="L16" s="6">
        <f t="shared" si="20"/>
        <v>40</v>
      </c>
      <c r="M16" s="21">
        <f>PLANTILLA!X18</f>
        <v>0</v>
      </c>
      <c r="N16" s="21">
        <f>PLANTILLA!Y18</f>
        <v>4</v>
      </c>
      <c r="O16" s="21">
        <f>PLANTILLA!Z18</f>
        <v>6</v>
      </c>
      <c r="P16" s="21">
        <f>PLANTILLA!AA18</f>
        <v>6</v>
      </c>
      <c r="Q16" s="21">
        <f>PLANTILLA!AB18</f>
        <v>4.25</v>
      </c>
      <c r="R16" s="21">
        <f>PLANTILLA!AC18</f>
        <v>5.6190261437908475</v>
      </c>
      <c r="S16" s="21">
        <f>PLANTILLA!AD18</f>
        <v>3</v>
      </c>
      <c r="T16" s="154">
        <v>0</v>
      </c>
      <c r="U16" s="154">
        <v>0</v>
      </c>
      <c r="V16" s="154">
        <v>0</v>
      </c>
      <c r="W16" s="154">
        <v>0</v>
      </c>
      <c r="X16" s="154">
        <v>0</v>
      </c>
      <c r="Y16" s="154">
        <v>0</v>
      </c>
      <c r="Z16" s="154">
        <v>0</v>
      </c>
      <c r="AA16" s="152">
        <v>20</v>
      </c>
      <c r="AB16" s="153">
        <f t="shared" ca="1" si="22"/>
        <v>62</v>
      </c>
      <c r="AC16" s="25">
        <f t="shared" si="21"/>
        <v>2.5</v>
      </c>
      <c r="AD16" s="155">
        <f t="shared" si="10"/>
        <v>0</v>
      </c>
      <c r="AE16" s="155">
        <f t="shared" si="11"/>
        <v>4</v>
      </c>
      <c r="AF16" s="155">
        <f t="shared" si="12"/>
        <v>6</v>
      </c>
      <c r="AG16" s="155">
        <f t="shared" si="13"/>
        <v>6</v>
      </c>
      <c r="AH16" s="155">
        <f t="shared" si="14"/>
        <v>4.25</v>
      </c>
      <c r="AI16" s="155">
        <f t="shared" si="15"/>
        <v>5.6190261437908475</v>
      </c>
      <c r="AJ16" s="155">
        <f t="shared" si="16"/>
        <v>3</v>
      </c>
    </row>
    <row r="17" spans="1:36" ht="16.5" customHeight="1" x14ac:dyDescent="0.25">
      <c r="A17" s="15" t="str">
        <f>PLANTILLA!A16</f>
        <v>#12</v>
      </c>
      <c r="B17" s="15" t="str">
        <f>PLANTILLA!B16</f>
        <v>MED</v>
      </c>
      <c r="C17" s="120">
        <f ca="1">PLANTILLA!C16</f>
        <v>3.9642857142857144</v>
      </c>
      <c r="D17" s="28" t="str">
        <f>PLANTILLA!D16</f>
        <v>David Garcia-Spiess</v>
      </c>
      <c r="E17" s="16">
        <f>PLANTILLA!E16</f>
        <v>30</v>
      </c>
      <c r="F17" s="17">
        <f ca="1">PLANTILLA!F16</f>
        <v>4</v>
      </c>
      <c r="G17" s="18"/>
      <c r="H17" s="4">
        <f>PLANTILLA!H16</f>
        <v>1</v>
      </c>
      <c r="I17" s="27">
        <f>PLANTILLA!I16</f>
        <v>7</v>
      </c>
      <c r="J17" s="19">
        <f>PLANTILLA!O16</f>
        <v>5.8</v>
      </c>
      <c r="K17" s="6">
        <f t="shared" si="19"/>
        <v>7</v>
      </c>
      <c r="L17" s="6">
        <f t="shared" si="20"/>
        <v>28</v>
      </c>
      <c r="M17" s="21">
        <f>PLANTILLA!X16</f>
        <v>0</v>
      </c>
      <c r="N17" s="21">
        <f>PLANTILLA!Y16</f>
        <v>9</v>
      </c>
      <c r="O17" s="21">
        <f>PLANTILLA!Z16</f>
        <v>13</v>
      </c>
      <c r="P17" s="21">
        <f>PLANTILLA!AA16</f>
        <v>6</v>
      </c>
      <c r="Q17" s="21">
        <f>PLANTILLA!AB16</f>
        <v>7</v>
      </c>
      <c r="R17" s="21">
        <f>PLANTILLA!AC16</f>
        <v>7</v>
      </c>
      <c r="S17" s="21">
        <f>PLANTILLA!AD16</f>
        <v>17</v>
      </c>
      <c r="T17" s="154">
        <v>0</v>
      </c>
      <c r="U17" s="154">
        <v>0</v>
      </c>
      <c r="V17" s="154">
        <v>0</v>
      </c>
      <c r="W17" s="154">
        <v>0</v>
      </c>
      <c r="X17" s="154">
        <v>0</v>
      </c>
      <c r="Y17" s="154">
        <v>0</v>
      </c>
      <c r="Z17" s="154">
        <v>0</v>
      </c>
      <c r="AA17" s="152">
        <v>20</v>
      </c>
      <c r="AB17" s="153">
        <f t="shared" ca="1" si="22"/>
        <v>-10</v>
      </c>
      <c r="AC17" s="25">
        <f t="shared" si="21"/>
        <v>7</v>
      </c>
      <c r="AD17" s="155">
        <f t="shared" si="10"/>
        <v>0</v>
      </c>
      <c r="AE17" s="155">
        <f t="shared" si="11"/>
        <v>9</v>
      </c>
      <c r="AF17" s="155">
        <f t="shared" si="12"/>
        <v>13</v>
      </c>
      <c r="AG17" s="155">
        <f t="shared" si="13"/>
        <v>6</v>
      </c>
      <c r="AH17" s="155">
        <f t="shared" si="14"/>
        <v>7</v>
      </c>
      <c r="AI17" s="155">
        <f t="shared" si="15"/>
        <v>7</v>
      </c>
      <c r="AJ17" s="155">
        <f t="shared" si="16"/>
        <v>17</v>
      </c>
    </row>
    <row r="18" spans="1:36" ht="16.5" customHeight="1" x14ac:dyDescent="0.25">
      <c r="A18" s="15" t="e">
        <f>PLANTILLA!#REF!</f>
        <v>#REF!</v>
      </c>
      <c r="B18" s="15" t="e">
        <f>PLANTILLA!#REF!</f>
        <v>#REF!</v>
      </c>
      <c r="C18" s="120" t="e">
        <f>PLANTILLA!#REF!</f>
        <v>#REF!</v>
      </c>
      <c r="D18" s="28" t="e">
        <f>PLANTILLA!#REF!</f>
        <v>#REF!</v>
      </c>
      <c r="E18" s="16" t="e">
        <f>PLANTILLA!#REF!</f>
        <v>#REF!</v>
      </c>
      <c r="F18" s="17" t="e">
        <f>PLANTILLA!#REF!</f>
        <v>#REF!</v>
      </c>
      <c r="G18" s="18"/>
      <c r="H18" s="4" t="e">
        <f>PLANTILLA!#REF!</f>
        <v>#REF!</v>
      </c>
      <c r="I18" s="27" t="e">
        <f>PLANTILLA!#REF!</f>
        <v>#REF!</v>
      </c>
      <c r="J18" s="19" t="e">
        <f>PLANTILLA!#REF!</f>
        <v>#REF!</v>
      </c>
      <c r="K18" s="6" t="e">
        <f t="shared" si="19"/>
        <v>#REF!</v>
      </c>
      <c r="L18" s="6" t="e">
        <f t="shared" si="20"/>
        <v>#REF!</v>
      </c>
      <c r="M18" s="21" t="e">
        <f>PLANTILLA!#REF!</f>
        <v>#REF!</v>
      </c>
      <c r="N18" s="21" t="e">
        <f>PLANTILLA!#REF!</f>
        <v>#REF!</v>
      </c>
      <c r="O18" s="21" t="e">
        <f>PLANTILLA!#REF!</f>
        <v>#REF!</v>
      </c>
      <c r="P18" s="21" t="e">
        <f>PLANTILLA!#REF!</f>
        <v>#REF!</v>
      </c>
      <c r="Q18" s="21" t="e">
        <f>PLANTILLA!#REF!</f>
        <v>#REF!</v>
      </c>
      <c r="R18" s="21" t="e">
        <f>PLANTILLA!#REF!</f>
        <v>#REF!</v>
      </c>
      <c r="S18" s="21" t="e">
        <f>PLANTILLA!#REF!</f>
        <v>#REF!</v>
      </c>
      <c r="T18" s="154">
        <v>0</v>
      </c>
      <c r="U18" s="154">
        <v>0</v>
      </c>
      <c r="V18" s="154">
        <v>0</v>
      </c>
      <c r="W18" s="154">
        <v>0</v>
      </c>
      <c r="X18" s="154">
        <v>0</v>
      </c>
      <c r="Y18" s="154">
        <v>0</v>
      </c>
      <c r="Z18" s="154">
        <v>0</v>
      </c>
      <c r="AA18" s="152">
        <v>20</v>
      </c>
      <c r="AB18" s="153" t="e">
        <f t="shared" si="22"/>
        <v>#REF!</v>
      </c>
      <c r="AC18" s="25" t="e">
        <f t="shared" si="21"/>
        <v>#REF!</v>
      </c>
      <c r="AD18" s="155" t="e">
        <f t="shared" si="10"/>
        <v>#REF!</v>
      </c>
      <c r="AE18" s="155" t="e">
        <f t="shared" si="11"/>
        <v>#REF!</v>
      </c>
      <c r="AF18" s="155" t="e">
        <f t="shared" si="12"/>
        <v>#REF!</v>
      </c>
      <c r="AG18" s="155" t="e">
        <f t="shared" si="13"/>
        <v>#REF!</v>
      </c>
      <c r="AH18" s="155" t="e">
        <f t="shared" si="14"/>
        <v>#REF!</v>
      </c>
      <c r="AI18" s="155" t="e">
        <f t="shared" si="15"/>
        <v>#REF!</v>
      </c>
      <c r="AJ18" s="155" t="e">
        <f t="shared" si="16"/>
        <v>#REF!</v>
      </c>
    </row>
    <row r="19" spans="1:36" ht="16.5" customHeight="1" x14ac:dyDescent="0.25">
      <c r="A19" s="15" t="str">
        <f>PLANTILLA!A17</f>
        <v>#26</v>
      </c>
      <c r="B19" s="15" t="str">
        <f>PLANTILLA!B17</f>
        <v>MED</v>
      </c>
      <c r="C19" s="120">
        <f ca="1">PLANTILLA!C17</f>
        <v>2.9196428571428572</v>
      </c>
      <c r="D19" s="28" t="str">
        <f>PLANTILLA!D17</f>
        <v>Fabien Fabre</v>
      </c>
      <c r="E19" s="16">
        <f>PLANTILLA!E17</f>
        <v>31</v>
      </c>
      <c r="F19" s="17">
        <f ca="1">PLANTILLA!F17</f>
        <v>9</v>
      </c>
      <c r="G19" s="18"/>
      <c r="H19" s="4">
        <f>PLANTILLA!H17</f>
        <v>5</v>
      </c>
      <c r="I19" s="27">
        <f>PLANTILLA!I17</f>
        <v>4.8</v>
      </c>
      <c r="J19" s="19">
        <f>PLANTILLA!O17</f>
        <v>5.6</v>
      </c>
      <c r="K19" s="6">
        <f t="shared" si="19"/>
        <v>120</v>
      </c>
      <c r="L19" s="6">
        <f t="shared" si="20"/>
        <v>172.79999999999998</v>
      </c>
      <c r="M19" s="21">
        <f>PLANTILLA!X17</f>
        <v>0</v>
      </c>
      <c r="N19" s="21">
        <f>PLANTILLA!Y17</f>
        <v>5</v>
      </c>
      <c r="O19" s="21">
        <f>PLANTILLA!Z17</f>
        <v>11</v>
      </c>
      <c r="P19" s="21">
        <f>PLANTILLA!AA17</f>
        <v>2</v>
      </c>
      <c r="Q19" s="21">
        <f>PLANTILLA!AB17</f>
        <v>4</v>
      </c>
      <c r="R19" s="21">
        <f>PLANTILLA!AC17</f>
        <v>5</v>
      </c>
      <c r="S19" s="21">
        <f>PLANTILLA!AD17</f>
        <v>12</v>
      </c>
      <c r="T19" s="154">
        <v>0</v>
      </c>
      <c r="U19" s="154">
        <v>0</v>
      </c>
      <c r="V19" s="154">
        <v>0</v>
      </c>
      <c r="W19" s="154">
        <v>0</v>
      </c>
      <c r="X19" s="154">
        <v>0</v>
      </c>
      <c r="Y19" s="154">
        <v>0</v>
      </c>
      <c r="Z19" s="154">
        <v>0</v>
      </c>
      <c r="AA19" s="152">
        <v>20</v>
      </c>
      <c r="AB19" s="153">
        <f t="shared" ca="1" si="22"/>
        <v>-5</v>
      </c>
      <c r="AC19" s="25">
        <f t="shared" si="21"/>
        <v>4.8</v>
      </c>
      <c r="AD19" s="155">
        <f t="shared" si="10"/>
        <v>0</v>
      </c>
      <c r="AE19" s="155">
        <f t="shared" si="11"/>
        <v>5</v>
      </c>
      <c r="AF19" s="155">
        <f t="shared" si="12"/>
        <v>11</v>
      </c>
      <c r="AG19" s="155">
        <f t="shared" si="13"/>
        <v>2</v>
      </c>
      <c r="AH19" s="155">
        <f t="shared" si="14"/>
        <v>4</v>
      </c>
      <c r="AI19" s="155">
        <f t="shared" si="15"/>
        <v>5</v>
      </c>
      <c r="AJ19" s="155">
        <f t="shared" si="16"/>
        <v>12</v>
      </c>
    </row>
    <row r="20" spans="1:36" ht="16.5" customHeight="1" x14ac:dyDescent="0.25">
      <c r="A20" s="15" t="str">
        <f>PLANTILLA!A14</f>
        <v>#8</v>
      </c>
      <c r="B20" s="15" t="str">
        <f>PLANTILLA!B14</f>
        <v>EXT-LAT</v>
      </c>
      <c r="C20" s="120">
        <f ca="1">PLANTILLA!C14</f>
        <v>11.6875</v>
      </c>
      <c r="D20" s="28" t="str">
        <f>PLANTILLA!D14</f>
        <v>Enrique Cubas</v>
      </c>
      <c r="E20" s="16">
        <f>PLANTILLA!E14</f>
        <v>22</v>
      </c>
      <c r="F20" s="17">
        <f ca="1">PLANTILLA!F14</f>
        <v>35</v>
      </c>
      <c r="G20" s="18"/>
      <c r="H20" s="4">
        <f>PLANTILLA!H14</f>
        <v>1</v>
      </c>
      <c r="I20" s="27">
        <f>PLANTILLA!I14</f>
        <v>4.5999999999999996</v>
      </c>
      <c r="J20" s="19">
        <f>PLANTILLA!O14</f>
        <v>6</v>
      </c>
      <c r="K20" s="6">
        <f t="shared" si="19"/>
        <v>4.5999999999999996</v>
      </c>
      <c r="L20" s="6">
        <f t="shared" si="20"/>
        <v>18.399999999999999</v>
      </c>
      <c r="M20" s="21">
        <f>PLANTILLA!X14</f>
        <v>0</v>
      </c>
      <c r="N20" s="21">
        <f>PLANTILLA!Y14</f>
        <v>8.6</v>
      </c>
      <c r="O20" s="21">
        <f>PLANTILLA!Z14</f>
        <v>5.7</v>
      </c>
      <c r="P20" s="21">
        <f>PLANTILLA!AA14</f>
        <v>14.124999999999996</v>
      </c>
      <c r="Q20" s="21">
        <f>PLANTILLA!AB14</f>
        <v>6</v>
      </c>
      <c r="R20" s="21">
        <f>PLANTILLA!AC14</f>
        <v>7.5</v>
      </c>
      <c r="S20" s="21">
        <f>PLANTILLA!AD14</f>
        <v>5</v>
      </c>
      <c r="T20" s="154">
        <v>0</v>
      </c>
      <c r="U20" s="154">
        <v>0</v>
      </c>
      <c r="V20" s="154">
        <v>0</v>
      </c>
      <c r="W20" s="154">
        <v>1</v>
      </c>
      <c r="X20" s="154">
        <v>0</v>
      </c>
      <c r="Y20" s="154">
        <v>0</v>
      </c>
      <c r="Z20" s="154">
        <v>0</v>
      </c>
      <c r="AA20" s="152">
        <v>20</v>
      </c>
      <c r="AB20" s="153">
        <f t="shared" ca="1" si="22"/>
        <v>21</v>
      </c>
      <c r="AC20" s="25">
        <f t="shared" si="21"/>
        <v>4.5999999999999996</v>
      </c>
      <c r="AD20" s="155">
        <f t="shared" si="10"/>
        <v>0</v>
      </c>
      <c r="AE20" s="155">
        <f t="shared" si="11"/>
        <v>8.6</v>
      </c>
      <c r="AF20" s="155">
        <f t="shared" si="12"/>
        <v>5.7</v>
      </c>
      <c r="AG20" s="155">
        <f>13+4/7</f>
        <v>13.571428571428571</v>
      </c>
      <c r="AH20" s="155">
        <f t="shared" si="14"/>
        <v>6</v>
      </c>
      <c r="AI20" s="155">
        <f t="shared" si="15"/>
        <v>7.5</v>
      </c>
      <c r="AJ20" s="155">
        <f t="shared" si="16"/>
        <v>5</v>
      </c>
    </row>
    <row r="21" spans="1:36" ht="16.5" customHeight="1" x14ac:dyDescent="0.25">
      <c r="A21" s="15" t="str">
        <f>PLANTILLA!A15</f>
        <v>#11</v>
      </c>
      <c r="B21" s="15" t="str">
        <f>PLANTILLA!B15</f>
        <v>EXT-LAT</v>
      </c>
      <c r="C21" s="120">
        <f ca="1">PLANTILLA!C15</f>
        <v>11.6875</v>
      </c>
      <c r="D21" s="28" t="str">
        <f>PLANTILLA!D15</f>
        <v>J. G. Peñuela</v>
      </c>
      <c r="E21" s="16">
        <f>PLANTILLA!E15</f>
        <v>22</v>
      </c>
      <c r="F21" s="17">
        <f ca="1">PLANTILLA!F15</f>
        <v>35</v>
      </c>
      <c r="G21" s="18"/>
      <c r="H21" s="4">
        <f>PLANTILLA!H15</f>
        <v>6</v>
      </c>
      <c r="I21" s="27">
        <f>PLANTILLA!I15</f>
        <v>4</v>
      </c>
      <c r="J21" s="19">
        <f>PLANTILLA!O15</f>
        <v>5.9</v>
      </c>
      <c r="K21" s="6">
        <f t="shared" si="19"/>
        <v>144</v>
      </c>
      <c r="L21" s="6">
        <f t="shared" si="20"/>
        <v>196</v>
      </c>
      <c r="M21" s="21">
        <f>PLANTILLA!X15</f>
        <v>0</v>
      </c>
      <c r="N21" s="21">
        <f>PLANTILLA!Y15</f>
        <v>9.1428571428571423</v>
      </c>
      <c r="O21" s="21">
        <f>PLANTILLA!Z15</f>
        <v>5</v>
      </c>
      <c r="P21" s="21">
        <f>PLANTILLA!AA15</f>
        <v>13.19</v>
      </c>
      <c r="Q21" s="21">
        <f>PLANTILLA!AB15</f>
        <v>5</v>
      </c>
      <c r="R21" s="21">
        <f>PLANTILLA!AC15</f>
        <v>7.8016666666666676</v>
      </c>
      <c r="S21" s="21">
        <f>PLANTILLA!AD15</f>
        <v>3</v>
      </c>
      <c r="T21" s="154">
        <v>0</v>
      </c>
      <c r="U21" s="154">
        <v>0</v>
      </c>
      <c r="V21" s="154">
        <v>0</v>
      </c>
      <c r="W21" s="154">
        <v>1</v>
      </c>
      <c r="X21" s="154">
        <v>0</v>
      </c>
      <c r="Y21" s="154">
        <v>0</v>
      </c>
      <c r="Z21" s="154">
        <v>0</v>
      </c>
      <c r="AA21" s="152">
        <v>20</v>
      </c>
      <c r="AB21" s="153">
        <f t="shared" ca="1" si="22"/>
        <v>21</v>
      </c>
      <c r="AC21" s="25">
        <f t="shared" si="21"/>
        <v>4</v>
      </c>
      <c r="AD21" s="155">
        <f t="shared" si="10"/>
        <v>0</v>
      </c>
      <c r="AE21" s="155">
        <f t="shared" si="11"/>
        <v>9.1428571428571423</v>
      </c>
      <c r="AF21" s="155">
        <f t="shared" si="12"/>
        <v>5</v>
      </c>
      <c r="AG21" s="155">
        <f>12+5/6</f>
        <v>12.833333333333334</v>
      </c>
      <c r="AH21" s="155">
        <f t="shared" si="14"/>
        <v>5</v>
      </c>
      <c r="AI21" s="155">
        <f t="shared" si="15"/>
        <v>7.8016666666666676</v>
      </c>
      <c r="AJ21" s="155">
        <f t="shared" si="16"/>
        <v>3</v>
      </c>
    </row>
    <row r="22" spans="1:36" ht="16.5" customHeight="1" x14ac:dyDescent="0.25">
      <c r="A22" s="15" t="e">
        <f>PLANTILLA!#REF!</f>
        <v>#REF!</v>
      </c>
      <c r="B22" s="15" t="e">
        <f>PLANTILLA!#REF!</f>
        <v>#REF!</v>
      </c>
      <c r="C22" s="120" t="e">
        <f>PLANTILLA!#REF!</f>
        <v>#REF!</v>
      </c>
      <c r="D22" s="28" t="e">
        <f>PLANTILLA!#REF!</f>
        <v>#REF!</v>
      </c>
      <c r="E22" s="16" t="e">
        <f>PLANTILLA!#REF!</f>
        <v>#REF!</v>
      </c>
      <c r="F22" s="17" t="e">
        <f>PLANTILLA!#REF!</f>
        <v>#REF!</v>
      </c>
      <c r="G22" s="18"/>
      <c r="H22" s="4" t="e">
        <f>PLANTILLA!#REF!</f>
        <v>#REF!</v>
      </c>
      <c r="I22" s="27" t="e">
        <f>PLANTILLA!#REF!</f>
        <v>#REF!</v>
      </c>
      <c r="J22" s="19" t="e">
        <f>PLANTILLA!#REF!</f>
        <v>#REF!</v>
      </c>
      <c r="K22" s="6" t="e">
        <f t="shared" si="19"/>
        <v>#REF!</v>
      </c>
      <c r="L22" s="6" t="e">
        <f t="shared" si="20"/>
        <v>#REF!</v>
      </c>
      <c r="M22" s="21" t="e">
        <f>PLANTILLA!#REF!</f>
        <v>#REF!</v>
      </c>
      <c r="N22" s="21" t="e">
        <f>PLANTILLA!#REF!</f>
        <v>#REF!</v>
      </c>
      <c r="O22" s="21" t="e">
        <f>PLANTILLA!#REF!</f>
        <v>#REF!</v>
      </c>
      <c r="P22" s="21" t="e">
        <f>PLANTILLA!#REF!</f>
        <v>#REF!</v>
      </c>
      <c r="Q22" s="21" t="e">
        <f>PLANTILLA!#REF!</f>
        <v>#REF!</v>
      </c>
      <c r="R22" s="21" t="e">
        <f>PLANTILLA!#REF!</f>
        <v>#REF!</v>
      </c>
      <c r="S22" s="21" t="e">
        <f>PLANTILLA!#REF!</f>
        <v>#REF!</v>
      </c>
      <c r="T22" s="154">
        <v>0</v>
      </c>
      <c r="U22" s="154">
        <v>0</v>
      </c>
      <c r="V22" s="154">
        <v>0</v>
      </c>
      <c r="W22" s="154">
        <v>0</v>
      </c>
      <c r="X22" s="154">
        <v>0</v>
      </c>
      <c r="Y22" s="154">
        <v>0</v>
      </c>
      <c r="Z22" s="154">
        <v>0</v>
      </c>
      <c r="AA22" s="152" t="e">
        <f t="shared" si="17"/>
        <v>#REF!</v>
      </c>
      <c r="AB22" s="153" t="e">
        <f t="shared" si="18"/>
        <v>#REF!</v>
      </c>
      <c r="AC22" s="25" t="e">
        <f t="shared" si="21"/>
        <v>#REF!</v>
      </c>
      <c r="AD22" s="155" t="e">
        <f t="shared" si="10"/>
        <v>#REF!</v>
      </c>
      <c r="AE22" s="155" t="e">
        <f t="shared" si="11"/>
        <v>#REF!</v>
      </c>
      <c r="AF22" s="155" t="e">
        <f t="shared" si="12"/>
        <v>#REF!</v>
      </c>
      <c r="AG22" s="155" t="e">
        <f t="shared" si="13"/>
        <v>#REF!</v>
      </c>
      <c r="AH22" s="155" t="e">
        <f t="shared" si="14"/>
        <v>#REF!</v>
      </c>
      <c r="AI22" s="155" t="e">
        <f t="shared" si="15"/>
        <v>#REF!</v>
      </c>
      <c r="AJ22" s="155" t="e">
        <f t="shared" si="16"/>
        <v>#REF!</v>
      </c>
    </row>
    <row r="23" spans="1:36" ht="16.5" customHeight="1" x14ac:dyDescent="0.25">
      <c r="A23" s="15" t="e">
        <f>PLANTILLA!#REF!</f>
        <v>#REF!</v>
      </c>
      <c r="B23" s="15" t="e">
        <f>PLANTILLA!#REF!</f>
        <v>#REF!</v>
      </c>
      <c r="C23" s="120" t="e">
        <f>PLANTILLA!#REF!</f>
        <v>#REF!</v>
      </c>
      <c r="D23" s="28" t="e">
        <f>PLANTILLA!#REF!</f>
        <v>#REF!</v>
      </c>
      <c r="E23" s="16" t="e">
        <f>PLANTILLA!#REF!</f>
        <v>#REF!</v>
      </c>
      <c r="F23" s="17" t="e">
        <f>PLANTILLA!#REF!</f>
        <v>#REF!</v>
      </c>
      <c r="G23" s="18"/>
      <c r="H23" s="4" t="e">
        <f>PLANTILLA!#REF!</f>
        <v>#REF!</v>
      </c>
      <c r="I23" s="27" t="e">
        <f>PLANTILLA!#REF!</f>
        <v>#REF!</v>
      </c>
      <c r="J23" s="19" t="e">
        <f>PLANTILLA!#REF!</f>
        <v>#REF!</v>
      </c>
      <c r="K23" s="6" t="e">
        <f t="shared" si="19"/>
        <v>#REF!</v>
      </c>
      <c r="L23" s="6" t="e">
        <f t="shared" si="20"/>
        <v>#REF!</v>
      </c>
      <c r="M23" s="21" t="e">
        <f>PLANTILLA!#REF!</f>
        <v>#REF!</v>
      </c>
      <c r="N23" s="21" t="e">
        <f>PLANTILLA!#REF!</f>
        <v>#REF!</v>
      </c>
      <c r="O23" s="21" t="e">
        <f>PLANTILLA!#REF!</f>
        <v>#REF!</v>
      </c>
      <c r="P23" s="21" t="e">
        <f>PLANTILLA!#REF!</f>
        <v>#REF!</v>
      </c>
      <c r="Q23" s="21" t="e">
        <f>PLANTILLA!#REF!</f>
        <v>#REF!</v>
      </c>
      <c r="R23" s="21" t="e">
        <f>PLANTILLA!#REF!</f>
        <v>#REF!</v>
      </c>
      <c r="S23" s="21" t="e">
        <f>PLANTILLA!#REF!</f>
        <v>#REF!</v>
      </c>
      <c r="T23" s="154">
        <v>0</v>
      </c>
      <c r="U23" s="154">
        <v>0</v>
      </c>
      <c r="V23" s="154">
        <v>0</v>
      </c>
      <c r="W23" s="154">
        <v>0</v>
      </c>
      <c r="X23" s="154">
        <v>0</v>
      </c>
      <c r="Y23" s="154">
        <v>0</v>
      </c>
      <c r="Z23" s="154">
        <v>0</v>
      </c>
      <c r="AA23" s="152" t="e">
        <f t="shared" si="17"/>
        <v>#REF!</v>
      </c>
      <c r="AB23" s="153" t="e">
        <f t="shared" si="18"/>
        <v>#REF!</v>
      </c>
      <c r="AC23" s="25" t="e">
        <f t="shared" si="21"/>
        <v>#REF!</v>
      </c>
      <c r="AD23" s="155" t="e">
        <f t="shared" si="10"/>
        <v>#REF!</v>
      </c>
      <c r="AE23" s="155" t="e">
        <f t="shared" si="11"/>
        <v>#REF!</v>
      </c>
      <c r="AF23" s="155" t="e">
        <f t="shared" si="12"/>
        <v>#REF!</v>
      </c>
      <c r="AG23" s="155" t="e">
        <f t="shared" si="13"/>
        <v>#REF!</v>
      </c>
      <c r="AH23" s="155" t="e">
        <f t="shared" si="14"/>
        <v>#REF!</v>
      </c>
      <c r="AI23" s="155" t="e">
        <f t="shared" si="15"/>
        <v>#REF!</v>
      </c>
      <c r="AJ23" s="155" t="e">
        <f t="shared" si="16"/>
        <v>#REF!</v>
      </c>
    </row>
    <row r="24" spans="1:36" x14ac:dyDescent="0.25">
      <c r="C24" s="136"/>
      <c r="D24" s="110"/>
      <c r="G24" s="65"/>
      <c r="H24" s="52"/>
      <c r="J24" s="65"/>
      <c r="K24" s="65"/>
      <c r="M24" s="137"/>
      <c r="T24" s="65"/>
      <c r="U24" s="65"/>
      <c r="V24" s="65"/>
      <c r="W24" s="65"/>
      <c r="X24" s="65"/>
      <c r="Y24" s="65"/>
      <c r="Z24" s="65"/>
      <c r="AA24" s="65"/>
      <c r="AB24" s="65"/>
      <c r="AC24" s="65"/>
      <c r="AD24" s="46"/>
      <c r="AE24" s="46"/>
      <c r="AF24" s="46"/>
      <c r="AG24" s="46"/>
      <c r="AH24" s="46"/>
      <c r="AI24" s="46"/>
      <c r="AJ24" s="46"/>
    </row>
    <row r="25" spans="1:36" x14ac:dyDescent="0.25">
      <c r="C25" s="136"/>
      <c r="D25" s="110"/>
      <c r="G25" s="65"/>
      <c r="H25" s="52"/>
      <c r="J25" s="65"/>
      <c r="K25" s="65"/>
      <c r="M25" s="137"/>
      <c r="T25" s="65"/>
      <c r="U25" s="65"/>
      <c r="V25" s="65"/>
      <c r="W25" s="65"/>
      <c r="X25" s="65"/>
      <c r="Y25" s="65"/>
      <c r="Z25" s="65"/>
      <c r="AA25" s="65"/>
      <c r="AB25" s="65"/>
      <c r="AC25" s="65"/>
      <c r="AD25" s="46"/>
      <c r="AE25" s="46"/>
      <c r="AF25" s="46"/>
      <c r="AG25" s="46"/>
      <c r="AH25" s="46"/>
      <c r="AI25" s="46"/>
      <c r="AJ25" s="46"/>
    </row>
    <row r="26" spans="1:36" x14ac:dyDescent="0.25">
      <c r="C26" s="136"/>
      <c r="D26" s="110"/>
      <c r="G26" s="65"/>
      <c r="H26" s="52"/>
      <c r="J26" s="65"/>
      <c r="K26" s="65"/>
      <c r="M26" s="137"/>
      <c r="T26" s="65"/>
      <c r="U26" s="65"/>
      <c r="V26" s="65"/>
      <c r="W26" s="65"/>
      <c r="X26" s="65"/>
      <c r="Y26" s="65"/>
      <c r="Z26" s="65"/>
      <c r="AA26" s="65"/>
      <c r="AB26" s="65"/>
      <c r="AC26" s="65"/>
      <c r="AD26" s="46"/>
      <c r="AE26" s="46"/>
      <c r="AF26" s="46"/>
      <c r="AG26" s="46"/>
      <c r="AH26" s="46"/>
      <c r="AI26" s="46"/>
      <c r="AJ26" s="46"/>
    </row>
    <row r="27" spans="1:36" x14ac:dyDescent="0.25">
      <c r="C27" s="136"/>
      <c r="D27" s="110"/>
      <c r="G27" s="65"/>
      <c r="H27" s="52"/>
      <c r="J27" s="65"/>
      <c r="K27" s="65"/>
      <c r="M27" s="137"/>
      <c r="T27" s="65"/>
      <c r="U27" s="65"/>
      <c r="V27" s="65"/>
      <c r="W27" s="65"/>
      <c r="X27" s="65"/>
      <c r="Y27" s="65"/>
      <c r="Z27" s="65"/>
      <c r="AA27" s="65"/>
      <c r="AB27" s="65"/>
      <c r="AC27" s="65"/>
      <c r="AD27" s="46"/>
      <c r="AE27" s="46"/>
      <c r="AF27" s="46"/>
      <c r="AG27" s="46"/>
      <c r="AH27" s="46"/>
      <c r="AI27" s="46"/>
      <c r="AJ27" s="46"/>
    </row>
    <row r="28" spans="1:36" x14ac:dyDescent="0.25">
      <c r="C28" s="136"/>
      <c r="D28" s="110"/>
      <c r="G28" s="65"/>
      <c r="H28" s="52"/>
      <c r="J28" s="65"/>
      <c r="K28" s="65"/>
      <c r="M28" s="137"/>
      <c r="T28" s="65"/>
      <c r="U28" s="65"/>
      <c r="V28" s="65"/>
      <c r="W28" s="65"/>
      <c r="X28" s="65"/>
      <c r="Y28" s="65"/>
      <c r="Z28" s="65"/>
      <c r="AA28" s="65"/>
      <c r="AB28" s="65"/>
      <c r="AC28" s="65"/>
      <c r="AD28" s="46"/>
      <c r="AE28" s="46"/>
      <c r="AF28" s="46"/>
      <c r="AG28" s="46"/>
      <c r="AH28" s="46"/>
      <c r="AI28" s="46"/>
      <c r="AJ28" s="46"/>
    </row>
    <row r="29" spans="1:36" x14ac:dyDescent="0.25">
      <c r="C29" s="136"/>
      <c r="D29" s="110"/>
      <c r="G29" s="65"/>
      <c r="H29" s="52"/>
      <c r="J29" s="65"/>
      <c r="K29" s="65"/>
      <c r="M29" s="137"/>
      <c r="T29" s="65"/>
      <c r="U29" s="65"/>
      <c r="V29" s="65"/>
      <c r="W29" s="65"/>
      <c r="X29" s="65"/>
      <c r="Y29" s="65"/>
      <c r="Z29" s="65"/>
      <c r="AA29" s="65"/>
      <c r="AB29" s="65"/>
      <c r="AC29" s="65"/>
      <c r="AD29" s="46"/>
      <c r="AE29" s="46"/>
      <c r="AF29" s="46"/>
      <c r="AG29" s="46"/>
      <c r="AH29" s="46"/>
      <c r="AI29" s="46"/>
      <c r="AJ29" s="46"/>
    </row>
    <row r="30" spans="1:36" x14ac:dyDescent="0.25">
      <c r="C30" s="136"/>
      <c r="D30" s="110"/>
      <c r="G30" s="65"/>
      <c r="H30" s="52"/>
      <c r="J30" s="65"/>
      <c r="K30" s="65"/>
      <c r="M30" s="137"/>
      <c r="T30" s="65"/>
      <c r="U30" s="65"/>
      <c r="V30" s="65"/>
      <c r="W30" s="65"/>
      <c r="X30" s="65"/>
      <c r="Y30" s="65"/>
      <c r="Z30" s="65"/>
      <c r="AA30" s="65"/>
      <c r="AB30" s="65"/>
      <c r="AC30" s="65"/>
      <c r="AD30" s="65"/>
      <c r="AE30" s="65"/>
      <c r="AF30" s="65"/>
      <c r="AG30" s="65"/>
      <c r="AH30" s="65"/>
      <c r="AI30" s="65"/>
      <c r="AJ30" s="65"/>
    </row>
    <row r="31" spans="1:36" x14ac:dyDescent="0.25">
      <c r="C31" s="136"/>
      <c r="D31" s="110"/>
      <c r="G31" s="65"/>
      <c r="H31" s="52"/>
      <c r="J31" s="65"/>
      <c r="K31" s="65"/>
      <c r="M31" s="137"/>
      <c r="T31" s="65"/>
      <c r="U31" s="65"/>
      <c r="V31" s="65"/>
      <c r="W31" s="65"/>
      <c r="X31" s="65"/>
      <c r="Y31" s="65"/>
      <c r="Z31" s="65"/>
      <c r="AA31" s="65"/>
      <c r="AB31" s="65"/>
      <c r="AC31" s="65"/>
      <c r="AD31" s="65"/>
      <c r="AE31" s="65"/>
      <c r="AF31" s="65"/>
      <c r="AG31" s="65"/>
      <c r="AH31" s="65"/>
      <c r="AI31" s="65"/>
      <c r="AJ31" s="65"/>
    </row>
    <row r="32" spans="1:36" x14ac:dyDescent="0.25">
      <c r="C32" s="136"/>
      <c r="D32" s="110"/>
      <c r="G32" s="65"/>
      <c r="H32" s="52"/>
      <c r="J32" s="65"/>
      <c r="K32" s="65"/>
      <c r="M32" s="137"/>
      <c r="T32" s="65"/>
      <c r="U32" s="65"/>
      <c r="V32" s="65"/>
      <c r="W32" s="65"/>
      <c r="X32" s="65"/>
      <c r="Y32" s="65"/>
      <c r="Z32" s="65"/>
      <c r="AA32" s="65"/>
      <c r="AB32" s="65"/>
      <c r="AC32" s="65"/>
      <c r="AD32" s="65"/>
      <c r="AE32" s="65"/>
      <c r="AF32" s="65"/>
      <c r="AG32" s="65"/>
      <c r="AH32" s="65"/>
      <c r="AI32" s="65"/>
      <c r="AJ32" s="65"/>
    </row>
    <row r="33" spans="3:36" x14ac:dyDescent="0.25">
      <c r="C33" s="136"/>
      <c r="D33" s="110"/>
      <c r="G33" s="65"/>
      <c r="H33" s="52"/>
      <c r="J33" s="65"/>
      <c r="K33" s="65"/>
      <c r="M33" s="137"/>
      <c r="T33" s="65"/>
      <c r="U33" s="65"/>
      <c r="V33" s="65"/>
      <c r="W33" s="65"/>
      <c r="X33" s="65"/>
      <c r="Y33" s="65"/>
      <c r="Z33" s="65"/>
      <c r="AA33" s="65"/>
      <c r="AB33" s="65"/>
      <c r="AC33" s="65"/>
      <c r="AD33" s="65"/>
      <c r="AE33" s="65"/>
      <c r="AF33" s="65"/>
      <c r="AG33" s="65"/>
      <c r="AH33" s="65"/>
      <c r="AI33" s="65"/>
      <c r="AJ33" s="65"/>
    </row>
    <row r="34" spans="3:36" x14ac:dyDescent="0.25">
      <c r="C34" s="136"/>
      <c r="D34" s="110"/>
      <c r="G34" s="65"/>
      <c r="H34" s="52"/>
      <c r="J34" s="65"/>
      <c r="K34" s="65"/>
      <c r="M34" s="137"/>
      <c r="T34" s="65"/>
      <c r="U34" s="65"/>
      <c r="V34" s="65"/>
      <c r="W34" s="65"/>
      <c r="X34" s="65"/>
      <c r="Y34" s="65"/>
      <c r="Z34" s="65"/>
      <c r="AA34" s="65"/>
      <c r="AB34" s="65"/>
      <c r="AC34" s="65"/>
      <c r="AD34" s="65"/>
      <c r="AE34" s="65"/>
      <c r="AF34" s="65"/>
      <c r="AG34" s="65"/>
      <c r="AH34" s="65"/>
      <c r="AI34" s="65"/>
      <c r="AJ34" s="65"/>
    </row>
    <row r="35" spans="3:36" x14ac:dyDescent="0.25">
      <c r="C35" s="136"/>
      <c r="D35" s="110"/>
      <c r="G35" s="65"/>
      <c r="H35" s="52"/>
      <c r="J35" s="65"/>
      <c r="K35" s="65"/>
      <c r="M35" s="137"/>
      <c r="T35" s="65"/>
      <c r="U35" s="65"/>
      <c r="V35" s="65"/>
      <c r="W35" s="65"/>
      <c r="X35" s="65"/>
      <c r="Y35" s="65"/>
      <c r="Z35" s="65"/>
      <c r="AA35" s="65"/>
      <c r="AB35" s="65"/>
      <c r="AC35" s="65"/>
      <c r="AD35" s="65"/>
      <c r="AE35" s="65"/>
      <c r="AF35" s="65"/>
      <c r="AG35" s="65"/>
      <c r="AH35" s="65"/>
      <c r="AI35" s="65"/>
      <c r="AJ35" s="65"/>
    </row>
    <row r="36" spans="3:36" x14ac:dyDescent="0.25">
      <c r="C36" s="136"/>
      <c r="D36" s="110"/>
      <c r="G36" s="65"/>
      <c r="H36" s="52"/>
      <c r="J36" s="65"/>
      <c r="K36" s="65"/>
      <c r="M36" s="137"/>
      <c r="T36" s="65"/>
      <c r="U36" s="65"/>
      <c r="V36" s="65"/>
      <c r="W36" s="65"/>
      <c r="X36" s="65"/>
      <c r="Y36" s="65"/>
      <c r="Z36" s="65"/>
      <c r="AA36" s="65"/>
      <c r="AB36" s="65"/>
      <c r="AC36" s="65"/>
      <c r="AD36" s="65"/>
      <c r="AE36" s="65"/>
      <c r="AF36" s="65"/>
      <c r="AG36" s="65"/>
      <c r="AH36" s="65"/>
      <c r="AI36" s="65"/>
      <c r="AJ36" s="65"/>
    </row>
    <row r="37" spans="3:36" x14ac:dyDescent="0.25">
      <c r="C37" s="136"/>
      <c r="D37" s="110"/>
      <c r="G37" s="65"/>
      <c r="H37" s="52"/>
      <c r="J37" s="65"/>
      <c r="K37" s="65"/>
      <c r="M37" s="137"/>
      <c r="T37" s="65"/>
      <c r="U37" s="65"/>
      <c r="V37" s="65"/>
      <c r="W37" s="65"/>
      <c r="X37" s="65"/>
      <c r="Y37" s="65"/>
      <c r="Z37" s="65"/>
      <c r="AA37" s="65"/>
      <c r="AB37" s="65"/>
      <c r="AC37" s="65"/>
      <c r="AD37" s="65"/>
      <c r="AE37" s="65"/>
      <c r="AF37" s="65"/>
      <c r="AG37" s="65"/>
      <c r="AH37" s="65"/>
      <c r="AI37" s="65"/>
      <c r="AJ37" s="65"/>
    </row>
    <row r="38" spans="3:36" x14ac:dyDescent="0.25">
      <c r="C38" s="136"/>
      <c r="D38" s="110"/>
      <c r="G38" s="65"/>
      <c r="H38" s="52"/>
      <c r="J38" s="65"/>
      <c r="K38" s="65"/>
      <c r="M38" s="137"/>
      <c r="T38" s="65"/>
      <c r="U38" s="65"/>
      <c r="V38" s="65"/>
      <c r="W38" s="65"/>
      <c r="X38" s="65"/>
      <c r="Y38" s="65"/>
      <c r="Z38" s="65"/>
      <c r="AA38" s="65"/>
      <c r="AB38" s="65"/>
      <c r="AC38" s="65"/>
      <c r="AD38" s="65"/>
      <c r="AE38" s="65"/>
      <c r="AF38" s="65"/>
      <c r="AG38" s="65"/>
      <c r="AH38" s="65"/>
      <c r="AI38" s="65"/>
      <c r="AJ38" s="65"/>
    </row>
    <row r="39" spans="3:36" x14ac:dyDescent="0.25">
      <c r="C39" s="136"/>
      <c r="D39" s="110"/>
      <c r="G39" s="65"/>
      <c r="H39" s="52"/>
      <c r="J39" s="65"/>
      <c r="K39" s="65"/>
      <c r="M39" s="137"/>
      <c r="T39" s="65"/>
      <c r="U39" s="65"/>
      <c r="V39" s="65"/>
      <c r="W39" s="65"/>
      <c r="X39" s="65"/>
      <c r="Y39" s="65"/>
      <c r="Z39" s="65"/>
      <c r="AA39" s="65"/>
      <c r="AB39" s="65"/>
      <c r="AC39" s="65"/>
      <c r="AD39" s="65"/>
      <c r="AE39" s="65"/>
      <c r="AF39" s="65"/>
      <c r="AG39" s="65"/>
      <c r="AH39" s="65"/>
      <c r="AI39" s="65"/>
      <c r="AJ39" s="65"/>
    </row>
    <row r="40" spans="3:36" x14ac:dyDescent="0.25">
      <c r="C40" s="136"/>
      <c r="D40" s="110"/>
      <c r="G40" s="65"/>
      <c r="H40" s="52"/>
      <c r="J40" s="65"/>
      <c r="K40" s="65"/>
      <c r="M40" s="137"/>
      <c r="T40" s="65"/>
      <c r="U40" s="65"/>
      <c r="V40" s="65"/>
      <c r="W40" s="65"/>
      <c r="X40" s="65"/>
      <c r="Y40" s="65"/>
      <c r="Z40" s="65"/>
      <c r="AA40" s="65"/>
      <c r="AB40" s="65"/>
      <c r="AC40" s="65"/>
      <c r="AD40" s="65"/>
      <c r="AE40" s="65"/>
      <c r="AF40" s="65"/>
      <c r="AG40" s="65"/>
      <c r="AH40" s="65"/>
      <c r="AI40" s="65"/>
      <c r="AJ40" s="65"/>
    </row>
    <row r="41" spans="3:36" x14ac:dyDescent="0.25">
      <c r="C41" s="136"/>
      <c r="D41" s="110"/>
      <c r="G41" s="65"/>
      <c r="H41" s="52"/>
      <c r="J41" s="65"/>
      <c r="K41" s="65"/>
      <c r="M41" s="137"/>
      <c r="T41" s="65"/>
      <c r="U41" s="65"/>
      <c r="V41" s="65"/>
      <c r="W41" s="65"/>
      <c r="X41" s="65"/>
      <c r="Y41" s="65"/>
      <c r="Z41" s="65"/>
      <c r="AA41" s="65"/>
      <c r="AB41" s="65"/>
      <c r="AC41" s="65"/>
      <c r="AD41" s="65"/>
      <c r="AE41" s="65"/>
      <c r="AF41" s="65"/>
      <c r="AG41" s="65"/>
      <c r="AH41" s="65"/>
      <c r="AI41" s="65"/>
      <c r="AJ41" s="65"/>
    </row>
    <row r="42" spans="3:36" x14ac:dyDescent="0.25">
      <c r="C42" s="136"/>
      <c r="D42" s="110"/>
      <c r="G42" s="65"/>
      <c r="H42" s="52"/>
      <c r="J42" s="65"/>
      <c r="K42" s="65"/>
      <c r="M42" s="137"/>
      <c r="T42" s="65"/>
      <c r="U42" s="65"/>
      <c r="V42" s="65"/>
      <c r="W42" s="65"/>
      <c r="X42" s="65"/>
      <c r="Y42" s="65"/>
      <c r="Z42" s="65"/>
      <c r="AA42" s="65"/>
      <c r="AB42" s="65"/>
      <c r="AC42" s="65"/>
      <c r="AD42" s="65"/>
      <c r="AE42" s="65"/>
      <c r="AF42" s="65"/>
      <c r="AG42" s="65"/>
      <c r="AH42" s="65"/>
      <c r="AI42" s="65"/>
      <c r="AJ42" s="65"/>
    </row>
    <row r="43" spans="3:36" x14ac:dyDescent="0.25">
      <c r="C43" s="136"/>
      <c r="D43" s="110"/>
      <c r="G43" s="65"/>
      <c r="H43" s="52"/>
      <c r="J43" s="65"/>
      <c r="K43" s="65"/>
      <c r="M43" s="137"/>
      <c r="T43" s="65"/>
      <c r="U43" s="65"/>
      <c r="V43" s="65"/>
      <c r="W43" s="65"/>
      <c r="X43" s="65"/>
      <c r="Y43" s="65"/>
      <c r="Z43" s="65"/>
      <c r="AA43" s="65"/>
      <c r="AB43" s="65"/>
      <c r="AC43" s="65"/>
      <c r="AD43" s="65"/>
      <c r="AE43" s="65"/>
      <c r="AF43" s="65"/>
      <c r="AG43" s="65"/>
      <c r="AH43" s="65"/>
      <c r="AI43" s="65"/>
      <c r="AJ43" s="65"/>
    </row>
    <row r="44" spans="3:36" x14ac:dyDescent="0.25">
      <c r="C44" s="136"/>
      <c r="D44" s="110"/>
      <c r="G44" s="65"/>
      <c r="H44" s="52"/>
      <c r="J44" s="65"/>
      <c r="K44" s="65"/>
      <c r="M44" s="137"/>
      <c r="T44" s="65"/>
      <c r="U44" s="65"/>
      <c r="V44" s="65"/>
      <c r="W44" s="65"/>
      <c r="X44" s="65"/>
      <c r="Y44" s="65"/>
      <c r="Z44" s="65"/>
      <c r="AA44" s="65"/>
      <c r="AB44" s="65"/>
      <c r="AC44" s="65"/>
      <c r="AD44" s="65"/>
      <c r="AE44" s="65"/>
      <c r="AF44" s="65"/>
      <c r="AG44" s="65"/>
      <c r="AH44" s="65"/>
      <c r="AI44" s="65"/>
      <c r="AJ44" s="65"/>
    </row>
    <row r="45" spans="3:36" x14ac:dyDescent="0.25">
      <c r="C45" s="136"/>
      <c r="D45" s="110"/>
      <c r="G45" s="65"/>
      <c r="H45" s="52"/>
      <c r="J45" s="65"/>
      <c r="K45" s="65"/>
      <c r="M45" s="137"/>
      <c r="T45" s="65"/>
      <c r="U45" s="65"/>
      <c r="V45" s="65"/>
      <c r="W45" s="65"/>
      <c r="X45" s="65"/>
      <c r="Y45" s="65"/>
      <c r="Z45" s="65"/>
      <c r="AA45" s="65"/>
      <c r="AB45" s="65"/>
      <c r="AC45" s="65"/>
      <c r="AD45" s="65"/>
      <c r="AE45" s="65"/>
      <c r="AF45" s="65"/>
      <c r="AG45" s="65"/>
      <c r="AH45" s="65"/>
      <c r="AI45" s="65"/>
      <c r="AJ45" s="65"/>
    </row>
    <row r="46" spans="3:36" x14ac:dyDescent="0.25">
      <c r="C46" s="136"/>
      <c r="D46" s="110"/>
      <c r="G46" s="65"/>
      <c r="H46" s="52"/>
      <c r="J46" s="65"/>
      <c r="K46" s="65"/>
      <c r="M46" s="137"/>
      <c r="T46" s="65"/>
      <c r="U46" s="65"/>
      <c r="V46" s="65"/>
      <c r="W46" s="65"/>
      <c r="X46" s="65"/>
      <c r="Y46" s="65"/>
      <c r="Z46" s="65"/>
      <c r="AA46" s="65"/>
      <c r="AB46" s="65"/>
      <c r="AC46" s="65"/>
      <c r="AD46" s="65"/>
      <c r="AE46" s="65"/>
      <c r="AF46" s="65"/>
      <c r="AG46" s="65"/>
      <c r="AH46" s="65"/>
      <c r="AI46" s="65"/>
      <c r="AJ46" s="65"/>
    </row>
    <row r="47" spans="3:36" x14ac:dyDescent="0.25">
      <c r="C47" s="136"/>
      <c r="D47" s="110"/>
      <c r="G47" s="65"/>
      <c r="H47" s="52"/>
      <c r="J47" s="65"/>
      <c r="K47" s="65"/>
      <c r="M47" s="137"/>
      <c r="T47" s="65"/>
      <c r="U47" s="65"/>
      <c r="V47" s="65"/>
      <c r="W47" s="65"/>
      <c r="X47" s="65"/>
      <c r="Y47" s="65"/>
      <c r="Z47" s="65"/>
      <c r="AA47" s="65"/>
      <c r="AB47" s="65"/>
      <c r="AC47" s="65"/>
      <c r="AD47" s="65"/>
      <c r="AE47" s="65"/>
      <c r="AF47" s="65"/>
      <c r="AG47" s="65"/>
      <c r="AH47" s="65"/>
      <c r="AI47" s="65"/>
      <c r="AJ47" s="65"/>
    </row>
    <row r="48" spans="3:36" x14ac:dyDescent="0.25">
      <c r="C48" s="136"/>
      <c r="D48" s="110"/>
      <c r="G48" s="65"/>
      <c r="H48" s="52"/>
      <c r="J48" s="65"/>
      <c r="K48" s="65"/>
      <c r="M48" s="137"/>
      <c r="T48" s="65"/>
      <c r="U48" s="65"/>
      <c r="V48" s="65"/>
      <c r="W48" s="65"/>
      <c r="X48" s="65"/>
      <c r="Y48" s="65"/>
      <c r="Z48" s="65"/>
      <c r="AA48" s="65"/>
      <c r="AB48" s="65"/>
      <c r="AC48" s="65"/>
      <c r="AD48" s="65"/>
      <c r="AE48" s="65"/>
      <c r="AF48" s="65"/>
      <c r="AG48" s="65"/>
      <c r="AH48" s="65"/>
      <c r="AI48" s="65"/>
      <c r="AJ48" s="65"/>
    </row>
    <row r="49" spans="3:36" x14ac:dyDescent="0.25">
      <c r="C49" s="136"/>
      <c r="D49" s="110"/>
      <c r="G49" s="65"/>
      <c r="H49" s="52"/>
      <c r="J49" s="65"/>
      <c r="K49" s="65"/>
      <c r="M49" s="137"/>
      <c r="T49" s="65"/>
      <c r="U49" s="65"/>
      <c r="V49" s="65"/>
      <c r="W49" s="65"/>
      <c r="X49" s="65"/>
      <c r="Y49" s="65"/>
      <c r="Z49" s="65"/>
      <c r="AA49" s="65"/>
      <c r="AB49" s="65"/>
      <c r="AC49" s="65"/>
      <c r="AD49" s="65"/>
      <c r="AE49" s="65"/>
      <c r="AF49" s="65"/>
      <c r="AG49" s="65"/>
      <c r="AH49" s="65"/>
      <c r="AI49" s="65"/>
      <c r="AJ49" s="65"/>
    </row>
    <row r="50" spans="3:36" x14ac:dyDescent="0.25">
      <c r="C50" s="136"/>
      <c r="D50" s="110"/>
      <c r="G50" s="65"/>
      <c r="H50" s="52"/>
      <c r="J50" s="65"/>
      <c r="K50" s="65"/>
      <c r="M50" s="137"/>
      <c r="T50" s="65"/>
      <c r="U50" s="65"/>
      <c r="V50" s="65"/>
      <c r="W50" s="65"/>
      <c r="X50" s="65"/>
      <c r="Y50" s="65"/>
      <c r="Z50" s="65"/>
      <c r="AA50" s="65"/>
      <c r="AB50" s="65"/>
      <c r="AC50" s="65"/>
      <c r="AD50" s="65"/>
      <c r="AE50" s="65"/>
      <c r="AF50" s="65"/>
      <c r="AG50" s="65"/>
      <c r="AH50" s="65"/>
      <c r="AI50" s="65"/>
      <c r="AJ50" s="65"/>
    </row>
    <row r="51" spans="3:36" x14ac:dyDescent="0.25">
      <c r="C51" s="136"/>
      <c r="D51" s="110"/>
      <c r="G51" s="65"/>
      <c r="H51" s="52"/>
      <c r="J51" s="65"/>
      <c r="K51" s="65"/>
      <c r="M51" s="137"/>
      <c r="T51" s="65"/>
      <c r="U51" s="65"/>
      <c r="V51" s="65"/>
      <c r="W51" s="65"/>
      <c r="X51" s="65"/>
      <c r="Y51" s="65"/>
      <c r="Z51" s="65"/>
      <c r="AA51" s="65"/>
      <c r="AB51" s="65"/>
      <c r="AC51" s="65"/>
      <c r="AD51" s="65"/>
      <c r="AE51" s="65"/>
      <c r="AF51" s="65"/>
      <c r="AG51" s="65"/>
      <c r="AH51" s="65"/>
      <c r="AI51" s="65"/>
      <c r="AJ51" s="65"/>
    </row>
    <row r="52" spans="3:36" x14ac:dyDescent="0.25">
      <c r="C52" s="136"/>
      <c r="D52" s="110"/>
      <c r="G52" s="65"/>
      <c r="H52" s="52"/>
      <c r="J52" s="65"/>
      <c r="K52" s="65"/>
      <c r="M52" s="137"/>
      <c r="T52" s="65"/>
      <c r="U52" s="65"/>
      <c r="V52" s="65"/>
      <c r="W52" s="65"/>
      <c r="X52" s="65"/>
      <c r="Y52" s="65"/>
      <c r="Z52" s="65"/>
      <c r="AA52" s="65"/>
      <c r="AB52" s="65"/>
      <c r="AC52" s="65"/>
      <c r="AD52" s="65"/>
      <c r="AE52" s="65"/>
      <c r="AF52" s="65"/>
      <c r="AG52" s="65"/>
      <c r="AH52" s="65"/>
      <c r="AI52" s="65"/>
      <c r="AJ52" s="65"/>
    </row>
    <row r="53" spans="3:36" x14ac:dyDescent="0.25">
      <c r="C53" s="136"/>
      <c r="D53" s="110"/>
      <c r="G53" s="65"/>
      <c r="H53" s="52"/>
      <c r="J53" s="65"/>
      <c r="K53" s="65"/>
      <c r="M53" s="137"/>
      <c r="T53" s="65"/>
      <c r="U53" s="65"/>
      <c r="V53" s="65"/>
      <c r="W53" s="65"/>
      <c r="X53" s="65"/>
      <c r="Y53" s="65"/>
      <c r="Z53" s="65"/>
      <c r="AA53" s="65"/>
      <c r="AB53" s="65"/>
      <c r="AC53" s="65"/>
      <c r="AD53" s="65"/>
      <c r="AE53" s="65"/>
      <c r="AF53" s="65"/>
      <c r="AG53" s="65"/>
      <c r="AH53" s="65"/>
      <c r="AI53" s="65"/>
      <c r="AJ53" s="65"/>
    </row>
    <row r="54" spans="3:36" x14ac:dyDescent="0.25">
      <c r="C54" s="136"/>
      <c r="D54" s="110"/>
      <c r="G54" s="65"/>
      <c r="H54" s="52"/>
      <c r="J54" s="65"/>
      <c r="K54" s="65"/>
      <c r="M54" s="137"/>
      <c r="T54" s="65"/>
      <c r="U54" s="65"/>
      <c r="V54" s="65"/>
      <c r="W54" s="65"/>
      <c r="X54" s="65"/>
      <c r="Y54" s="65"/>
      <c r="Z54" s="65"/>
      <c r="AA54" s="65"/>
      <c r="AB54" s="65"/>
      <c r="AC54" s="65"/>
      <c r="AD54" s="65"/>
      <c r="AE54" s="65"/>
      <c r="AF54" s="65"/>
      <c r="AG54" s="65"/>
      <c r="AH54" s="65"/>
      <c r="AI54" s="65"/>
      <c r="AJ54" s="65"/>
    </row>
    <row r="55" spans="3:36" x14ac:dyDescent="0.25">
      <c r="C55" s="136"/>
      <c r="D55" s="110"/>
      <c r="G55" s="65"/>
      <c r="H55" s="52"/>
      <c r="J55" s="65"/>
      <c r="K55" s="65"/>
      <c r="M55" s="137"/>
      <c r="T55" s="65"/>
      <c r="U55" s="65"/>
      <c r="V55" s="65"/>
      <c r="W55" s="65"/>
      <c r="X55" s="65"/>
      <c r="Y55" s="65"/>
      <c r="Z55" s="65"/>
      <c r="AA55" s="65"/>
      <c r="AB55" s="65"/>
      <c r="AC55" s="65"/>
      <c r="AD55" s="65"/>
      <c r="AE55" s="65"/>
      <c r="AF55" s="65"/>
      <c r="AG55" s="65"/>
      <c r="AH55" s="65"/>
      <c r="AI55" s="65"/>
      <c r="AJ55" s="65"/>
    </row>
    <row r="56" spans="3:36" x14ac:dyDescent="0.25">
      <c r="C56" s="136"/>
      <c r="D56" s="110"/>
      <c r="G56" s="65"/>
      <c r="H56" s="52"/>
      <c r="J56" s="65"/>
      <c r="K56" s="65"/>
      <c r="M56" s="137"/>
      <c r="T56" s="65"/>
      <c r="U56" s="65"/>
      <c r="V56" s="65"/>
      <c r="W56" s="65"/>
      <c r="X56" s="65"/>
      <c r="Y56" s="65"/>
      <c r="Z56" s="65"/>
      <c r="AA56" s="65"/>
      <c r="AB56" s="65"/>
      <c r="AC56" s="65"/>
      <c r="AD56" s="65"/>
      <c r="AE56" s="65"/>
      <c r="AF56" s="65"/>
      <c r="AG56" s="65"/>
      <c r="AH56" s="65"/>
      <c r="AI56" s="65"/>
      <c r="AJ56" s="65"/>
    </row>
    <row r="57" spans="3:36" x14ac:dyDescent="0.25">
      <c r="C57" s="136"/>
      <c r="D57" s="110"/>
      <c r="G57" s="65"/>
      <c r="H57" s="52"/>
      <c r="J57" s="65"/>
      <c r="K57" s="65"/>
      <c r="M57" s="137"/>
      <c r="T57" s="65"/>
      <c r="U57" s="65"/>
      <c r="V57" s="65"/>
      <c r="W57" s="65"/>
      <c r="X57" s="65"/>
      <c r="Y57" s="65"/>
      <c r="Z57" s="65"/>
      <c r="AA57" s="65"/>
      <c r="AB57" s="65"/>
      <c r="AC57" s="65"/>
      <c r="AD57" s="65"/>
      <c r="AE57" s="65"/>
      <c r="AF57" s="65"/>
      <c r="AG57" s="65"/>
      <c r="AH57" s="65"/>
      <c r="AI57" s="65"/>
      <c r="AJ57" s="65"/>
    </row>
    <row r="58" spans="3:36" x14ac:dyDescent="0.25">
      <c r="C58" s="136"/>
      <c r="D58" s="110"/>
      <c r="G58" s="65"/>
      <c r="H58" s="52"/>
      <c r="J58" s="65"/>
      <c r="K58" s="65"/>
      <c r="M58" s="137"/>
      <c r="T58" s="65"/>
      <c r="U58" s="65"/>
      <c r="V58" s="65"/>
      <c r="W58" s="65"/>
      <c r="X58" s="65"/>
      <c r="Y58" s="65"/>
      <c r="Z58" s="65"/>
      <c r="AA58" s="65"/>
      <c r="AB58" s="65"/>
      <c r="AC58" s="65"/>
      <c r="AD58" s="65"/>
      <c r="AE58" s="65"/>
      <c r="AF58" s="65"/>
      <c r="AG58" s="65"/>
      <c r="AH58" s="65"/>
      <c r="AI58" s="65"/>
      <c r="AJ58" s="65"/>
    </row>
    <row r="59" spans="3:36" x14ac:dyDescent="0.25">
      <c r="C59" s="136"/>
      <c r="D59" s="110"/>
      <c r="G59" s="65"/>
      <c r="H59" s="52"/>
      <c r="J59" s="65"/>
      <c r="K59" s="65"/>
      <c r="M59" s="137"/>
      <c r="T59" s="65"/>
      <c r="U59" s="65"/>
      <c r="V59" s="65"/>
      <c r="W59" s="65"/>
      <c r="X59" s="65"/>
      <c r="Y59" s="65"/>
      <c r="Z59" s="65"/>
      <c r="AA59" s="65"/>
      <c r="AB59" s="65"/>
      <c r="AC59" s="65"/>
      <c r="AD59" s="65"/>
      <c r="AE59" s="65"/>
      <c r="AF59" s="65"/>
      <c r="AG59" s="65"/>
      <c r="AH59" s="65"/>
      <c r="AI59" s="65"/>
      <c r="AJ59" s="65"/>
    </row>
    <row r="60" spans="3:36" x14ac:dyDescent="0.25">
      <c r="C60" s="136"/>
      <c r="D60" s="110"/>
      <c r="G60" s="65"/>
      <c r="H60" s="52"/>
      <c r="J60" s="65"/>
      <c r="K60" s="65"/>
      <c r="M60" s="137"/>
      <c r="T60" s="65"/>
      <c r="U60" s="65"/>
      <c r="V60" s="65"/>
      <c r="W60" s="65"/>
      <c r="X60" s="65"/>
      <c r="Y60" s="65"/>
      <c r="Z60" s="65"/>
      <c r="AA60" s="65"/>
      <c r="AB60" s="65"/>
      <c r="AC60" s="65"/>
      <c r="AD60" s="65"/>
      <c r="AE60" s="65"/>
      <c r="AF60" s="65"/>
      <c r="AG60" s="65"/>
      <c r="AH60" s="65"/>
      <c r="AI60" s="65"/>
      <c r="AJ60" s="65"/>
    </row>
    <row r="61" spans="3:36" x14ac:dyDescent="0.25">
      <c r="C61" s="136"/>
      <c r="D61" s="110"/>
      <c r="G61" s="65"/>
      <c r="H61" s="52"/>
      <c r="J61" s="65"/>
      <c r="K61" s="65"/>
      <c r="M61" s="137"/>
      <c r="T61" s="65"/>
      <c r="U61" s="65"/>
      <c r="V61" s="65"/>
      <c r="W61" s="65"/>
      <c r="X61" s="65"/>
      <c r="Y61" s="65"/>
      <c r="Z61" s="65"/>
      <c r="AA61" s="65"/>
      <c r="AB61" s="65"/>
      <c r="AC61" s="65"/>
      <c r="AD61" s="65"/>
      <c r="AE61" s="65"/>
      <c r="AF61" s="65"/>
      <c r="AG61" s="65"/>
      <c r="AH61" s="65"/>
      <c r="AI61" s="65"/>
      <c r="AJ61" s="65"/>
    </row>
    <row r="62" spans="3:36" x14ac:dyDescent="0.25">
      <c r="C62" s="136"/>
      <c r="D62" s="110"/>
      <c r="G62" s="65"/>
      <c r="H62" s="52"/>
      <c r="J62" s="65"/>
      <c r="K62" s="65"/>
      <c r="M62" s="137"/>
      <c r="T62" s="65"/>
      <c r="U62" s="65"/>
      <c r="V62" s="65"/>
      <c r="W62" s="65"/>
      <c r="X62" s="65"/>
      <c r="Y62" s="65"/>
      <c r="Z62" s="65"/>
      <c r="AA62" s="65"/>
      <c r="AB62" s="65"/>
      <c r="AC62" s="65"/>
      <c r="AD62" s="65"/>
      <c r="AE62" s="65"/>
      <c r="AF62" s="65"/>
      <c r="AG62" s="65"/>
      <c r="AH62" s="65"/>
      <c r="AI62" s="65"/>
      <c r="AJ62" s="65"/>
    </row>
    <row r="63" spans="3:36" x14ac:dyDescent="0.25">
      <c r="C63" s="136"/>
      <c r="D63" s="110"/>
      <c r="G63" s="65"/>
      <c r="H63" s="52"/>
      <c r="J63" s="65"/>
      <c r="K63" s="65"/>
      <c r="M63" s="137"/>
      <c r="T63" s="65"/>
      <c r="U63" s="65"/>
      <c r="V63" s="65"/>
      <c r="W63" s="65"/>
      <c r="X63" s="65"/>
      <c r="Y63" s="65"/>
      <c r="Z63" s="65"/>
      <c r="AA63" s="65"/>
      <c r="AB63" s="65"/>
      <c r="AC63" s="65"/>
      <c r="AD63" s="65"/>
      <c r="AE63" s="65"/>
      <c r="AF63" s="65"/>
      <c r="AG63" s="65"/>
      <c r="AH63" s="65"/>
      <c r="AI63" s="65"/>
      <c r="AJ63" s="65"/>
    </row>
    <row r="64" spans="3:36" x14ac:dyDescent="0.25">
      <c r="C64" s="136"/>
      <c r="D64" s="110"/>
      <c r="G64" s="65"/>
      <c r="H64" s="52"/>
      <c r="J64" s="65"/>
      <c r="K64" s="65"/>
      <c r="M64" s="137"/>
      <c r="T64" s="65"/>
      <c r="U64" s="65"/>
      <c r="V64" s="65"/>
      <c r="W64" s="65"/>
      <c r="X64" s="65"/>
      <c r="Y64" s="65"/>
      <c r="Z64" s="65"/>
      <c r="AA64" s="65"/>
      <c r="AB64" s="65"/>
      <c r="AC64" s="65"/>
      <c r="AD64" s="65"/>
      <c r="AE64" s="65"/>
      <c r="AF64" s="65"/>
      <c r="AG64" s="65"/>
      <c r="AH64" s="65"/>
      <c r="AI64" s="65"/>
      <c r="AJ64" s="65"/>
    </row>
    <row r="65" spans="3:36" x14ac:dyDescent="0.25">
      <c r="C65" s="136"/>
      <c r="D65" s="110"/>
      <c r="G65" s="65"/>
      <c r="H65" s="52"/>
      <c r="J65" s="65"/>
      <c r="K65" s="65"/>
      <c r="M65" s="137"/>
      <c r="T65" s="65"/>
      <c r="U65" s="65"/>
      <c r="V65" s="65"/>
      <c r="W65" s="65"/>
      <c r="X65" s="65"/>
      <c r="Y65" s="65"/>
      <c r="Z65" s="65"/>
      <c r="AA65" s="65"/>
      <c r="AB65" s="65"/>
      <c r="AC65" s="65"/>
      <c r="AD65" s="65"/>
      <c r="AE65" s="65"/>
      <c r="AF65" s="65"/>
      <c r="AG65" s="65"/>
      <c r="AH65" s="65"/>
      <c r="AI65" s="65"/>
      <c r="AJ65" s="65"/>
    </row>
    <row r="66" spans="3:36" x14ac:dyDescent="0.25">
      <c r="C66" s="136"/>
      <c r="D66" s="110"/>
      <c r="G66" s="65"/>
      <c r="H66" s="52"/>
      <c r="J66" s="65"/>
      <c r="K66" s="65"/>
      <c r="M66" s="137"/>
      <c r="T66" s="65"/>
      <c r="U66" s="65"/>
      <c r="V66" s="65"/>
      <c r="W66" s="65"/>
      <c r="X66" s="65"/>
      <c r="Y66" s="65"/>
      <c r="Z66" s="65"/>
      <c r="AA66" s="65"/>
      <c r="AB66" s="65"/>
      <c r="AC66" s="65"/>
      <c r="AD66" s="65"/>
      <c r="AE66" s="65"/>
      <c r="AF66" s="65"/>
      <c r="AG66" s="65"/>
      <c r="AH66" s="65"/>
      <c r="AI66" s="65"/>
      <c r="AJ66" s="65"/>
    </row>
    <row r="67" spans="3:36" x14ac:dyDescent="0.25">
      <c r="C67" s="136"/>
      <c r="D67" s="110"/>
      <c r="G67" s="65"/>
      <c r="H67" s="52"/>
      <c r="J67" s="65"/>
      <c r="K67" s="65"/>
      <c r="M67" s="137"/>
      <c r="T67" s="65"/>
      <c r="U67" s="65"/>
      <c r="V67" s="65"/>
      <c r="W67" s="65"/>
      <c r="X67" s="65"/>
      <c r="Y67" s="65"/>
      <c r="Z67" s="65"/>
      <c r="AA67" s="65"/>
      <c r="AB67" s="65"/>
      <c r="AC67" s="65"/>
      <c r="AD67" s="65"/>
      <c r="AE67" s="65"/>
      <c r="AF67" s="65"/>
      <c r="AG67" s="65"/>
      <c r="AH67" s="65"/>
      <c r="AI67" s="65"/>
      <c r="AJ67" s="65"/>
    </row>
    <row r="68" spans="3:36" x14ac:dyDescent="0.25">
      <c r="C68" s="136"/>
      <c r="D68" s="110"/>
      <c r="G68" s="65"/>
      <c r="H68" s="52"/>
      <c r="J68" s="65"/>
      <c r="K68" s="65"/>
      <c r="M68" s="137"/>
      <c r="T68" s="65"/>
      <c r="U68" s="65"/>
      <c r="V68" s="65"/>
      <c r="W68" s="65"/>
      <c r="X68" s="65"/>
      <c r="Y68" s="65"/>
      <c r="Z68" s="65"/>
      <c r="AA68" s="65"/>
      <c r="AB68" s="65"/>
      <c r="AC68" s="65"/>
      <c r="AD68" s="65"/>
      <c r="AE68" s="65"/>
      <c r="AF68" s="65"/>
      <c r="AG68" s="65"/>
      <c r="AH68" s="65"/>
      <c r="AI68" s="65"/>
      <c r="AJ68" s="65"/>
    </row>
    <row r="69" spans="3:36" x14ac:dyDescent="0.25">
      <c r="C69" s="136"/>
      <c r="D69" s="110"/>
      <c r="G69" s="65"/>
      <c r="H69" s="52"/>
      <c r="J69" s="65"/>
      <c r="K69" s="65"/>
      <c r="M69" s="137"/>
      <c r="T69" s="65"/>
      <c r="U69" s="65"/>
      <c r="V69" s="65"/>
      <c r="W69" s="65"/>
      <c r="X69" s="65"/>
      <c r="Y69" s="65"/>
      <c r="Z69" s="65"/>
      <c r="AA69" s="65"/>
      <c r="AB69" s="65"/>
      <c r="AC69" s="65"/>
      <c r="AD69" s="65"/>
      <c r="AE69" s="65"/>
      <c r="AF69" s="65"/>
      <c r="AG69" s="65"/>
      <c r="AH69" s="65"/>
      <c r="AI69" s="65"/>
      <c r="AJ69" s="65"/>
    </row>
    <row r="70" spans="3:36" x14ac:dyDescent="0.25">
      <c r="C70" s="136"/>
      <c r="D70" s="110"/>
      <c r="G70" s="65"/>
      <c r="H70" s="52"/>
      <c r="J70" s="65"/>
      <c r="K70" s="65"/>
      <c r="M70" s="137"/>
      <c r="T70" s="65"/>
      <c r="U70" s="65"/>
      <c r="V70" s="65"/>
      <c r="W70" s="65"/>
      <c r="X70" s="65"/>
      <c r="Y70" s="65"/>
      <c r="Z70" s="65"/>
      <c r="AA70" s="65"/>
      <c r="AB70" s="65"/>
      <c r="AC70" s="65"/>
      <c r="AD70" s="65"/>
      <c r="AE70" s="65"/>
      <c r="AF70" s="65"/>
      <c r="AG70" s="65"/>
      <c r="AH70" s="65"/>
      <c r="AI70" s="65"/>
      <c r="AJ70" s="65"/>
    </row>
    <row r="71" spans="3:36" x14ac:dyDescent="0.25">
      <c r="C71" s="136"/>
      <c r="D71" s="110"/>
      <c r="G71" s="65"/>
      <c r="H71" s="52"/>
      <c r="J71" s="65"/>
      <c r="K71" s="65"/>
      <c r="M71" s="137"/>
      <c r="T71" s="65"/>
      <c r="U71" s="65"/>
      <c r="V71" s="65"/>
      <c r="W71" s="65"/>
      <c r="X71" s="65"/>
      <c r="Y71" s="65"/>
      <c r="Z71" s="65"/>
      <c r="AA71" s="65"/>
      <c r="AB71" s="65"/>
      <c r="AC71" s="65"/>
      <c r="AD71" s="65"/>
      <c r="AE71" s="65"/>
      <c r="AF71" s="65"/>
      <c r="AG71" s="65"/>
      <c r="AH71" s="65"/>
      <c r="AI71" s="65"/>
      <c r="AJ71" s="65"/>
    </row>
  </sheetData>
  <mergeCells count="2">
    <mergeCell ref="T1:V1"/>
    <mergeCell ref="X1:Y1"/>
  </mergeCells>
  <conditionalFormatting sqref="T4:Z23">
    <cfRule type="cellIs" dxfId="5" priority="57" operator="lessThan">
      <formula>0.2</formula>
    </cfRule>
    <cfRule type="cellIs" dxfId="4" priority="58" operator="greaterThan">
      <formula>0.9</formula>
    </cfRule>
  </conditionalFormatting>
  <conditionalFormatting sqref="I4:I23">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23">
    <cfRule type="cellIs" dxfId="0" priority="5225" operator="greaterThan">
      <formula>8</formula>
    </cfRule>
    <cfRule type="colorScale" priority="5226">
      <colorScale>
        <cfvo type="min"/>
        <cfvo type="max"/>
        <color rgb="FFFFEF9C"/>
        <color rgb="FFFF7128"/>
      </colorScale>
    </cfRule>
  </conditionalFormatting>
  <conditionalFormatting sqref="AD4:AJ23">
    <cfRule type="colorScale" priority="5227">
      <colorScale>
        <cfvo type="min"/>
        <cfvo type="max"/>
        <color rgb="FFFFEF9C"/>
        <color rgb="FF63BE7B"/>
      </colorScale>
    </cfRule>
  </conditionalFormatting>
  <conditionalFormatting sqref="C4:C23">
    <cfRule type="colorScale" priority="5228">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Resistencia</vt:lpstr>
      <vt:lpstr>CambioENTRENADOR</vt:lpstr>
      <vt:lpstr>Hall_of_Fame</vt:lpstr>
      <vt:lpstr>CA_Calcutator</vt:lpstr>
      <vt:lpstr>PLANNING</vt:lpstr>
      <vt:lpstr>PLANTILLA</vt:lpstr>
      <vt:lpstr>CAPITAN</vt:lpstr>
      <vt:lpstr>Evaluacion Jugadores</vt:lpstr>
      <vt:lpstr>Rendimiento_ENTRENAMIENTO</vt:lpstr>
      <vt:lpstr>Calculador de Sueldo</vt:lpstr>
      <vt:lpstr>Empleados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2019-06-19T15:17:56Z</dcterms:modified>
</cp:coreProperties>
</file>