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6FDBF439-C932-4256-8AE0-27FB02CEE27D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Economia" sheetId="5" r:id="rId5"/>
    <sheet name="Ahch-To" sheetId="4" r:id="rId6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" i="5" l="1"/>
  <c r="AA8" i="6" l="1"/>
  <c r="AA7" i="6"/>
  <c r="AA6" i="6"/>
  <c r="O12" i="6"/>
  <c r="O11" i="6"/>
  <c r="O10" i="6"/>
  <c r="O9" i="6"/>
  <c r="O8" i="6"/>
  <c r="O7" i="6"/>
  <c r="O6" i="6"/>
  <c r="Z8" i="6"/>
  <c r="Z7" i="6"/>
  <c r="Z6" i="6"/>
  <c r="L32" i="6"/>
  <c r="B26" i="6"/>
  <c r="AK8" i="3" l="1"/>
  <c r="AK16" i="3" s="1"/>
  <c r="S16" i="5" l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R16" i="5"/>
  <c r="Q11" i="5"/>
  <c r="X12" i="3" l="1"/>
  <c r="E12" i="3"/>
  <c r="AR6" i="1" l="1"/>
  <c r="Z6" i="1"/>
  <c r="AR5" i="1"/>
  <c r="Z5" i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4" i="3" l="1"/>
  <c r="E4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R7" i="5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 l="1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2" i="1"/>
  <c r="V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X27" i="3"/>
  <c r="E27" i="3"/>
  <c r="X26" i="3"/>
  <c r="E26" i="3"/>
  <c r="X9" i="3"/>
  <c r="E9" i="3"/>
  <c r="X25" i="3"/>
  <c r="E25" i="3"/>
  <c r="X10" i="3"/>
  <c r="E10" i="3"/>
  <c r="X23" i="3"/>
  <c r="E23" i="3"/>
  <c r="X24" i="3"/>
  <c r="E24" i="3"/>
  <c r="X11" i="3"/>
  <c r="E11" i="3"/>
  <c r="X22" i="3"/>
  <c r="E22" i="3"/>
  <c r="X21" i="3"/>
  <c r="E21" i="3"/>
  <c r="X20" i="3"/>
  <c r="E20" i="3"/>
  <c r="X13" i="3"/>
  <c r="E13" i="3"/>
  <c r="X19" i="3"/>
  <c r="E19" i="3"/>
  <c r="X18" i="3"/>
  <c r="E18" i="3"/>
  <c r="X17" i="3"/>
  <c r="E17" i="3"/>
  <c r="X5" i="3"/>
  <c r="E5" i="3"/>
  <c r="AJ8" i="3"/>
  <c r="AJ16" i="3" s="1"/>
  <c r="Y8" i="3"/>
  <c r="Y16" i="3" s="1"/>
  <c r="X8" i="3"/>
  <c r="X16" i="3" s="1"/>
  <c r="W8" i="3"/>
  <c r="W16" i="3" s="1"/>
  <c r="V8" i="3"/>
  <c r="V16" i="3" s="1"/>
  <c r="F8" i="3"/>
  <c r="F16" i="3" s="1"/>
  <c r="AY21" i="1"/>
  <c r="AQ21" i="1"/>
  <c r="AP21" i="1"/>
  <c r="Y21" i="1"/>
  <c r="W21" i="1"/>
  <c r="U21" i="1"/>
  <c r="T21" i="1"/>
  <c r="Q21" i="1"/>
  <c r="O21" i="1"/>
  <c r="N21" i="1"/>
  <c r="M21" i="1"/>
  <c r="AI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O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K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M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J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O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L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I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O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K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M8" i="1" s="1"/>
  <c r="J8" i="1"/>
  <c r="AY7" i="1"/>
  <c r="AQ7" i="1"/>
  <c r="AP7" i="1"/>
  <c r="Y7" i="1"/>
  <c r="W7" i="1"/>
  <c r="U7" i="1"/>
  <c r="T7" i="1"/>
  <c r="Q7" i="1"/>
  <c r="O7" i="1"/>
  <c r="N7" i="1"/>
  <c r="M7" i="1"/>
  <c r="AO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T2" i="1" l="1"/>
  <c r="C12" i="3"/>
  <c r="C22" i="3"/>
  <c r="C4" i="3"/>
  <c r="W22" i="1"/>
  <c r="J8" i="4"/>
  <c r="K8" i="4"/>
  <c r="AN7" i="1"/>
  <c r="I12" i="4"/>
  <c r="U2" i="1"/>
  <c r="AN19" i="1"/>
  <c r="B17" i="4"/>
  <c r="I10" i="4"/>
  <c r="C9" i="4"/>
  <c r="C26" i="3"/>
  <c r="C27" i="3"/>
  <c r="AM16" i="1"/>
  <c r="AN11" i="1"/>
  <c r="AL11" i="1"/>
  <c r="AL4" i="1"/>
  <c r="AN15" i="1"/>
  <c r="AN4" i="1"/>
  <c r="Y22" i="1"/>
  <c r="AL17" i="1"/>
  <c r="AL7" i="1"/>
  <c r="AN17" i="1"/>
  <c r="AL15" i="1"/>
  <c r="AL19" i="1"/>
  <c r="F14" i="1"/>
  <c r="C14" i="1" s="1"/>
  <c r="F21" i="1"/>
  <c r="C21" i="1" s="1"/>
  <c r="AL9" i="1"/>
  <c r="AI8" i="1"/>
  <c r="AJ5" i="1"/>
  <c r="AJ7" i="1"/>
  <c r="AJ11" i="1"/>
  <c r="AK16" i="1"/>
  <c r="AJ15" i="1"/>
  <c r="AJ19" i="1"/>
  <c r="AK14" i="1"/>
  <c r="AJ13" i="1"/>
  <c r="AN5" i="1"/>
  <c r="AJ9" i="1"/>
  <c r="AL13" i="1"/>
  <c r="AO14" i="1"/>
  <c r="AL5" i="1"/>
  <c r="AI10" i="1"/>
  <c r="AM14" i="1"/>
  <c r="AN13" i="1"/>
  <c r="AJ21" i="1"/>
  <c r="AJ4" i="1"/>
  <c r="AN9" i="1"/>
  <c r="AJ17" i="1"/>
  <c r="AL21" i="1"/>
  <c r="F7" i="1"/>
  <c r="C7" i="1" s="1"/>
  <c r="C18" i="3"/>
  <c r="C21" i="3"/>
  <c r="C13" i="3"/>
  <c r="C23" i="3"/>
  <c r="C9" i="3"/>
  <c r="C5" i="3"/>
  <c r="C11" i="3"/>
  <c r="C19" i="3"/>
  <c r="C10" i="3"/>
  <c r="F6" i="1"/>
  <c r="C6" i="1" s="1"/>
  <c r="C17" i="3"/>
  <c r="C24" i="3"/>
  <c r="C20" i="3"/>
  <c r="A31" i="3"/>
  <c r="AK8" i="1"/>
  <c r="AN6" i="1"/>
  <c r="AL6" i="1"/>
  <c r="AK6" i="1"/>
  <c r="AJ6" i="1"/>
  <c r="AI6" i="1"/>
  <c r="AO10" i="1"/>
  <c r="AN20" i="1"/>
  <c r="AM20" i="1"/>
  <c r="AL20" i="1"/>
  <c r="AK20" i="1"/>
  <c r="AJ20" i="1"/>
  <c r="AI20" i="1"/>
  <c r="AN12" i="1"/>
  <c r="AL12" i="1"/>
  <c r="AK12" i="1"/>
  <c r="AJ12" i="1"/>
  <c r="AM12" i="1"/>
  <c r="AO6" i="1"/>
  <c r="AJ8" i="1"/>
  <c r="AO8" i="1"/>
  <c r="AN8" i="1"/>
  <c r="AL8" i="1"/>
  <c r="AN10" i="1"/>
  <c r="AM10" i="1"/>
  <c r="AL10" i="1"/>
  <c r="AJ10" i="1"/>
  <c r="AI12" i="1"/>
  <c r="AO18" i="1"/>
  <c r="AN18" i="1"/>
  <c r="AM18" i="1"/>
  <c r="AL18" i="1"/>
  <c r="AJ18" i="1"/>
  <c r="AI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F11" i="1"/>
  <c r="C11" i="1" s="1"/>
  <c r="F4" i="1"/>
  <c r="C4" i="1" s="1"/>
  <c r="F17" i="1"/>
  <c r="C17" i="1" s="1"/>
  <c r="F9" i="1"/>
  <c r="C9" i="1" s="1"/>
  <c r="F10" i="1"/>
  <c r="C10" i="1" s="1"/>
  <c r="F12" i="1"/>
  <c r="C12" i="1" s="1"/>
  <c r="F20" i="1"/>
  <c r="C20" i="1" s="1"/>
  <c r="B13" i="4"/>
  <c r="B10" i="4" s="1"/>
  <c r="AM4" i="1"/>
  <c r="AK5" i="1"/>
  <c r="AI7" i="1"/>
  <c r="AO9" i="1"/>
  <c r="AM11" i="1"/>
  <c r="AK13" i="1"/>
  <c r="AN14" i="1"/>
  <c r="AI15" i="1"/>
  <c r="AL16" i="1"/>
  <c r="AO17" i="1"/>
  <c r="AM19" i="1"/>
  <c r="AK21" i="1"/>
  <c r="AO4" i="1"/>
  <c r="AM5" i="1"/>
  <c r="AK7" i="1"/>
  <c r="AI9" i="1"/>
  <c r="AO11" i="1"/>
  <c r="AM13" i="1"/>
  <c r="AK15" i="1"/>
  <c r="AN16" i="1"/>
  <c r="AI17" i="1"/>
  <c r="AO19" i="1"/>
  <c r="AM21" i="1"/>
  <c r="AI14" i="1"/>
  <c r="AO16" i="1"/>
  <c r="AN21" i="1"/>
  <c r="AI4" i="1"/>
  <c r="AO5" i="1"/>
  <c r="AM7" i="1"/>
  <c r="AK9" i="1"/>
  <c r="AI11" i="1"/>
  <c r="AO13" i="1"/>
  <c r="AJ14" i="1"/>
  <c r="AM15" i="1"/>
  <c r="AK17" i="1"/>
  <c r="AI19" i="1"/>
  <c r="AO21" i="1"/>
  <c r="B30" i="4"/>
  <c r="C30" i="4" s="1"/>
  <c r="AI16" i="1"/>
  <c r="C20" i="4"/>
  <c r="C24" i="4" s="1"/>
  <c r="C18" i="4"/>
  <c r="C21" i="4"/>
  <c r="C25" i="4" s="1"/>
  <c r="B22" i="4"/>
  <c r="B26" i="4" s="1"/>
  <c r="C25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<sst xmlns="http://schemas.openxmlformats.org/spreadsheetml/2006/main" count="632" uniqueCount="347">
  <si>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</si>
  <si>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</si>
  <si>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</si>
  <si>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</si>
  <si>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</si>
  <si>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</si>
  <si>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</si>
  <si>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</si>
  <si>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</si>
  <si>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</si>
  <si>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</si>
  <si>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</si>
  <si>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</si>
  <si>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</si>
  <si>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</si>
  <si>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</si>
  <si>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</si>
  <si>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</si>
  <si>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</si>
  <si>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</si>
  <si>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</si>
  <si>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</si>
  <si>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</si>
  <si>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</si>
  <si>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</si>
  <si>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</si>
  <si>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</si>
  <si>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</si>
  <si>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</si>
  <si>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</si>
  <si>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</si>
  <si>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</si>
  <si>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</si>
  <si>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</si>
  <si>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</si>
  <si>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</si>
  <si>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</si>
  <si>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</si>
  <si>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</si>
  <si>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</si>
  <si>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</si>
  <si>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</si>
  <si>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</si>
  <si>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</si>
  <si>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</si>
  <si>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</si>
  <si>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</si>
  <si>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</si>
  <si>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</si>
  <si>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</si>
  <si>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</si>
  <si>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</si>
  <si>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</si>
  <si>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</si>
  <si>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</si>
  <si>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</si>
  <si>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</si>
  <si>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</si>
  <si>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</si>
  <si>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</si>
  <si>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</si>
  <si>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</si>
  <si>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</si>
  <si>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</si>
  <si>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</si>
  <si>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</si>
  <si>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</si>
  <si>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</si>
  <si>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</si>
  <si>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</si>
  <si>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</si>
  <si>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</si>
  <si>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</si>
  <si>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</si>
  <si>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</si>
  <si>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</si>
  <si>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</si>
  <si>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</si>
  <si>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</si>
  <si>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</si>
  <si>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</si>
  <si>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</si>
  <si>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</si>
  <si>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</si>
  <si>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</si>
  <si>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</si>
  <si>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</si>
  <si>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</si>
  <si>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</si>
  <si>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</si>
  <si>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</si>
  <si>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</si>
  <si>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</si>
  <si>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</si>
  <si>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</si>
  <si>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</si>
  <si>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</si>
  <si>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</si>
  <si>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</si>
  <si>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</si>
  <si>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</si>
  <si>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</si>
  <si>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</si>
  <si>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</si>
  <si>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</si>
  <si>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</si>
  <si>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</si>
  <si>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</si>
  <si>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</si>
  <si>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</si>
  <si>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</si>
  <si>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</si>
  <si>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</si>
  <si>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</si>
  <si>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</si>
  <si>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</si>
  <si>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</si>
  <si>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</si>
  <si>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</si>
  <si>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</si>
  <si>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</si>
  <si>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</si>
  <si>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</si>
  <si>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</si>
  <si>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</si>
  <si>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</si>
  <si>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</si>
  <si>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</si>
  <si>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</si>
  <si>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</si>
  <si>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</si>
  <si>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</si>
  <si>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</si>
  <si>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</si>
  <si>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</si>
  <si>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</si>
  <si>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</si>
  <si>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</si>
  <si>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</si>
  <si>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</si>
  <si>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</si>
  <si>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</si>
  <si>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</si>
  <si>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</si>
  <si>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</si>
  <si>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</si>
  <si>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</si>
  <si>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</si>
  <si>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</si>
  <si>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</si>
  <si>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</si>
  <si>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</si>
  <si>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</si>
  <si>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</si>
  <si>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</si>
  <si>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</si>
  <si>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</si>
  <si>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</si>
  <si>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</si>
  <si>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</si>
  <si>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</si>
  <si>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</si>
  <si>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</si>
  <si>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</si>
  <si>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</si>
  <si>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</si>
  <si>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</si>
  <si>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</si>
  <si>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</si>
  <si>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</si>
  <si>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</si>
  <si>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</si>
  <si>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</si>
  <si>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</si>
  <si>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</si>
  <si>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</si>
  <si>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</si>
  <si>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</si>
  <si>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</si>
  <si>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</si>
  <si>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</si>
  <si>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</si>
  <si>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</si>
  <si>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</si>
  <si>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</si>
  <si>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</si>
  <si>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</si>
  <si>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</si>
  <si>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</si>
  <si>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</si>
  <si>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</si>
  <si>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</si>
  <si>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</si>
  <si>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</si>
  <si>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</si>
  <si>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</si>
  <si>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</si>
  <si>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</si>
  <si>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</si>
  <si>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</si>
  <si>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</si>
  <si>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</si>
  <si>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</si>
  <si>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</si>
  <si>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</si>
  <si>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</si>
  <si>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</si>
  <si>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</si>
  <si>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</si>
  <si>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</si>
  <si>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</si>
  <si>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</si>
  <si>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</si>
  <si>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</si>
  <si>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</si>
  <si>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</si>
  <si>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</si>
  <si>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</si>
  <si>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</si>
  <si>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</si>
  <si>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</si>
  <si>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</si>
  <si>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</si>
  <si>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</si>
  <si>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</si>
  <si>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</si>
  <si>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</si>
  <si>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</si>
  <si>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</si>
  <si>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</si>
  <si>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</si>
  <si>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</si>
  <si>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</si>
  <si>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</si>
  <si>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</si>
  <si>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</si>
  <si>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</si>
  <si>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</si>
  <si>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</si>
  <si>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</si>
  <si>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</si>
  <si>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</si>
  <si>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</si>
  <si>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</si>
  <si>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</si>
  <si>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</si>
  <si>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</si>
  <si>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</si>
  <si>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</si>
  <si>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</si>
  <si>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</si>
  <si>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</si>
  <si>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</si>
  <si>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</si>
  <si>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</si>
  <si>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</si>
  <si>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</si>
  <si>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</si>
  <si>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</si>
  <si>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</si>
  <si>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</si>
  <si>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</si>
  <si>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</si>
  <si>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</si>
  <si>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</si>
  <si>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</si>
  <si>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</si>
  <si>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</si>
  <si>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</si>
  <si>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</si>
  <si>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</si>
  <si>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</si>
  <si>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</si>
  <si>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</si>
  <si>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</si>
  <si>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</si>
  <si>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</si>
  <si>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</si>
  <si>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</si>
  <si>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</si>
  <si>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</si>
  <si>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</si>
  <si>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</si>
  <si>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</si>
  <si>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</si>
  <si>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</si>
  <si>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</si>
  <si>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</si>
  <si>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</si>
  <si>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</si>
  <si>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</si>
  <si>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</si>
  <si>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POR/EXT</t>
  </si>
  <si>
    <t>POR/DEF/DAV</t>
  </si>
  <si>
    <t>EXT/MED/DAV</t>
  </si>
  <si>
    <t>POR/DAV</t>
  </si>
  <si>
    <t>DEF/DAV</t>
  </si>
  <si>
    <t>POR/DEF</t>
  </si>
  <si>
    <t>POR/DEF/EXT/MED</t>
  </si>
  <si>
    <t>POR/MED</t>
  </si>
  <si>
    <t>DEF/MED/DAV</t>
  </si>
  <si>
    <t>POR/DEF/EXT/DAV</t>
  </si>
  <si>
    <t>POR/DEF/MED/EXT/DAV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</si>
  <si>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</si>
  <si>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</si>
  <si>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</si>
  <si>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</si>
  <si>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</si>
  <si>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</si>
  <si>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</si>
  <si>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</si>
  <si>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168 hts</t>
  </si>
  <si>
    <t>Humanoides11 - Luke JC</t>
  </si>
  <si>
    <t>Luke JC - Bayern 1985</t>
  </si>
  <si>
    <t>159 hts</t>
  </si>
  <si>
    <t>5*</t>
  </si>
  <si>
    <t>Joel Autet</t>
  </si>
  <si>
    <t>4,5*</t>
  </si>
  <si>
    <t>Thibault Averous</t>
  </si>
  <si>
    <t>Luis Gerardo Salares</t>
  </si>
  <si>
    <t>Darius Salat</t>
  </si>
  <si>
    <t>Jean-Louis Grellier</t>
  </si>
  <si>
    <t>4*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</si>
  <si>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</si>
  <si>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</si>
  <si>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</si>
  <si>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</si>
  <si>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</si>
  <si>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</si>
  <si>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</si>
  <si>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</si>
  <si>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</si>
  <si>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3,5*</t>
  </si>
  <si>
    <t>Hernán Grijalva</t>
  </si>
  <si>
    <t>Eusebi Tarrida</t>
  </si>
  <si>
    <t>3*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</si>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</sst>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8" fillId="0" borderId="0" applyBorder="0" applyProtection="0"/>
    <xf numFmtId="172" fontId="38" fillId="0" borderId="0" applyBorder="0" applyProtection="0"/>
    <xf numFmtId="165" fontId="38" fillId="0" borderId="0" applyBorder="0" applyProtection="0"/>
    <xf numFmtId="0" fontId="38" fillId="0" borderId="0"/>
  </cellStyleXfs>
  <cellXfs count="408">
    <xf numFmtId="0" fontId="0" fillId="0" borderId="0" xfId="0"/>
    <xf numFmtId="0" fontId="3" fillId="0" borderId="0" xfId="4" applyFont="1"/>
    <xf numFmtId="164" fontId="4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4" applyFont="1" applyBorder="1" applyAlignment="1">
      <alignment horizontal="left"/>
    </xf>
    <xf numFmtId="0" fontId="5" fillId="0" borderId="0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164" fontId="3" fillId="0" borderId="0" xfId="4" applyNumberFormat="1" applyFont="1" applyBorder="1" applyAlignment="1"/>
    <xf numFmtId="164" fontId="3" fillId="0" borderId="0" xfId="4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5" fontId="3" fillId="0" borderId="1" xfId="3" applyFont="1" applyBorder="1" applyAlignment="1" applyProtection="1">
      <alignment horizontal="center"/>
    </xf>
    <xf numFmtId="167" fontId="3" fillId="0" borderId="1" xfId="1" applyNumberFormat="1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ont="1" applyBorder="1"/>
    <xf numFmtId="164" fontId="13" fillId="0" borderId="1" xfId="0" applyNumberFormat="1" applyFont="1" applyBorder="1"/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65" fontId="15" fillId="9" borderId="1" xfId="3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2" fontId="15" fillId="9" borderId="1" xfId="0" applyNumberFormat="1" applyFont="1" applyFill="1" applyBorder="1" applyAlignment="1">
      <alignment horizontal="left" vertical="center"/>
    </xf>
    <xf numFmtId="1" fontId="15" fillId="10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7" fontId="15" fillId="9" borderId="1" xfId="1" applyNumberFormat="1" applyFont="1" applyFill="1" applyBorder="1" applyAlignment="1" applyProtection="1">
      <alignment horizontal="left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6" fillId="0" borderId="1" xfId="1" applyNumberFormat="1" applyFont="1" applyBorder="1" applyAlignment="1" applyProtection="1">
      <alignment horizontal="center"/>
    </xf>
    <xf numFmtId="2" fontId="15" fillId="8" borderId="1" xfId="0" applyNumberFormat="1" applyFont="1" applyFill="1" applyBorder="1" applyAlignment="1">
      <alignment horizontal="left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center" vertical="center"/>
    </xf>
    <xf numFmtId="168" fontId="15" fillId="9" borderId="1" xfId="3" applyNumberFormat="1" applyFont="1" applyFill="1" applyBorder="1" applyAlignment="1" applyProtection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2" fillId="0" borderId="1" xfId="4" applyFont="1" applyBorder="1"/>
    <xf numFmtId="0" fontId="0" fillId="0" borderId="1" xfId="4" applyFont="1" applyBorder="1"/>
    <xf numFmtId="0" fontId="7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167" fontId="3" fillId="0" borderId="0" xfId="1" applyNumberFormat="1" applyFont="1" applyBorder="1" applyAlignment="1" applyProtection="1"/>
    <xf numFmtId="168" fontId="11" fillId="9" borderId="1" xfId="1" applyNumberFormat="1" applyFont="1" applyFill="1" applyBorder="1" applyAlignment="1" applyProtection="1">
      <alignment horizontal="right" vertical="center"/>
    </xf>
    <xf numFmtId="167" fontId="19" fillId="0" borderId="0" xfId="0" applyNumberFormat="1" applyFont="1" applyAlignment="1">
      <alignment horizontal="right"/>
    </xf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8" fillId="0" borderId="0" xfId="0" applyNumberFormat="1" applyFont="1"/>
    <xf numFmtId="167" fontId="8" fillId="0" borderId="0" xfId="0" applyNumberFormat="1" applyFont="1"/>
    <xf numFmtId="0" fontId="3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12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right"/>
    </xf>
    <xf numFmtId="1" fontId="3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169" fontId="3" fillId="14" borderId="1" xfId="0" applyNumberFormat="1" applyFont="1" applyFill="1" applyBorder="1"/>
    <xf numFmtId="169" fontId="26" fillId="14" borderId="1" xfId="0" applyNumberFormat="1" applyFont="1" applyFill="1" applyBorder="1"/>
    <xf numFmtId="0" fontId="26" fillId="0" borderId="0" xfId="0" applyFont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3" fillId="0" borderId="0" xfId="0" applyNumberFormat="1" applyFont="1"/>
    <xf numFmtId="170" fontId="26" fillId="0" borderId="1" xfId="3" applyNumberFormat="1" applyFont="1" applyBorder="1" applyAlignment="1" applyProtection="1"/>
    <xf numFmtId="171" fontId="3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167" fontId="3" fillId="17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3" fillId="17" borderId="1" xfId="0" applyFont="1" applyFill="1" applyBorder="1" applyAlignment="1">
      <alignment horizontal="right"/>
    </xf>
    <xf numFmtId="173" fontId="3" fillId="17" borderId="1" xfId="2" applyNumberFormat="1" applyFont="1" applyFill="1" applyBorder="1" applyAlignment="1" applyProtection="1">
      <alignment horizontal="center" wrapText="1"/>
    </xf>
    <xf numFmtId="166" fontId="3" fillId="17" borderId="1" xfId="1" applyFont="1" applyFill="1" applyBorder="1" applyAlignment="1" applyProtection="1">
      <alignment horizontal="center" wrapText="1"/>
    </xf>
    <xf numFmtId="0" fontId="3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8" fillId="18" borderId="0" xfId="4" applyFont="1" applyFill="1" applyBorder="1" applyAlignment="1">
      <alignment horizontal="center"/>
    </xf>
    <xf numFmtId="0" fontId="28" fillId="18" borderId="0" xfId="4" applyFont="1" applyFill="1" applyBorder="1" applyAlignment="1">
      <alignment horizontal="left"/>
    </xf>
    <xf numFmtId="0" fontId="29" fillId="18" borderId="0" xfId="4" applyFont="1" applyFill="1" applyBorder="1" applyAlignment="1">
      <alignment horizontal="center"/>
    </xf>
    <xf numFmtId="0" fontId="5" fillId="18" borderId="0" xfId="4" applyFont="1" applyFill="1" applyBorder="1" applyAlignment="1">
      <alignment horizontal="left"/>
    </xf>
    <xf numFmtId="0" fontId="5" fillId="18" borderId="0" xfId="4" applyFont="1" applyFill="1" applyBorder="1" applyAlignment="1">
      <alignment horizontal="center"/>
    </xf>
    <xf numFmtId="0" fontId="31" fillId="18" borderId="0" xfId="4" applyFont="1" applyFill="1" applyBorder="1" applyAlignment="1">
      <alignment horizontal="center"/>
    </xf>
    <xf numFmtId="0" fontId="38" fillId="0" borderId="0" xfId="4" applyBorder="1" applyAlignment="1">
      <alignment horizontal="center"/>
    </xf>
    <xf numFmtId="0" fontId="5" fillId="19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5" fillId="6" borderId="0" xfId="4" applyFont="1" applyFill="1" applyBorder="1" applyAlignment="1">
      <alignment horizontal="left"/>
    </xf>
    <xf numFmtId="0" fontId="5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5" fillId="16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5" fillId="13" borderId="0" xfId="4" applyFont="1" applyFill="1" applyBorder="1" applyAlignment="1">
      <alignment horizontal="left"/>
    </xf>
    <xf numFmtId="0" fontId="5" fillId="13" borderId="0" xfId="4" applyFont="1" applyFill="1" applyBorder="1" applyAlignment="1">
      <alignment horizontal="center"/>
    </xf>
    <xf numFmtId="0" fontId="12" fillId="0" borderId="0" xfId="4" applyFont="1" applyBorder="1"/>
    <xf numFmtId="1" fontId="12" fillId="0" borderId="0" xfId="4" applyNumberFormat="1" applyFont="1" applyBorder="1"/>
    <xf numFmtId="0" fontId="4" fillId="0" borderId="0" xfId="4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8" fillId="0" borderId="0" xfId="4" applyAlignment="1">
      <alignment horizontal="center"/>
    </xf>
    <xf numFmtId="0" fontId="38" fillId="0" borderId="0" xfId="4" applyBorder="1"/>
    <xf numFmtId="0" fontId="3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2" fillId="7" borderId="0" xfId="4" applyFont="1" applyFill="1" applyBorder="1" applyAlignment="1">
      <alignment horizontal="right"/>
    </xf>
    <xf numFmtId="1" fontId="38" fillId="0" borderId="0" xfId="4" applyNumberFormat="1" applyBorder="1"/>
    <xf numFmtId="0" fontId="3" fillId="0" borderId="4" xfId="4" applyFont="1" applyBorder="1"/>
    <xf numFmtId="0" fontId="38" fillId="0" borderId="0" xfId="4"/>
    <xf numFmtId="1" fontId="38" fillId="0" borderId="0" xfId="4" applyNumberFormat="1"/>
    <xf numFmtId="0" fontId="33" fillId="0" borderId="0" xfId="4" applyFont="1" applyAlignment="1">
      <alignment horizontal="center"/>
    </xf>
    <xf numFmtId="14" fontId="3" fillId="0" borderId="1" xfId="4" applyNumberFormat="1" applyFont="1" applyBorder="1"/>
    <xf numFmtId="14" fontId="38" fillId="0" borderId="0" xfId="4" applyNumberFormat="1"/>
    <xf numFmtId="0" fontId="8" fillId="0" borderId="0" xfId="4" applyFont="1" applyAlignment="1">
      <alignment horizontal="center"/>
    </xf>
    <xf numFmtId="1" fontId="19" fillId="0" borderId="0" xfId="4" applyNumberFormat="1" applyFont="1" applyBorder="1"/>
    <xf numFmtId="14" fontId="19" fillId="0" borderId="0" xfId="4" applyNumberFormat="1" applyFont="1" applyBorder="1"/>
    <xf numFmtId="0" fontId="0" fillId="8" borderId="0" xfId="0" applyFill="1" applyBorder="1"/>
    <xf numFmtId="0" fontId="3" fillId="0" borderId="0" xfId="4" applyFont="1" applyAlignment="1">
      <alignment horizontal="left"/>
    </xf>
    <xf numFmtId="0" fontId="35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6" fillId="23" borderId="0" xfId="0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7" fillId="24" borderId="0" xfId="0" applyFont="1" applyFill="1" applyAlignment="1">
      <alignment horizontal="center" wrapText="1"/>
    </xf>
    <xf numFmtId="0" fontId="36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7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7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7" fillId="24" borderId="3" xfId="0" applyFont="1" applyFill="1" applyBorder="1" applyAlignment="1">
      <alignment horizontal="center" wrapText="1"/>
    </xf>
    <xf numFmtId="0" fontId="37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5" borderId="0" xfId="0" applyFont="1" applyFill="1" applyAlignment="1">
      <alignment horizontal="right"/>
    </xf>
    <xf numFmtId="169" fontId="4" fillId="11" borderId="11" xfId="0" applyNumberFormat="1" applyFont="1" applyFill="1" applyBorder="1"/>
    <xf numFmtId="0" fontId="3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8" fillId="22" borderId="0" xfId="0" applyFont="1" applyFill="1" applyBorder="1" applyAlignment="1">
      <alignment horizontal="right" wrapText="1"/>
    </xf>
    <xf numFmtId="171" fontId="22" fillId="22" borderId="0" xfId="0" applyNumberFormat="1" applyFont="1" applyFill="1"/>
    <xf numFmtId="0" fontId="8" fillId="0" borderId="0" xfId="0" applyFont="1" applyBorder="1"/>
    <xf numFmtId="0" fontId="22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9" fillId="0" borderId="0" xfId="4" applyNumberFormat="1" applyFont="1" applyBorder="1" applyAlignment="1">
      <alignment horizontal="right"/>
    </xf>
    <xf numFmtId="14" fontId="12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2" fillId="0" borderId="5" xfId="4" applyFont="1" applyBorder="1" applyAlignment="1">
      <alignment horizontal="center"/>
    </xf>
    <xf numFmtId="0" fontId="38" fillId="0" borderId="5" xfId="4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2" fillId="0" borderId="5" xfId="4" applyNumberFormat="1" applyFont="1" applyBorder="1"/>
    <xf numFmtId="0" fontId="12" fillId="27" borderId="1" xfId="4" applyFont="1" applyFill="1" applyBorder="1" applyAlignment="1">
      <alignment horizontal="right"/>
    </xf>
    <xf numFmtId="0" fontId="40" fillId="30" borderId="1" xfId="4" applyFont="1" applyFill="1" applyBorder="1" applyAlignment="1">
      <alignment horizontal="right"/>
    </xf>
    <xf numFmtId="174" fontId="0" fillId="0" borderId="0" xfId="0" applyNumberFormat="1"/>
    <xf numFmtId="0" fontId="44" fillId="0" borderId="1" xfId="0" applyFont="1" applyBorder="1" applyAlignment="1">
      <alignment horizontal="center"/>
    </xf>
    <xf numFmtId="0" fontId="42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2" fillId="0" borderId="12" xfId="0" applyFont="1" applyBorder="1"/>
    <xf numFmtId="174" fontId="42" fillId="0" borderId="5" xfId="0" applyNumberFormat="1" applyFont="1" applyBorder="1"/>
    <xf numFmtId="170" fontId="42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2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5" fillId="0" borderId="12" xfId="0" applyFont="1" applyFill="1" applyBorder="1" applyAlignment="1">
      <alignment horizontal="right"/>
    </xf>
    <xf numFmtId="170" fontId="45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2" fillId="0" borderId="7" xfId="3" applyNumberFormat="1" applyFont="1" applyBorder="1"/>
    <xf numFmtId="174" fontId="0" fillId="0" borderId="18" xfId="0" applyNumberFormat="1" applyBorder="1"/>
    <xf numFmtId="0" fontId="41" fillId="0" borderId="0" xfId="0" applyFont="1" applyFill="1" applyBorder="1" applyAlignment="1">
      <alignment horizontal="right"/>
    </xf>
    <xf numFmtId="174" fontId="41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0" fontId="42" fillId="0" borderId="0" xfId="0" applyFont="1"/>
    <xf numFmtId="174" fontId="42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3" fillId="40" borderId="1" xfId="0" applyFont="1" applyFill="1" applyBorder="1" applyAlignment="1">
      <alignment wrapText="1"/>
    </xf>
    <xf numFmtId="0" fontId="3" fillId="41" borderId="1" xfId="0" applyFont="1" applyFill="1" applyBorder="1" applyAlignment="1">
      <alignment wrapText="1"/>
    </xf>
    <xf numFmtId="0" fontId="3" fillId="41" borderId="1" xfId="0" applyFont="1" applyFill="1" applyBorder="1"/>
    <xf numFmtId="0" fontId="26" fillId="41" borderId="1" xfId="0" applyFont="1" applyFill="1" applyBorder="1" applyAlignment="1">
      <alignment wrapText="1"/>
    </xf>
    <xf numFmtId="0" fontId="26" fillId="41" borderId="1" xfId="0" applyFont="1" applyFill="1" applyBorder="1"/>
    <xf numFmtId="169" fontId="0" fillId="41" borderId="1" xfId="0" applyNumberFormat="1" applyFill="1" applyBorder="1"/>
    <xf numFmtId="169" fontId="26" fillId="41" borderId="1" xfId="0" applyNumberFormat="1" applyFont="1" applyFill="1" applyBorder="1"/>
    <xf numFmtId="0" fontId="49" fillId="30" borderId="1" xfId="4" applyFont="1" applyFill="1" applyBorder="1" applyAlignment="1">
      <alignment horizontal="right"/>
    </xf>
    <xf numFmtId="14" fontId="22" fillId="37" borderId="0" xfId="0" applyNumberFormat="1" applyFont="1" applyFill="1" applyAlignment="1">
      <alignment horizontal="center"/>
    </xf>
    <xf numFmtId="0" fontId="3" fillId="42" borderId="1" xfId="0" applyFont="1" applyFill="1" applyBorder="1" applyAlignment="1">
      <alignment horizontal="center" wrapText="1"/>
    </xf>
    <xf numFmtId="1" fontId="3" fillId="42" borderId="1" xfId="0" applyNumberFormat="1" applyFont="1" applyFill="1" applyBorder="1" applyAlignment="1">
      <alignment horizontal="center" wrapText="1"/>
    </xf>
    <xf numFmtId="0" fontId="23" fillId="43" borderId="4" xfId="0" applyFont="1" applyFill="1" applyBorder="1"/>
    <xf numFmtId="169" fontId="23" fillId="43" borderId="4" xfId="0" applyNumberFormat="1" applyFont="1" applyFill="1" applyBorder="1"/>
    <xf numFmtId="169" fontId="23" fillId="43" borderId="1" xfId="0" applyNumberFormat="1" applyFont="1" applyFill="1" applyBorder="1"/>
    <xf numFmtId="170" fontId="42" fillId="0" borderId="0" xfId="3" applyNumberFormat="1" applyFont="1" applyBorder="1"/>
    <xf numFmtId="174" fontId="42" fillId="0" borderId="0" xfId="0" applyNumberFormat="1" applyFont="1" applyBorder="1"/>
    <xf numFmtId="170" fontId="2" fillId="0" borderId="0" xfId="3" applyNumberFormat="1" applyFont="1" applyBorder="1"/>
    <xf numFmtId="174" fontId="0" fillId="35" borderId="0" xfId="0" applyNumberFormat="1" applyFill="1" applyBorder="1"/>
    <xf numFmtId="170" fontId="2" fillId="0" borderId="2" xfId="3" applyNumberFormat="1" applyFont="1" applyBorder="1"/>
    <xf numFmtId="169" fontId="3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5" fillId="28" borderId="12" xfId="0" applyFont="1" applyFill="1" applyBorder="1" applyAlignment="1">
      <alignment horizontal="right"/>
    </xf>
    <xf numFmtId="174" fontId="45" fillId="28" borderId="0" xfId="0" applyNumberFormat="1" applyFont="1" applyFill="1" applyBorder="1" applyAlignment="1">
      <alignment horizontal="right"/>
    </xf>
    <xf numFmtId="170" fontId="45" fillId="0" borderId="2" xfId="3" applyNumberFormat="1" applyFont="1" applyBorder="1"/>
    <xf numFmtId="0" fontId="51" fillId="0" borderId="0" xfId="0" applyFont="1"/>
    <xf numFmtId="0" fontId="52" fillId="0" borderId="0" xfId="0" applyFont="1"/>
    <xf numFmtId="170" fontId="51" fillId="0" borderId="1" xfId="0" applyNumberFormat="1" applyFont="1" applyBorder="1"/>
    <xf numFmtId="0" fontId="0" fillId="0" borderId="5" xfId="0" applyBorder="1"/>
    <xf numFmtId="169" fontId="51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5" fillId="37" borderId="12" xfId="0" applyFont="1" applyFill="1" applyBorder="1" applyAlignment="1">
      <alignment horizontal="right"/>
    </xf>
    <xf numFmtId="174" fontId="45" fillId="37" borderId="5" xfId="0" applyNumberFormat="1" applyFont="1" applyFill="1" applyBorder="1" applyAlignment="1">
      <alignment horizontal="right"/>
    </xf>
    <xf numFmtId="170" fontId="45" fillId="0" borderId="0" xfId="3" applyNumberFormat="1" applyFont="1" applyBorder="1"/>
    <xf numFmtId="174" fontId="42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2" fillId="0" borderId="2" xfId="3" applyNumberFormat="1" applyFont="1" applyFill="1" applyBorder="1"/>
    <xf numFmtId="174" fontId="0" fillId="39" borderId="0" xfId="0" applyNumberFormat="1" applyFill="1" applyBorder="1"/>
    <xf numFmtId="174" fontId="45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2" fillId="0" borderId="4" xfId="3" applyNumberFormat="1" applyFont="1" applyFill="1" applyBorder="1"/>
    <xf numFmtId="0" fontId="44" fillId="0" borderId="16" xfId="0" applyFont="1" applyBorder="1" applyAlignment="1">
      <alignment horizontal="right"/>
    </xf>
    <xf numFmtId="174" fontId="44" fillId="0" borderId="17" xfId="0" applyNumberFormat="1" applyFont="1" applyBorder="1"/>
    <xf numFmtId="9" fontId="42" fillId="0" borderId="4" xfId="3" applyNumberFormat="1" applyFont="1" applyBorder="1"/>
    <xf numFmtId="169" fontId="3" fillId="45" borderId="1" xfId="0" applyNumberFormat="1" applyFont="1" applyFill="1" applyBorder="1"/>
    <xf numFmtId="169" fontId="51" fillId="40" borderId="1" xfId="0" applyNumberFormat="1" applyFont="1" applyFill="1" applyBorder="1"/>
    <xf numFmtId="169" fontId="3" fillId="46" borderId="1" xfId="0" applyNumberFormat="1" applyFont="1" applyFill="1" applyBorder="1"/>
    <xf numFmtId="0" fontId="51" fillId="40" borderId="1" xfId="0" applyFont="1" applyFill="1" applyBorder="1"/>
    <xf numFmtId="0" fontId="51" fillId="40" borderId="1" xfId="0" applyFont="1" applyFill="1" applyBorder="1" applyAlignment="1">
      <alignment wrapText="1"/>
    </xf>
    <xf numFmtId="170" fontId="3" fillId="45" borderId="1" xfId="3" applyNumberFormat="1" applyFont="1" applyFill="1" applyBorder="1" applyAlignment="1" applyProtection="1"/>
    <xf numFmtId="170" fontId="3" fillId="46" borderId="1" xfId="3" applyNumberFormat="1" applyFont="1" applyFill="1" applyBorder="1" applyAlignment="1" applyProtection="1"/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3" fillId="7" borderId="0" xfId="4" applyFont="1" applyFill="1" applyBorder="1" applyAlignment="1">
      <alignment horizontal="right"/>
    </xf>
    <xf numFmtId="0" fontId="54" fillId="7" borderId="0" xfId="4" applyFont="1" applyFill="1" applyBorder="1" applyAlignment="1">
      <alignment horizontal="right"/>
    </xf>
    <xf numFmtId="0" fontId="12" fillId="48" borderId="1" xfId="4" applyFont="1" applyFill="1" applyBorder="1" applyAlignment="1">
      <alignment horizontal="right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167" fontId="55" fillId="9" borderId="1" xfId="1" applyNumberFormat="1" applyFont="1" applyFill="1" applyBorder="1" applyAlignment="1" applyProtection="1">
      <alignment horizontal="right" vertical="center"/>
    </xf>
    <xf numFmtId="0" fontId="56" fillId="18" borderId="0" xfId="4" applyFont="1" applyFill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3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3" fillId="0" borderId="0" xfId="4" applyFont="1" applyBorder="1" applyAlignment="1">
      <alignment horizontal="center"/>
    </xf>
    <xf numFmtId="0" fontId="53" fillId="0" borderId="0" xfId="4" applyFont="1" applyAlignment="1">
      <alignment horizontal="center"/>
    </xf>
    <xf numFmtId="0" fontId="53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2" fillId="0" borderId="1" xfId="4" applyNumberFormat="1" applyFont="1" applyBorder="1" applyAlignment="1">
      <alignment horizontal="center"/>
    </xf>
    <xf numFmtId="2" fontId="12" fillId="20" borderId="1" xfId="4" applyNumberFormat="1" applyFont="1" applyFill="1" applyBorder="1" applyAlignment="1">
      <alignment horizontal="center"/>
    </xf>
    <xf numFmtId="2" fontId="4" fillId="20" borderId="1" xfId="4" applyNumberFormat="1" applyFont="1" applyFill="1" applyBorder="1" applyAlignment="1">
      <alignment horizontal="center"/>
    </xf>
    <xf numFmtId="2" fontId="38" fillId="0" borderId="1" xfId="4" applyNumberFormat="1" applyBorder="1" applyAlignment="1">
      <alignment horizontal="center"/>
    </xf>
    <xf numFmtId="2" fontId="4" fillId="47" borderId="1" xfId="4" applyNumberFormat="1" applyFont="1" applyFill="1" applyBorder="1" applyAlignment="1">
      <alignment horizontal="center"/>
    </xf>
    <xf numFmtId="2" fontId="12" fillId="11" borderId="1" xfId="4" applyNumberFormat="1" applyFont="1" applyFill="1" applyBorder="1" applyAlignment="1">
      <alignment horizontal="center"/>
    </xf>
    <xf numFmtId="2" fontId="34" fillId="11" borderId="1" xfId="4" applyNumberFormat="1" applyFont="1" applyFill="1" applyBorder="1" applyAlignment="1">
      <alignment horizontal="center"/>
    </xf>
    <xf numFmtId="0" fontId="38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9" fillId="0" borderId="0" xfId="0" applyFont="1" applyFill="1" applyAlignment="1">
      <alignment horizontal="center"/>
    </xf>
    <xf numFmtId="14" fontId="0" fillId="0" borderId="0" xfId="0" applyNumberFormat="1"/>
    <xf numFmtId="0" fontId="44" fillId="0" borderId="0" xfId="0" applyFont="1"/>
    <xf numFmtId="170" fontId="44" fillId="0" borderId="0" xfId="3" applyNumberFormat="1" applyFont="1"/>
    <xf numFmtId="0" fontId="0" fillId="0" borderId="0" xfId="0" applyFont="1"/>
    <xf numFmtId="0" fontId="44" fillId="0" borderId="0" xfId="0" applyFont="1" applyAlignment="1">
      <alignment horizontal="left"/>
    </xf>
    <xf numFmtId="0" fontId="42" fillId="28" borderId="0" xfId="0" applyFont="1" applyFill="1" applyAlignment="1">
      <alignment horizontal="center"/>
    </xf>
    <xf numFmtId="0" fontId="42" fillId="28" borderId="0" xfId="0" applyFont="1" applyFill="1"/>
    <xf numFmtId="0" fontId="58" fillId="49" borderId="0" xfId="0" applyFont="1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5" fillId="29" borderId="0" xfId="0" applyFont="1" applyFill="1" applyBorder="1" applyAlignment="1">
      <alignment horizontal="center"/>
    </xf>
    <xf numFmtId="0" fontId="45" fillId="29" borderId="0" xfId="0" applyFont="1" applyFill="1" applyBorder="1"/>
    <xf numFmtId="14" fontId="45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/>
    <xf numFmtId="14" fontId="45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4" fillId="0" borderId="0" xfId="0" applyFont="1" applyBorder="1"/>
    <xf numFmtId="0" fontId="53" fillId="29" borderId="0" xfId="0" applyFont="1" applyFill="1" applyBorder="1"/>
    <xf numFmtId="0" fontId="44" fillId="0" borderId="0" xfId="0" applyFont="1" applyAlignment="1">
      <alignment horizontal="center"/>
    </xf>
    <xf numFmtId="0" fontId="53" fillId="29" borderId="0" xfId="0" applyFont="1" applyFill="1" applyBorder="1" applyAlignment="1">
      <alignment horizontal="center"/>
    </xf>
    <xf numFmtId="0" fontId="45" fillId="29" borderId="0" xfId="0" applyNumberFormat="1" applyFont="1" applyFill="1" applyBorder="1" applyAlignment="1">
      <alignment horizontal="center"/>
    </xf>
    <xf numFmtId="0" fontId="53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5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5" fillId="29" borderId="0" xfId="0" applyNumberFormat="1" applyFont="1" applyFill="1" applyBorder="1"/>
    <xf numFmtId="0" fontId="53" fillId="0" borderId="0" xfId="0" applyFont="1" applyBorder="1" applyAlignment="1">
      <alignment horizontal="center"/>
    </xf>
    <xf numFmtId="0" fontId="1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60" fillId="0" borderId="0" xfId="0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2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43" fillId="31" borderId="6" xfId="0" applyFont="1" applyFill="1" applyBorder="1" applyAlignment="1">
      <alignment horizontal="center"/>
    </xf>
    <xf numFmtId="0" fontId="43" fillId="31" borderId="13" xfId="0" applyFont="1" applyFill="1" applyBorder="1" applyAlignment="1">
      <alignment horizontal="center"/>
    </xf>
    <xf numFmtId="0" fontId="43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4" fillId="32" borderId="14" xfId="0" applyFont="1" applyFill="1" applyBorder="1" applyAlignment="1">
      <alignment horizontal="center"/>
    </xf>
    <xf numFmtId="0" fontId="44" fillId="32" borderId="15" xfId="0" applyFont="1" applyFill="1" applyBorder="1" applyAlignment="1">
      <alignment horizontal="center"/>
    </xf>
    <xf numFmtId="0" fontId="44" fillId="33" borderId="18" xfId="0" applyFont="1" applyFill="1" applyBorder="1" applyAlignment="1">
      <alignment horizontal="center"/>
    </xf>
    <xf numFmtId="0" fontId="44" fillId="33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3" fillId="40" borderId="7" xfId="0" applyFont="1" applyFill="1" applyBorder="1" applyAlignment="1">
      <alignment horizontal="left" vertical="top" wrapText="1"/>
    </xf>
    <xf numFmtId="0" fontId="3" fillId="40" borderId="2" xfId="0" applyFont="1" applyFill="1" applyBorder="1" applyAlignment="1">
      <alignment horizontal="left" vertical="top" wrapText="1"/>
    </xf>
    <xf numFmtId="0" fontId="3" fillId="40" borderId="4" xfId="0" applyFont="1" applyFill="1" applyBorder="1" applyAlignment="1">
      <alignment horizontal="left" vertical="top" wrapText="1"/>
    </xf>
    <xf numFmtId="0" fontId="3" fillId="41" borderId="7" xfId="0" applyFont="1" applyFill="1" applyBorder="1" applyAlignment="1">
      <alignment horizontal="left" vertical="top" wrapText="1"/>
    </xf>
    <xf numFmtId="0" fontId="3" fillId="41" borderId="2" xfId="0" applyFont="1" applyFill="1" applyBorder="1" applyAlignment="1">
      <alignment horizontal="left" vertical="top" wrapText="1"/>
    </xf>
    <xf numFmtId="0" fontId="3" fillId="41" borderId="4" xfId="0" applyFont="1" applyFill="1" applyBorder="1" applyAlignment="1">
      <alignment horizontal="left" vertical="top" wrapText="1"/>
    </xf>
    <xf numFmtId="0" fontId="3" fillId="17" borderId="5" xfId="0" applyFont="1" applyFill="1" applyBorder="1" applyAlignment="1">
      <alignment horizontal="center" vertical="top" wrapText="1"/>
    </xf>
    <xf numFmtId="169" fontId="25" fillId="45" borderId="1" xfId="0" applyNumberFormat="1" applyFont="1" applyFill="1" applyBorder="1" applyAlignment="1">
      <alignment horizontal="center"/>
    </xf>
    <xf numFmtId="169" fontId="26" fillId="46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S3" sqref="S3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78" t="s">
        <v>303</v>
      </c>
      <c r="B1" s="378"/>
      <c r="C1" s="378"/>
      <c r="E1" s="377" t="s">
        <v>304</v>
      </c>
      <c r="F1" s="377"/>
      <c r="G1" s="377"/>
      <c r="H1" s="377"/>
    </row>
    <row r="2" spans="1:27" x14ac:dyDescent="0.25">
      <c r="A2" s="379">
        <v>43655</v>
      </c>
      <c r="B2" s="379"/>
      <c r="C2" s="379"/>
      <c r="E2" s="62" t="s">
        <v>341</v>
      </c>
      <c r="F2" s="332" t="s">
        <v>314</v>
      </c>
      <c r="G2" s="333">
        <v>43649</v>
      </c>
      <c r="H2" t="s">
        <v>313</v>
      </c>
    </row>
    <row r="3" spans="1:27" x14ac:dyDescent="0.25">
      <c r="E3" s="62" t="s">
        <v>342</v>
      </c>
      <c r="F3" s="340" t="s">
        <v>311</v>
      </c>
      <c r="G3" s="333">
        <v>43639</v>
      </c>
      <c r="H3" t="s">
        <v>312</v>
      </c>
    </row>
    <row r="4" spans="1:27" ht="18.75" x14ac:dyDescent="0.3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63"/>
      <c r="W4" s="363"/>
    </row>
    <row r="5" spans="1:27" ht="18.75" x14ac:dyDescent="0.3">
      <c r="A5" s="334"/>
      <c r="B5" s="376" t="s">
        <v>305</v>
      </c>
      <c r="C5" s="376"/>
      <c r="E5" s="334"/>
      <c r="F5" s="334"/>
      <c r="G5" s="376" t="s">
        <v>306</v>
      </c>
      <c r="H5" s="376"/>
      <c r="I5" s="376"/>
      <c r="J5" s="335"/>
      <c r="K5" s="335"/>
      <c r="L5" s="376" t="s">
        <v>307</v>
      </c>
      <c r="M5" s="376"/>
      <c r="O5" s="239" t="s">
        <v>308</v>
      </c>
      <c r="P5" s="334"/>
      <c r="Q5" s="334"/>
      <c r="R5" s="376" t="s">
        <v>309</v>
      </c>
      <c r="S5" s="376"/>
      <c r="T5" s="334"/>
      <c r="U5" s="334"/>
      <c r="V5" s="377" t="s">
        <v>337</v>
      </c>
      <c r="W5" s="377"/>
      <c r="X5" s="363" t="s">
        <v>338</v>
      </c>
      <c r="Y5" s="363" t="s">
        <v>339</v>
      </c>
      <c r="Z5" s="363" t="s">
        <v>49</v>
      </c>
      <c r="AA5" s="363" t="s">
        <v>340</v>
      </c>
    </row>
    <row r="6" spans="1:27" x14ac:dyDescent="0.25">
      <c r="A6" s="187">
        <v>1</v>
      </c>
      <c r="B6" s="358">
        <v>1</v>
      </c>
      <c r="C6" s="348" t="s">
        <v>330</v>
      </c>
      <c r="D6" s="349" t="s">
        <v>58</v>
      </c>
      <c r="F6" s="350">
        <v>1</v>
      </c>
      <c r="G6" s="358">
        <v>2</v>
      </c>
      <c r="H6" s="348" t="s">
        <v>330</v>
      </c>
      <c r="I6" s="349" t="s">
        <v>58</v>
      </c>
      <c r="K6" s="372">
        <v>1</v>
      </c>
      <c r="L6" s="373">
        <v>2</v>
      </c>
      <c r="M6" s="362" t="s">
        <v>329</v>
      </c>
      <c r="N6" s="349" t="s">
        <v>73</v>
      </c>
      <c r="O6" s="370">
        <f>L6/G14</f>
        <v>1</v>
      </c>
      <c r="Q6" s="362">
        <v>1</v>
      </c>
      <c r="R6" s="344" t="s">
        <v>315</v>
      </c>
      <c r="S6" s="345" t="s">
        <v>316</v>
      </c>
      <c r="T6" s="346" t="s">
        <v>93</v>
      </c>
      <c r="V6" s="364">
        <v>1</v>
      </c>
      <c r="W6" s="364" t="s">
        <v>328</v>
      </c>
      <c r="X6" s="344">
        <v>1</v>
      </c>
      <c r="Y6" s="365">
        <v>1</v>
      </c>
      <c r="Z6" s="366">
        <f>Y6+X6</f>
        <v>2</v>
      </c>
      <c r="AA6" s="374">
        <f>Z6/G17</f>
        <v>1</v>
      </c>
    </row>
    <row r="7" spans="1:27" x14ac:dyDescent="0.25">
      <c r="A7" s="187">
        <v>2</v>
      </c>
      <c r="B7" s="351"/>
      <c r="C7" s="352"/>
      <c r="D7" s="353"/>
      <c r="F7" s="350">
        <v>1</v>
      </c>
      <c r="G7" s="358">
        <v>2</v>
      </c>
      <c r="H7" s="348" t="s">
        <v>334</v>
      </c>
      <c r="I7" s="349" t="s">
        <v>58</v>
      </c>
      <c r="K7" s="372">
        <v>1</v>
      </c>
      <c r="L7" s="373">
        <v>2</v>
      </c>
      <c r="M7" s="362" t="s">
        <v>328</v>
      </c>
      <c r="N7" s="349" t="s">
        <v>73</v>
      </c>
      <c r="O7" s="370">
        <f>L7/G17</f>
        <v>1</v>
      </c>
      <c r="Q7" s="343">
        <v>2</v>
      </c>
      <c r="R7" s="347" t="s">
        <v>317</v>
      </c>
      <c r="S7" s="348" t="s">
        <v>318</v>
      </c>
      <c r="T7" s="348" t="s">
        <v>88</v>
      </c>
      <c r="V7" s="367">
        <v>2</v>
      </c>
      <c r="W7" s="347" t="s">
        <v>319</v>
      </c>
      <c r="X7" s="347">
        <v>1</v>
      </c>
      <c r="Y7" s="347">
        <v>0</v>
      </c>
      <c r="Z7" s="366">
        <f>Y7+X7</f>
        <v>1</v>
      </c>
      <c r="AA7" s="374">
        <f>Z7/G16</f>
        <v>0.5</v>
      </c>
    </row>
    <row r="8" spans="1:27" x14ac:dyDescent="0.25">
      <c r="A8" s="187">
        <v>3</v>
      </c>
      <c r="B8" s="355"/>
      <c r="C8" s="356"/>
      <c r="D8" s="357"/>
      <c r="F8" s="350">
        <v>1</v>
      </c>
      <c r="G8" s="358">
        <v>2</v>
      </c>
      <c r="H8" s="348" t="s">
        <v>320</v>
      </c>
      <c r="I8" s="349" t="s">
        <v>73</v>
      </c>
      <c r="K8" s="372">
        <v>1</v>
      </c>
      <c r="L8" s="373">
        <v>2</v>
      </c>
      <c r="M8" s="345" t="s">
        <v>325</v>
      </c>
      <c r="N8" s="346" t="s">
        <v>156</v>
      </c>
      <c r="O8" s="370">
        <f>L8/G12</f>
        <v>1</v>
      </c>
      <c r="Q8" s="343">
        <v>2</v>
      </c>
      <c r="R8" s="347" t="s">
        <v>317</v>
      </c>
      <c r="S8" s="348" t="s">
        <v>319</v>
      </c>
      <c r="T8" s="348" t="s">
        <v>93</v>
      </c>
      <c r="V8" s="367">
        <v>2</v>
      </c>
      <c r="W8" s="347" t="s">
        <v>326</v>
      </c>
      <c r="X8" s="347">
        <v>0</v>
      </c>
      <c r="Y8" s="347">
        <v>1</v>
      </c>
      <c r="Z8" s="366">
        <f>Y8+X8</f>
        <v>1</v>
      </c>
      <c r="AA8" s="374">
        <f>Z8/G20</f>
        <v>1</v>
      </c>
    </row>
    <row r="9" spans="1:27" ht="18.75" x14ac:dyDescent="0.3">
      <c r="A9" s="187">
        <v>4</v>
      </c>
      <c r="B9" s="355"/>
      <c r="C9" s="356"/>
      <c r="D9" s="356"/>
      <c r="E9" s="334"/>
      <c r="F9" s="350">
        <v>1</v>
      </c>
      <c r="G9" s="359">
        <v>2</v>
      </c>
      <c r="H9" s="348" t="s">
        <v>327</v>
      </c>
      <c r="I9" s="349" t="s">
        <v>73</v>
      </c>
      <c r="J9" s="334"/>
      <c r="K9" s="331">
        <v>1</v>
      </c>
      <c r="L9" s="344">
        <v>2</v>
      </c>
      <c r="M9" s="348" t="s">
        <v>318</v>
      </c>
      <c r="N9" s="348" t="s">
        <v>88</v>
      </c>
      <c r="O9" s="371">
        <f>L9/G13</f>
        <v>1</v>
      </c>
      <c r="P9" s="334"/>
      <c r="Q9" s="343">
        <v>2</v>
      </c>
      <c r="R9" s="347" t="s">
        <v>317</v>
      </c>
      <c r="S9" s="348" t="s">
        <v>320</v>
      </c>
      <c r="T9" s="349" t="s">
        <v>73</v>
      </c>
      <c r="U9" s="334"/>
      <c r="V9" s="367">
        <v>2</v>
      </c>
      <c r="W9" s="347"/>
      <c r="X9" s="347"/>
      <c r="Y9" s="368"/>
      <c r="Z9" s="342"/>
      <c r="AA9" s="341"/>
    </row>
    <row r="10" spans="1:27" x14ac:dyDescent="0.25">
      <c r="A10" s="187">
        <v>5</v>
      </c>
      <c r="B10" s="354"/>
      <c r="C10" s="360"/>
      <c r="D10" s="360"/>
      <c r="F10" s="350">
        <v>1</v>
      </c>
      <c r="G10" s="359">
        <v>2</v>
      </c>
      <c r="H10" s="345" t="s">
        <v>323</v>
      </c>
      <c r="I10" s="346" t="s">
        <v>73</v>
      </c>
      <c r="K10" s="331">
        <v>5</v>
      </c>
      <c r="L10" s="347">
        <v>1</v>
      </c>
      <c r="M10" s="345" t="s">
        <v>316</v>
      </c>
      <c r="N10" s="346" t="s">
        <v>93</v>
      </c>
      <c r="O10" s="370">
        <f>L10/G15</f>
        <v>0.5</v>
      </c>
      <c r="Q10" s="343">
        <v>2</v>
      </c>
      <c r="R10" s="347" t="s">
        <v>317</v>
      </c>
      <c r="S10" s="345" t="s">
        <v>321</v>
      </c>
      <c r="T10" s="345" t="s">
        <v>156</v>
      </c>
      <c r="V10" s="367">
        <v>2</v>
      </c>
      <c r="W10" s="347"/>
      <c r="X10" s="344"/>
      <c r="Y10" s="344"/>
      <c r="Z10" s="342"/>
      <c r="AA10" s="341"/>
    </row>
    <row r="11" spans="1:27" x14ac:dyDescent="0.25">
      <c r="A11" s="187">
        <v>5</v>
      </c>
      <c r="B11" s="355"/>
      <c r="C11" s="356"/>
      <c r="D11" s="356"/>
      <c r="F11" s="350">
        <v>1</v>
      </c>
      <c r="G11" s="359">
        <v>2</v>
      </c>
      <c r="H11" s="345" t="s">
        <v>324</v>
      </c>
      <c r="I11" s="345" t="s">
        <v>88</v>
      </c>
      <c r="K11" s="331">
        <v>5</v>
      </c>
      <c r="L11" s="344">
        <v>1</v>
      </c>
      <c r="M11" s="348" t="s">
        <v>319</v>
      </c>
      <c r="N11" s="348" t="s">
        <v>93</v>
      </c>
      <c r="O11" s="371">
        <f>L11/G16</f>
        <v>0.5</v>
      </c>
      <c r="Q11" s="343">
        <v>6</v>
      </c>
      <c r="R11" s="344" t="s">
        <v>322</v>
      </c>
      <c r="S11" s="345" t="s">
        <v>323</v>
      </c>
      <c r="T11" s="346" t="s">
        <v>73</v>
      </c>
      <c r="V11" s="367">
        <v>6</v>
      </c>
      <c r="W11" s="344"/>
      <c r="X11" s="344"/>
      <c r="Y11" s="369"/>
      <c r="Z11" s="342"/>
      <c r="AA11" s="341"/>
    </row>
    <row r="12" spans="1:27" x14ac:dyDescent="0.25">
      <c r="A12" s="187"/>
      <c r="B12" s="62"/>
      <c r="F12" s="350">
        <v>1</v>
      </c>
      <c r="G12" s="359">
        <v>2</v>
      </c>
      <c r="H12" s="345" t="s">
        <v>325</v>
      </c>
      <c r="I12" s="346" t="s">
        <v>156</v>
      </c>
      <c r="K12" s="331">
        <v>5</v>
      </c>
      <c r="L12" s="367">
        <v>1</v>
      </c>
      <c r="M12" s="348" t="s">
        <v>320</v>
      </c>
      <c r="N12" s="349" t="s">
        <v>73</v>
      </c>
      <c r="O12" s="370">
        <f>L12/G8</f>
        <v>0.5</v>
      </c>
      <c r="Q12" s="343">
        <v>6</v>
      </c>
      <c r="R12" s="344" t="s">
        <v>322</v>
      </c>
      <c r="S12" s="345" t="s">
        <v>324</v>
      </c>
      <c r="T12" s="345" t="s">
        <v>88</v>
      </c>
      <c r="V12" s="367">
        <v>6</v>
      </c>
      <c r="W12" s="344"/>
      <c r="X12" s="344"/>
      <c r="Y12" s="344"/>
      <c r="Z12" s="342"/>
      <c r="AA12" s="341"/>
    </row>
    <row r="13" spans="1:27" ht="18.75" x14ac:dyDescent="0.3">
      <c r="A13" s="361"/>
      <c r="B13" s="337" t="s">
        <v>310</v>
      </c>
      <c r="C13" s="337"/>
      <c r="E13" s="334"/>
      <c r="F13" s="350">
        <v>1</v>
      </c>
      <c r="G13" s="355">
        <v>2</v>
      </c>
      <c r="H13" s="348" t="s">
        <v>318</v>
      </c>
      <c r="I13" s="348" t="s">
        <v>88</v>
      </c>
      <c r="J13" s="334"/>
      <c r="K13" s="331">
        <v>7</v>
      </c>
      <c r="L13" s="347"/>
      <c r="M13" s="348"/>
      <c r="N13" s="349"/>
      <c r="O13" s="370"/>
      <c r="P13" s="334"/>
      <c r="Q13" s="343">
        <v>6</v>
      </c>
      <c r="R13" s="344" t="s">
        <v>322</v>
      </c>
      <c r="S13" s="345" t="s">
        <v>325</v>
      </c>
      <c r="T13" s="346" t="s">
        <v>156</v>
      </c>
      <c r="V13" s="367">
        <v>6</v>
      </c>
      <c r="W13" s="344"/>
      <c r="X13" s="344"/>
      <c r="Y13" s="369"/>
      <c r="Z13" s="342"/>
      <c r="AA13" s="341"/>
    </row>
    <row r="14" spans="1:27" x14ac:dyDescent="0.25">
      <c r="A14" s="187">
        <v>1</v>
      </c>
      <c r="B14" s="355">
        <v>1</v>
      </c>
      <c r="C14" s="345" t="s">
        <v>316</v>
      </c>
      <c r="D14" s="346" t="s">
        <v>93</v>
      </c>
      <c r="F14" s="350">
        <v>1</v>
      </c>
      <c r="G14" s="359">
        <v>2</v>
      </c>
      <c r="H14" s="348" t="s">
        <v>329</v>
      </c>
      <c r="I14" s="349" t="s">
        <v>73</v>
      </c>
      <c r="K14" s="331">
        <v>9</v>
      </c>
      <c r="L14" s="347"/>
      <c r="M14" s="348"/>
      <c r="N14" s="349"/>
      <c r="O14" s="370"/>
      <c r="Q14" s="343">
        <v>6</v>
      </c>
      <c r="R14" s="344" t="s">
        <v>322</v>
      </c>
      <c r="S14" s="348" t="s">
        <v>326</v>
      </c>
      <c r="T14" s="349" t="s">
        <v>156</v>
      </c>
      <c r="V14" s="367">
        <v>6</v>
      </c>
      <c r="W14" s="344"/>
      <c r="X14" s="347"/>
      <c r="Y14" s="368"/>
      <c r="Z14" s="342"/>
      <c r="AA14" s="341"/>
    </row>
    <row r="15" spans="1:27" x14ac:dyDescent="0.25">
      <c r="A15" s="187">
        <v>1</v>
      </c>
      <c r="B15" s="355">
        <v>1</v>
      </c>
      <c r="C15" s="348" t="s">
        <v>328</v>
      </c>
      <c r="D15" s="349" t="s">
        <v>73</v>
      </c>
      <c r="F15" s="350">
        <v>1</v>
      </c>
      <c r="G15" s="359">
        <v>2</v>
      </c>
      <c r="H15" s="345" t="s">
        <v>316</v>
      </c>
      <c r="I15" s="346" t="s">
        <v>93</v>
      </c>
      <c r="K15" s="331">
        <v>10</v>
      </c>
      <c r="L15" s="367"/>
      <c r="M15" s="348"/>
      <c r="N15" s="349"/>
      <c r="O15" s="370"/>
      <c r="Q15" s="343">
        <v>6</v>
      </c>
      <c r="R15" s="344" t="s">
        <v>322</v>
      </c>
      <c r="S15" s="348" t="s">
        <v>327</v>
      </c>
      <c r="T15" s="349" t="s">
        <v>73</v>
      </c>
      <c r="V15" s="367">
        <v>6</v>
      </c>
      <c r="W15" s="344"/>
      <c r="X15" s="347"/>
      <c r="Y15" s="368"/>
      <c r="Z15" s="342"/>
      <c r="AA15" s="341"/>
    </row>
    <row r="16" spans="1:27" x14ac:dyDescent="0.25">
      <c r="A16" s="187">
        <v>3</v>
      </c>
      <c r="B16" s="350"/>
      <c r="C16" s="352"/>
      <c r="D16" s="353"/>
      <c r="F16" s="350">
        <v>1</v>
      </c>
      <c r="G16" s="355">
        <v>2</v>
      </c>
      <c r="H16" s="348" t="s">
        <v>319</v>
      </c>
      <c r="I16" s="348" t="s">
        <v>93</v>
      </c>
      <c r="K16" s="331">
        <v>11</v>
      </c>
      <c r="L16" s="367"/>
      <c r="M16" s="348"/>
      <c r="N16" s="348"/>
      <c r="O16" s="370"/>
      <c r="Q16" s="343">
        <v>6</v>
      </c>
      <c r="R16" s="344" t="s">
        <v>322</v>
      </c>
      <c r="S16" s="348" t="s">
        <v>328</v>
      </c>
      <c r="T16" s="349" t="s">
        <v>73</v>
      </c>
      <c r="V16" s="367">
        <v>6</v>
      </c>
      <c r="W16" s="344"/>
      <c r="X16" s="347"/>
      <c r="Y16" s="368"/>
      <c r="Z16" s="342"/>
      <c r="AA16" s="341"/>
    </row>
    <row r="17" spans="1:27" x14ac:dyDescent="0.25">
      <c r="A17" s="187">
        <v>4</v>
      </c>
      <c r="B17" s="355"/>
      <c r="C17" s="356"/>
      <c r="D17" s="356"/>
      <c r="F17" s="350">
        <v>1</v>
      </c>
      <c r="G17" s="355">
        <v>2</v>
      </c>
      <c r="H17" s="348" t="s">
        <v>328</v>
      </c>
      <c r="I17" s="349" t="s">
        <v>73</v>
      </c>
      <c r="K17" s="331">
        <v>12</v>
      </c>
      <c r="L17" s="347"/>
      <c r="M17" s="348"/>
      <c r="N17" s="349"/>
      <c r="O17" s="370"/>
      <c r="Q17" s="343">
        <v>6</v>
      </c>
      <c r="R17" s="344" t="s">
        <v>322</v>
      </c>
      <c r="S17" s="348" t="s">
        <v>329</v>
      </c>
      <c r="T17" s="349" t="s">
        <v>73</v>
      </c>
      <c r="V17" s="367">
        <v>6</v>
      </c>
      <c r="W17" s="344"/>
      <c r="X17" s="347"/>
      <c r="Y17" s="368"/>
      <c r="Z17" s="342"/>
      <c r="AA17" s="341"/>
    </row>
    <row r="18" spans="1:27" x14ac:dyDescent="0.25">
      <c r="A18" s="187">
        <v>5</v>
      </c>
      <c r="B18" s="355"/>
      <c r="C18" s="356"/>
      <c r="D18" s="357"/>
      <c r="F18" s="350">
        <v>13</v>
      </c>
      <c r="G18" s="359">
        <v>1</v>
      </c>
      <c r="H18" s="348" t="s">
        <v>333</v>
      </c>
      <c r="I18" s="349" t="s">
        <v>156</v>
      </c>
      <c r="K18" s="331">
        <v>13</v>
      </c>
      <c r="L18" s="344"/>
      <c r="M18" s="345"/>
      <c r="N18" s="345"/>
      <c r="O18" s="371"/>
      <c r="Q18" s="343">
        <v>6</v>
      </c>
      <c r="R18" s="344" t="s">
        <v>322</v>
      </c>
      <c r="S18" s="348" t="s">
        <v>330</v>
      </c>
      <c r="T18" s="349" t="s">
        <v>58</v>
      </c>
      <c r="V18" s="367">
        <v>6</v>
      </c>
      <c r="W18" s="344"/>
      <c r="X18" s="347"/>
      <c r="Y18" s="368"/>
      <c r="Z18" s="342"/>
      <c r="AA18" s="341"/>
    </row>
    <row r="19" spans="1:27" x14ac:dyDescent="0.25">
      <c r="A19" s="187">
        <v>6</v>
      </c>
      <c r="B19" s="355"/>
      <c r="C19" s="356"/>
      <c r="D19" s="357"/>
      <c r="F19" s="350">
        <v>13</v>
      </c>
      <c r="G19" s="355">
        <v>1</v>
      </c>
      <c r="H19" s="348" t="s">
        <v>331</v>
      </c>
      <c r="I19" s="349" t="s">
        <v>88</v>
      </c>
      <c r="K19" s="331">
        <v>14</v>
      </c>
      <c r="L19" s="344"/>
      <c r="M19" s="345"/>
      <c r="N19" s="345"/>
      <c r="O19" s="371"/>
      <c r="Q19" s="343">
        <v>6</v>
      </c>
      <c r="R19" s="344" t="s">
        <v>322</v>
      </c>
      <c r="S19" s="348" t="s">
        <v>331</v>
      </c>
      <c r="T19" s="349" t="s">
        <v>88</v>
      </c>
      <c r="V19" s="367">
        <v>6</v>
      </c>
      <c r="W19" s="344"/>
      <c r="X19" s="347"/>
      <c r="Y19" s="368"/>
      <c r="Z19" s="342"/>
      <c r="AA19" s="341"/>
    </row>
    <row r="20" spans="1:27" x14ac:dyDescent="0.25">
      <c r="A20" s="187">
        <v>7</v>
      </c>
      <c r="B20" s="355"/>
      <c r="C20" s="356"/>
      <c r="D20" s="357"/>
      <c r="F20" s="350">
        <v>13</v>
      </c>
      <c r="G20" s="355">
        <v>1</v>
      </c>
      <c r="H20" s="348" t="s">
        <v>326</v>
      </c>
      <c r="I20" s="349" t="s">
        <v>156</v>
      </c>
      <c r="K20" s="331">
        <v>15</v>
      </c>
      <c r="L20" s="344"/>
      <c r="M20" s="345"/>
      <c r="N20" s="345"/>
      <c r="O20" s="371"/>
      <c r="Q20" s="343">
        <v>15</v>
      </c>
      <c r="R20" s="347" t="s">
        <v>332</v>
      </c>
      <c r="S20" s="348" t="s">
        <v>333</v>
      </c>
      <c r="T20" s="349" t="s">
        <v>156</v>
      </c>
      <c r="V20" s="367">
        <v>15</v>
      </c>
      <c r="W20" s="347"/>
      <c r="X20" s="347"/>
      <c r="Y20" s="368"/>
      <c r="Z20" s="342"/>
      <c r="AA20" s="341"/>
    </row>
    <row r="21" spans="1:27" x14ac:dyDescent="0.25">
      <c r="A21" s="187">
        <v>8</v>
      </c>
      <c r="B21" s="355"/>
      <c r="C21" s="356"/>
      <c r="D21" s="357"/>
      <c r="F21" s="350">
        <v>13</v>
      </c>
      <c r="G21" s="355">
        <v>1</v>
      </c>
      <c r="H21" s="345" t="s">
        <v>321</v>
      </c>
      <c r="I21" s="345" t="s">
        <v>156</v>
      </c>
      <c r="K21" s="331">
        <v>16</v>
      </c>
      <c r="L21" s="347"/>
      <c r="M21" s="348"/>
      <c r="N21" s="348"/>
      <c r="O21" s="370"/>
      <c r="Q21" s="343">
        <v>15</v>
      </c>
      <c r="R21" s="347" t="s">
        <v>332</v>
      </c>
      <c r="S21" s="348" t="s">
        <v>334</v>
      </c>
      <c r="T21" s="349" t="s">
        <v>58</v>
      </c>
      <c r="V21" s="367">
        <v>15</v>
      </c>
      <c r="W21" s="347"/>
      <c r="X21" s="347"/>
      <c r="Y21" s="368"/>
      <c r="Z21" s="342"/>
      <c r="AA21" s="341"/>
    </row>
    <row r="22" spans="1:27" x14ac:dyDescent="0.25">
      <c r="A22" s="187">
        <v>9</v>
      </c>
      <c r="B22" s="350"/>
      <c r="C22" s="352"/>
      <c r="D22" s="353"/>
      <c r="F22" s="350"/>
      <c r="G22" s="355"/>
      <c r="H22" s="356"/>
      <c r="I22" s="357"/>
      <c r="K22" s="331">
        <v>17</v>
      </c>
      <c r="L22" s="347"/>
      <c r="M22" s="348"/>
      <c r="N22" s="348"/>
      <c r="O22" s="370"/>
      <c r="Q22" s="343">
        <v>17</v>
      </c>
      <c r="R22" s="347" t="s">
        <v>335</v>
      </c>
      <c r="S22" s="348" t="s">
        <v>336</v>
      </c>
      <c r="T22" s="349" t="s">
        <v>58</v>
      </c>
      <c r="V22" s="367">
        <v>17</v>
      </c>
      <c r="W22" s="347"/>
      <c r="X22" s="347"/>
      <c r="Y22" s="368"/>
      <c r="Z22" s="342"/>
      <c r="AA22" s="341"/>
    </row>
    <row r="23" spans="1:27" x14ac:dyDescent="0.25">
      <c r="A23" s="187">
        <v>10</v>
      </c>
      <c r="B23" s="355"/>
      <c r="C23" s="356"/>
      <c r="D23" s="357"/>
      <c r="F23" s="350"/>
      <c r="G23" s="355"/>
      <c r="H23" s="352"/>
      <c r="I23" s="352"/>
      <c r="K23" s="331">
        <v>18</v>
      </c>
      <c r="L23" s="344"/>
      <c r="M23" s="345"/>
      <c r="N23" s="346"/>
      <c r="O23" s="371"/>
      <c r="Q23" s="336"/>
      <c r="R23" s="336"/>
      <c r="S23" s="336"/>
      <c r="T23" s="336"/>
    </row>
    <row r="24" spans="1:27" x14ac:dyDescent="0.25">
      <c r="A24" s="187">
        <v>10</v>
      </c>
      <c r="B24" s="355"/>
      <c r="C24" s="356"/>
      <c r="D24" s="356"/>
      <c r="F24" s="350"/>
      <c r="G24" s="355"/>
      <c r="H24" s="356"/>
      <c r="I24" s="356"/>
      <c r="K24" s="331">
        <v>19</v>
      </c>
      <c r="L24" s="344"/>
      <c r="M24" s="345"/>
      <c r="N24" s="346"/>
      <c r="O24" s="371"/>
      <c r="Q24" s="336"/>
      <c r="R24" s="336"/>
      <c r="S24" s="336"/>
      <c r="T24" s="336"/>
    </row>
    <row r="25" spans="1:27" x14ac:dyDescent="0.25">
      <c r="A25">
        <v>10</v>
      </c>
      <c r="B25" s="355"/>
      <c r="C25" s="356"/>
      <c r="D25" s="357"/>
      <c r="F25" s="350"/>
      <c r="G25" s="355"/>
      <c r="H25" s="356"/>
      <c r="I25" s="357"/>
      <c r="K25" s="331">
        <v>20</v>
      </c>
      <c r="L25" s="344"/>
      <c r="M25" s="345"/>
      <c r="N25" s="346"/>
      <c r="O25" s="371"/>
      <c r="Q25" s="336"/>
      <c r="R25" s="336"/>
      <c r="S25" s="336"/>
      <c r="T25" s="336"/>
    </row>
    <row r="26" spans="1:27" x14ac:dyDescent="0.25">
      <c r="B26" s="338">
        <f>SUM(B14:B25)</f>
        <v>2</v>
      </c>
      <c r="F26" s="350"/>
      <c r="G26" s="350"/>
      <c r="H26" s="352"/>
      <c r="I26" s="352"/>
      <c r="K26" s="331">
        <v>21</v>
      </c>
      <c r="L26" s="367"/>
      <c r="M26" s="348"/>
      <c r="N26" s="349"/>
      <c r="O26" s="370"/>
      <c r="Q26" s="336"/>
      <c r="R26" s="336"/>
      <c r="S26" s="336"/>
      <c r="T26" s="336"/>
    </row>
    <row r="27" spans="1:27" x14ac:dyDescent="0.25">
      <c r="B27" s="62"/>
      <c r="F27" s="350"/>
      <c r="G27" s="355"/>
      <c r="H27" s="356"/>
      <c r="I27" s="357"/>
      <c r="K27" s="331">
        <v>22</v>
      </c>
      <c r="L27" s="344"/>
      <c r="M27" s="345"/>
      <c r="N27" s="346"/>
      <c r="O27" s="371"/>
      <c r="Q27" s="336"/>
      <c r="R27" s="336"/>
      <c r="S27" s="336"/>
      <c r="T27" s="336"/>
    </row>
    <row r="28" spans="1:27" x14ac:dyDescent="0.25">
      <c r="B28" s="62"/>
      <c r="K28" s="331">
        <v>22</v>
      </c>
      <c r="L28" s="344"/>
      <c r="M28" s="345"/>
      <c r="N28" s="346"/>
      <c r="O28" s="371"/>
      <c r="Q28" s="336"/>
      <c r="R28" s="336"/>
      <c r="S28" s="336"/>
      <c r="T28" s="336"/>
    </row>
    <row r="29" spans="1:27" x14ac:dyDescent="0.25">
      <c r="B29" s="62"/>
      <c r="K29" s="331">
        <v>24</v>
      </c>
      <c r="L29" s="344"/>
      <c r="M29" s="345"/>
      <c r="N29" s="345"/>
      <c r="O29" s="371"/>
      <c r="Q29" s="336"/>
      <c r="R29" s="336"/>
      <c r="S29" s="336"/>
      <c r="T29" s="336"/>
    </row>
    <row r="30" spans="1:27" x14ac:dyDescent="0.25">
      <c r="B30" s="62"/>
      <c r="K30" s="331">
        <v>24</v>
      </c>
      <c r="L30" s="344"/>
      <c r="M30" s="345"/>
      <c r="N30" s="345"/>
      <c r="O30" s="371"/>
      <c r="Q30" s="336"/>
      <c r="R30" s="336"/>
      <c r="S30" s="336"/>
      <c r="T30" s="336"/>
    </row>
    <row r="31" spans="1:27" x14ac:dyDescent="0.25">
      <c r="B31" s="62"/>
      <c r="K31" s="331">
        <v>26</v>
      </c>
      <c r="L31" s="344"/>
      <c r="M31" s="345"/>
      <c r="N31" s="345"/>
      <c r="O31" s="371"/>
      <c r="Q31" s="336"/>
    </row>
    <row r="32" spans="1:27" x14ac:dyDescent="0.25">
      <c r="B32" s="62"/>
      <c r="L32" s="339">
        <f>SUM(L6:L31)</f>
        <v>11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H13" sqref="AH13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43656</v>
      </c>
      <c r="E1" s="380">
        <v>43637</v>
      </c>
      <c r="F1" s="380"/>
      <c r="G1" s="380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AVERAGE(L4:L21)</f>
        <v>2.6333333333333333</v>
      </c>
      <c r="M2" s="11"/>
      <c r="N2" s="11"/>
      <c r="O2" s="7"/>
      <c r="P2" s="12">
        <f>AVERAGE(P4:P21)</f>
        <v>5.3388888888888886</v>
      </c>
      <c r="Q2" s="11"/>
      <c r="R2" s="11"/>
      <c r="S2" s="12">
        <f>AVERAGE(S4:S21)</f>
        <v>4.8888888888888893</v>
      </c>
      <c r="T2" s="13">
        <f>AVERAGE(T4:T21)</f>
        <v>0.8336198374311502</v>
      </c>
      <c r="U2" s="13">
        <f>AVERAGE(U4:U21)</f>
        <v>0.91487772851317595</v>
      </c>
      <c r="V2" s="14">
        <f>AVERAGE(V4:V21)</f>
        <v>1176.1111111111111</v>
      </c>
      <c r="W2" s="14"/>
      <c r="X2" s="14">
        <f>AVERAGE(X4:X21)</f>
        <v>411.11111111111109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17.553571428571427</v>
      </c>
      <c r="D4" s="205" t="s">
        <v>54</v>
      </c>
      <c r="E4" s="27">
        <v>18</v>
      </c>
      <c r="F4" s="28">
        <f ca="1">$D$1-43606</f>
        <v>50</v>
      </c>
      <c r="G4" s="29" t="s">
        <v>55</v>
      </c>
      <c r="H4" s="30">
        <v>0</v>
      </c>
      <c r="I4" s="30">
        <v>0</v>
      </c>
      <c r="J4" s="31">
        <f t="shared" ref="J4:J21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1.2</v>
      </c>
      <c r="M4" s="34">
        <f t="shared" ref="M4:M21" si="2">LOG(L4+1)*4/3</f>
        <v>0.45656357442960838</v>
      </c>
      <c r="N4" s="35">
        <f t="shared" ref="N4:N21" si="3">(K4)*(K4)*(L4)</f>
        <v>4.8</v>
      </c>
      <c r="O4" s="35">
        <f t="shared" ref="O4:O21" si="4">(K4+1)*(K4+1)*L4</f>
        <v>10.799999999999999</v>
      </c>
      <c r="P4" s="36">
        <v>5.3</v>
      </c>
      <c r="Q4" s="37">
        <f t="shared" ref="Q4:Q21" si="5">P4*10+19</f>
        <v>72</v>
      </c>
      <c r="R4" s="38">
        <v>1.5</v>
      </c>
      <c r="S4" s="30">
        <v>5</v>
      </c>
      <c r="T4" s="31">
        <f t="shared" ref="T4:T21" si="6">(S4/7)^0.5</f>
        <v>0.84515425472851657</v>
      </c>
      <c r="U4" s="31">
        <f t="shared" ref="U4:U21" si="7">IF(S4=7,1,((S4+0.99)/7)^0.5)</f>
        <v>0.92504826128926143</v>
      </c>
      <c r="V4" s="39">
        <v>860</v>
      </c>
      <c r="W4" s="40">
        <f t="shared" ref="W4:W21" si="8">V4-AZ4</f>
        <v>0</v>
      </c>
      <c r="X4" s="41">
        <v>370</v>
      </c>
      <c r="Y4" s="42">
        <f t="shared" ref="Y4:Y22" si="9">V4/X4</f>
        <v>2.3243243243243241</v>
      </c>
      <c r="Z4" s="45">
        <v>2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340</v>
      </c>
      <c r="AH4" s="46">
        <v>1758</v>
      </c>
      <c r="AI4" s="43">
        <f t="shared" ref="AI4:AI21" si="10">(AB4+R4+M4)*(S4/7)^0.5</f>
        <v>3.3439065390330511</v>
      </c>
      <c r="AJ4" s="43">
        <f t="shared" ref="AJ4:AJ21" si="11">(AB4+R4+M4)*(IF(S4=7, (S4/7)^0.5, ((S4+1)/7)^0.5))</f>
        <v>3.6630660832348627</v>
      </c>
      <c r="AK4" s="42">
        <f t="shared" ref="AK4:AK21" si="12">(((AA4+R4+M4)+(AD4+R4+M4)*2)/8)*(S4/7)^0.5</f>
        <v>1.8878306431837819</v>
      </c>
      <c r="AL4" s="42">
        <f t="shared" ref="AL4:AL21" si="13">(1.66*(AE4+M4+R4)+0.55*(AF4+M4+R4)-7.6)*(S4/7)^0.5</f>
        <v>0.49357473267834928</v>
      </c>
      <c r="AM4" s="42">
        <f t="shared" ref="AM4:AM21" si="14">((AF4+M4+R4)*0.7+(AE4+M4+R4)*0.3)*(S4/7)^0.5</f>
        <v>4.2735762192344193</v>
      </c>
      <c r="AN4" s="42">
        <f t="shared" ref="AN4:AN21" si="15">(0.5*(AE4+R4+M4)+ 0.3*(AF4+R4+M4))/10</f>
        <v>0.32652508595436869</v>
      </c>
      <c r="AO4" s="42">
        <f t="shared" ref="AO4:AO21" si="16">(0.4*(AA4+R4+M4)+0.3*(AF4+R4+M4))/10</f>
        <v>0.4969594502100726</v>
      </c>
      <c r="AP4" s="44">
        <f t="shared" ref="AP4:AP21" si="17">(AF4+R4+(LOG(L4)*4/3))*(S4/7)^0.5</f>
        <v>4.7375755569959823</v>
      </c>
      <c r="AQ4" s="44">
        <f t="shared" ref="AQ4:AQ21" si="18">(AF4+R4+(LOG(L4)*4/3))*(IF(S4=7, (S4/7)^0.5, ((S4+1)/7)^0.5))</f>
        <v>5.1897540009036023</v>
      </c>
      <c r="AR4" s="47">
        <v>-1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17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8.7410714285714288</v>
      </c>
      <c r="D5" s="306" t="s">
        <v>62</v>
      </c>
      <c r="E5" s="50">
        <v>27</v>
      </c>
      <c r="F5" s="51">
        <f ca="1">$D$1-43627</f>
        <v>29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2900</v>
      </c>
      <c r="W5" s="40">
        <f t="shared" si="8"/>
        <v>590</v>
      </c>
      <c r="X5" s="39">
        <v>890</v>
      </c>
      <c r="Y5" s="42">
        <f>V5/X5</f>
        <v>3.2584269662921348</v>
      </c>
      <c r="Z5" s="45">
        <f>5+1/3*80/90+1/3</f>
        <v>5.6296296296296289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5.5+1*80/90+1</f>
        <v>7.3888888888888893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10.388888888888889</v>
      </c>
      <c r="AZ5" s="39">
        <v>2310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14.633928571428571</v>
      </c>
      <c r="D6" s="306" t="s">
        <v>59</v>
      </c>
      <c r="E6" s="50">
        <v>21</v>
      </c>
      <c r="F6" s="51">
        <f ca="1">$D$1-43615</f>
        <v>41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5</v>
      </c>
      <c r="T6" s="31">
        <f t="shared" si="6"/>
        <v>0.84515425472851657</v>
      </c>
      <c r="U6" s="31">
        <f t="shared" si="7"/>
        <v>0.92504826128926143</v>
      </c>
      <c r="V6" s="39">
        <v>2450</v>
      </c>
      <c r="W6" s="40">
        <f t="shared" si="8"/>
        <v>420</v>
      </c>
      <c r="X6" s="39">
        <v>990</v>
      </c>
      <c r="Y6" s="42">
        <f t="shared" si="9"/>
        <v>2.4747474747474749</v>
      </c>
      <c r="Z6" s="45">
        <f>5+1/3*39/90</f>
        <v>5.1444444444444448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1.8053861266897495</v>
      </c>
      <c r="AJ6" s="43">
        <f t="shared" si="11"/>
        <v>1.9777014131897108</v>
      </c>
      <c r="AK6" s="42">
        <f t="shared" si="12"/>
        <v>0.88830836119078527</v>
      </c>
      <c r="AL6" s="42">
        <f t="shared" si="13"/>
        <v>-0.57392963554964316</v>
      </c>
      <c r="AM6" s="42">
        <f t="shared" si="14"/>
        <v>4.1718180399295957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4.9875707765219355</v>
      </c>
      <c r="AQ6" s="44">
        <f t="shared" si="18"/>
        <v>5.4636100429092433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2030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3.8392857142857144</v>
      </c>
      <c r="D7" s="204" t="s">
        <v>65</v>
      </c>
      <c r="E7" s="27">
        <v>32</v>
      </c>
      <c r="F7" s="28">
        <f ca="1">$D$1-43526-112</f>
        <v>18</v>
      </c>
      <c r="G7" s="56"/>
      <c r="H7" s="30">
        <v>0</v>
      </c>
      <c r="I7" s="30">
        <v>2</v>
      </c>
      <c r="J7" s="31">
        <f t="shared" si="1"/>
        <v>2.63E-2</v>
      </c>
      <c r="K7" s="32">
        <v>3</v>
      </c>
      <c r="L7" s="33">
        <v>4</v>
      </c>
      <c r="M7" s="34">
        <f t="shared" si="2"/>
        <v>0.93196000578135851</v>
      </c>
      <c r="N7" s="35">
        <f t="shared" si="3"/>
        <v>36</v>
      </c>
      <c r="O7" s="35">
        <f t="shared" si="4"/>
        <v>64</v>
      </c>
      <c r="P7" s="36">
        <v>5</v>
      </c>
      <c r="Q7" s="37">
        <f t="shared" si="5"/>
        <v>69</v>
      </c>
      <c r="R7" s="38">
        <v>1.5</v>
      </c>
      <c r="S7" s="30">
        <v>3</v>
      </c>
      <c r="T7" s="31">
        <f t="shared" si="6"/>
        <v>0.65465367070797709</v>
      </c>
      <c r="U7" s="31">
        <f t="shared" si="7"/>
        <v>0.75498344352707503</v>
      </c>
      <c r="V7" s="39">
        <v>450</v>
      </c>
      <c r="W7" s="40">
        <f t="shared" si="8"/>
        <v>-40</v>
      </c>
      <c r="X7" s="41">
        <v>310</v>
      </c>
      <c r="Y7" s="42">
        <f t="shared" si="9"/>
        <v>1.4516129032258065</v>
      </c>
      <c r="Z7" s="45">
        <v>1</v>
      </c>
      <c r="AA7" s="34">
        <v>5</v>
      </c>
      <c r="AB7" s="45">
        <v>4</v>
      </c>
      <c r="AC7" s="34">
        <v>4.95</v>
      </c>
      <c r="AD7" s="45">
        <v>4</v>
      </c>
      <c r="AE7" s="34">
        <v>2</v>
      </c>
      <c r="AF7" s="45">
        <v>5</v>
      </c>
      <c r="AG7" s="46">
        <v>443</v>
      </c>
      <c r="AH7" s="46">
        <v>-53</v>
      </c>
      <c r="AI7" s="43">
        <f t="shared" si="10"/>
        <v>4.2107062276316682</v>
      </c>
      <c r="AJ7" s="43">
        <f t="shared" si="11"/>
        <v>4.8621047480031541</v>
      </c>
      <c r="AK7" s="42">
        <f t="shared" si="12"/>
        <v>1.6608465442003726</v>
      </c>
      <c r="AL7" s="42">
        <f t="shared" si="13"/>
        <v>2.5169021978242641</v>
      </c>
      <c r="AM7" s="42">
        <f t="shared" si="14"/>
        <v>4.2761715947024657</v>
      </c>
      <c r="AN7" s="42">
        <f t="shared" si="15"/>
        <v>0.44455680046250867</v>
      </c>
      <c r="AO7" s="42">
        <f t="shared" si="16"/>
        <v>0.52023720040469512</v>
      </c>
      <c r="AP7" s="44">
        <f t="shared" si="17"/>
        <v>4.7807699040142024</v>
      </c>
      <c r="AQ7" s="44">
        <f t="shared" si="18"/>
        <v>5.5203575820325224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490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9.2946428571428577</v>
      </c>
      <c r="D8" s="194" t="s">
        <v>67</v>
      </c>
      <c r="E8" s="27">
        <v>26</v>
      </c>
      <c r="F8" s="28">
        <f ca="1">$D$1-43577</f>
        <v>79</v>
      </c>
      <c r="G8" s="56"/>
      <c r="H8" s="30">
        <v>2</v>
      </c>
      <c r="I8" s="30">
        <v>4</v>
      </c>
      <c r="J8" s="31">
        <f t="shared" si="1"/>
        <v>6.1499999999999999E-2</v>
      </c>
      <c r="K8" s="32">
        <v>3</v>
      </c>
      <c r="L8" s="33">
        <v>3</v>
      </c>
      <c r="M8" s="34">
        <f t="shared" si="2"/>
        <v>0.80274665510394982</v>
      </c>
      <c r="N8" s="35">
        <f t="shared" si="3"/>
        <v>27</v>
      </c>
      <c r="O8" s="35">
        <f t="shared" si="4"/>
        <v>48</v>
      </c>
      <c r="P8" s="36">
        <v>4.8</v>
      </c>
      <c r="Q8" s="37">
        <f t="shared" si="5"/>
        <v>67</v>
      </c>
      <c r="R8" s="38">
        <v>1.5</v>
      </c>
      <c r="S8" s="30">
        <v>5</v>
      </c>
      <c r="T8" s="31">
        <f t="shared" si="6"/>
        <v>0.84515425472851657</v>
      </c>
      <c r="U8" s="31">
        <f t="shared" si="7"/>
        <v>0.92504826128926143</v>
      </c>
      <c r="V8" s="39">
        <v>1180</v>
      </c>
      <c r="W8" s="40">
        <f t="shared" si="8"/>
        <v>80</v>
      </c>
      <c r="X8" s="41">
        <v>390</v>
      </c>
      <c r="Y8" s="42">
        <f t="shared" si="9"/>
        <v>3.0256410256410255</v>
      </c>
      <c r="Z8" s="45">
        <v>0</v>
      </c>
      <c r="AA8" s="34">
        <v>6</v>
      </c>
      <c r="AB8" s="45">
        <v>2</v>
      </c>
      <c r="AC8" s="34">
        <v>5</v>
      </c>
      <c r="AD8" s="45">
        <v>3</v>
      </c>
      <c r="AE8" s="34">
        <v>1</v>
      </c>
      <c r="AF8" s="45">
        <v>4</v>
      </c>
      <c r="AG8" s="46">
        <v>375</v>
      </c>
      <c r="AH8" s="46">
        <v>575</v>
      </c>
      <c r="AI8" s="43">
        <f t="shared" si="10"/>
        <v>3.6364846425799962</v>
      </c>
      <c r="AJ8" s="43">
        <f t="shared" si="11"/>
        <v>3.9835693375243508</v>
      </c>
      <c r="AK8" s="42">
        <f t="shared" si="12"/>
        <v>1.9975474320138862</v>
      </c>
      <c r="AL8" s="42">
        <f t="shared" si="13"/>
        <v>1.1401723415170968</v>
      </c>
      <c r="AM8" s="42">
        <f t="shared" si="14"/>
        <v>4.5661543227813652</v>
      </c>
      <c r="AN8" s="42">
        <f t="shared" si="15"/>
        <v>0.35421973240831595</v>
      </c>
      <c r="AO8" s="42">
        <f t="shared" si="16"/>
        <v>0.52119226585727652</v>
      </c>
      <c r="AP8" s="44">
        <f t="shared" si="17"/>
        <v>5.1860031456038156</v>
      </c>
      <c r="AQ8" s="44">
        <f t="shared" si="18"/>
        <v>5.6809818122799163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1100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7.2678571428571432</v>
      </c>
      <c r="D9" s="251" t="s">
        <v>69</v>
      </c>
      <c r="E9" s="50">
        <v>28</v>
      </c>
      <c r="F9" s="28">
        <f ca="1">$D$1-43574</f>
        <v>82</v>
      </c>
      <c r="G9" s="29"/>
      <c r="H9" s="37">
        <v>0</v>
      </c>
      <c r="I9" s="37">
        <v>4</v>
      </c>
      <c r="J9" s="31">
        <f t="shared" si="1"/>
        <v>2.63E-2</v>
      </c>
      <c r="K9" s="32">
        <v>5</v>
      </c>
      <c r="L9" s="53">
        <v>4.0999999999999996</v>
      </c>
      <c r="M9" s="34">
        <f t="shared" si="2"/>
        <v>0.94342690146391517</v>
      </c>
      <c r="N9" s="35">
        <f t="shared" si="3"/>
        <v>102.49999999999999</v>
      </c>
      <c r="O9" s="35">
        <f t="shared" si="4"/>
        <v>147.6</v>
      </c>
      <c r="P9" s="54">
        <v>6.1</v>
      </c>
      <c r="Q9" s="37">
        <f t="shared" si="5"/>
        <v>80</v>
      </c>
      <c r="R9" s="38">
        <v>1.5</v>
      </c>
      <c r="S9" s="37">
        <v>6</v>
      </c>
      <c r="T9" s="31">
        <f t="shared" si="6"/>
        <v>0.92582009977255142</v>
      </c>
      <c r="U9" s="31">
        <f t="shared" si="7"/>
        <v>0.99928545900129484</v>
      </c>
      <c r="V9" s="310">
        <v>570</v>
      </c>
      <c r="W9" s="40">
        <f t="shared" si="8"/>
        <v>-50</v>
      </c>
      <c r="X9" s="39">
        <v>300</v>
      </c>
      <c r="Y9" s="42">
        <f t="shared" si="9"/>
        <v>1.9</v>
      </c>
      <c r="Z9" s="45">
        <v>0</v>
      </c>
      <c r="AA9" s="34">
        <v>5</v>
      </c>
      <c r="AB9" s="45">
        <v>5</v>
      </c>
      <c r="AC9" s="34">
        <v>2</v>
      </c>
      <c r="AD9" s="45">
        <v>1</v>
      </c>
      <c r="AE9" s="34">
        <v>1</v>
      </c>
      <c r="AF9" s="45">
        <v>3</v>
      </c>
      <c r="AG9" s="46">
        <v>315</v>
      </c>
      <c r="AH9" s="46">
        <v>241</v>
      </c>
      <c r="AI9" s="43">
        <f t="shared" si="10"/>
        <v>6.8912742365630155</v>
      </c>
      <c r="AJ9" s="43">
        <f t="shared" si="11"/>
        <v>7.4434269014639156</v>
      </c>
      <c r="AK9" s="42">
        <f t="shared" si="12"/>
        <v>1.6584077389385794</v>
      </c>
      <c r="AL9" s="42">
        <f t="shared" si="13"/>
        <v>1.0276357322933261</v>
      </c>
      <c r="AM9" s="42">
        <f t="shared" si="14"/>
        <v>4.4841419771543816</v>
      </c>
      <c r="AN9" s="42">
        <f t="shared" si="15"/>
        <v>0.33547415211711323</v>
      </c>
      <c r="AO9" s="42">
        <f t="shared" si="16"/>
        <v>0.46103988310247412</v>
      </c>
      <c r="AP9" s="44">
        <f t="shared" si="17"/>
        <v>4.9226272641328466</v>
      </c>
      <c r="AQ9" s="44">
        <f t="shared" si="18"/>
        <v>5.3170451422929803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620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5.0178571428571432</v>
      </c>
      <c r="D10" s="251" t="s">
        <v>71</v>
      </c>
      <c r="E10" s="50">
        <v>30</v>
      </c>
      <c r="F10" s="51">
        <f ca="1">$D$1-43546</f>
        <v>110</v>
      </c>
      <c r="G10" s="29"/>
      <c r="H10" s="37">
        <v>1</v>
      </c>
      <c r="I10" s="37">
        <v>2</v>
      </c>
      <c r="J10" s="31">
        <f t="shared" si="1"/>
        <v>4.9399999999999999E-2</v>
      </c>
      <c r="K10" s="32">
        <v>4</v>
      </c>
      <c r="L10" s="53">
        <v>5.0999999999999996</v>
      </c>
      <c r="M10" s="34">
        <f t="shared" si="2"/>
        <v>1.0471064466810227</v>
      </c>
      <c r="N10" s="35">
        <f t="shared" si="3"/>
        <v>81.599999999999994</v>
      </c>
      <c r="O10" s="35">
        <f t="shared" si="4"/>
        <v>127.49999999999999</v>
      </c>
      <c r="P10" s="54">
        <v>5.8</v>
      </c>
      <c r="Q10" s="37">
        <f t="shared" si="5"/>
        <v>77</v>
      </c>
      <c r="R10" s="38">
        <v>1.5</v>
      </c>
      <c r="S10" s="37">
        <v>5</v>
      </c>
      <c r="T10" s="31">
        <f t="shared" si="6"/>
        <v>0.84515425472851657</v>
      </c>
      <c r="U10" s="31">
        <f t="shared" si="7"/>
        <v>0.92504826128926143</v>
      </c>
      <c r="V10" s="39">
        <v>320</v>
      </c>
      <c r="W10" s="40">
        <f t="shared" si="8"/>
        <v>-10</v>
      </c>
      <c r="X10" s="39">
        <v>280</v>
      </c>
      <c r="Y10" s="42">
        <f t="shared" si="9"/>
        <v>1.1428571428571428</v>
      </c>
      <c r="Z10" s="45">
        <v>0</v>
      </c>
      <c r="AA10" s="34">
        <v>5</v>
      </c>
      <c r="AB10" s="45">
        <v>4</v>
      </c>
      <c r="AC10" s="34">
        <v>3</v>
      </c>
      <c r="AD10" s="45">
        <v>2</v>
      </c>
      <c r="AE10" s="34">
        <v>0</v>
      </c>
      <c r="AF10" s="45">
        <v>6</v>
      </c>
      <c r="AG10" s="46">
        <v>324</v>
      </c>
      <c r="AH10" s="46">
        <v>-33</v>
      </c>
      <c r="AI10" s="43">
        <f t="shared" si="10"/>
        <v>5.5333148695729655</v>
      </c>
      <c r="AJ10" s="43">
        <f t="shared" si="11"/>
        <v>6.0614427436877385</v>
      </c>
      <c r="AK10" s="42">
        <f t="shared" si="12"/>
        <v>1.7580602305666686</v>
      </c>
      <c r="AL10" s="42">
        <f t="shared" si="13"/>
        <v>1.1232989546235472</v>
      </c>
      <c r="AM10" s="42">
        <f t="shared" si="14"/>
        <v>5.7023457205186681</v>
      </c>
      <c r="AN10" s="42">
        <f t="shared" si="15"/>
        <v>0.38376851573448179</v>
      </c>
      <c r="AO10" s="42">
        <f t="shared" si="16"/>
        <v>0.5582974512676715</v>
      </c>
      <c r="AP10" s="44">
        <f t="shared" si="17"/>
        <v>7.1359981702614439</v>
      </c>
      <c r="AQ10" s="44">
        <f t="shared" si="18"/>
        <v>7.8170943363355674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330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10.705357142857142</v>
      </c>
      <c r="D11" s="194" t="s">
        <v>74</v>
      </c>
      <c r="E11" s="27">
        <v>25</v>
      </c>
      <c r="F11" s="28">
        <f ca="1">$D$1-43623</f>
        <v>33</v>
      </c>
      <c r="G11" s="56" t="s">
        <v>75</v>
      </c>
      <c r="H11" s="30">
        <v>4</v>
      </c>
      <c r="I11" s="30">
        <v>2</v>
      </c>
      <c r="J11" s="31">
        <f t="shared" si="1"/>
        <v>0.157</v>
      </c>
      <c r="K11" s="55">
        <v>5</v>
      </c>
      <c r="L11" s="33">
        <v>2</v>
      </c>
      <c r="M11" s="34">
        <f t="shared" si="2"/>
        <v>0.63616167295954995</v>
      </c>
      <c r="N11" s="35">
        <f t="shared" si="3"/>
        <v>50</v>
      </c>
      <c r="O11" s="35">
        <f t="shared" si="4"/>
        <v>72</v>
      </c>
      <c r="P11" s="36">
        <v>6</v>
      </c>
      <c r="Q11" s="37">
        <f t="shared" si="5"/>
        <v>79</v>
      </c>
      <c r="R11" s="38">
        <v>1.5</v>
      </c>
      <c r="S11" s="30">
        <v>4</v>
      </c>
      <c r="T11" s="31">
        <f t="shared" si="6"/>
        <v>0.7559289460184544</v>
      </c>
      <c r="U11" s="31">
        <f t="shared" si="7"/>
        <v>0.84430867747355465</v>
      </c>
      <c r="V11" s="41">
        <v>820</v>
      </c>
      <c r="W11" s="40">
        <f t="shared" si="8"/>
        <v>-40</v>
      </c>
      <c r="X11" s="41">
        <v>330</v>
      </c>
      <c r="Y11" s="42">
        <f t="shared" si="9"/>
        <v>2.4848484848484849</v>
      </c>
      <c r="Z11" s="45">
        <v>1</v>
      </c>
      <c r="AA11" s="34">
        <v>4</v>
      </c>
      <c r="AB11" s="45">
        <v>5</v>
      </c>
      <c r="AC11" s="34">
        <v>2</v>
      </c>
      <c r="AD11" s="45">
        <v>4</v>
      </c>
      <c r="AE11" s="34">
        <v>2</v>
      </c>
      <c r="AF11" s="45">
        <v>5</v>
      </c>
      <c r="AG11" s="46">
        <v>381</v>
      </c>
      <c r="AH11" s="46">
        <v>779</v>
      </c>
      <c r="AI11" s="43">
        <f t="shared" si="10"/>
        <v>5.3944311720576028</v>
      </c>
      <c r="AJ11" s="43">
        <f t="shared" si="11"/>
        <v>6.0311574003323321</v>
      </c>
      <c r="AK11" s="42">
        <f t="shared" si="12"/>
        <v>1.7394383347646807</v>
      </c>
      <c r="AL11" s="42">
        <f t="shared" si="13"/>
        <v>2.4121067493351451</v>
      </c>
      <c r="AM11" s="42">
        <f t="shared" si="14"/>
        <v>4.7140951206409936</v>
      </c>
      <c r="AN11" s="42">
        <f t="shared" si="15"/>
        <v>0.42089293383676391</v>
      </c>
      <c r="AO11" s="42">
        <f t="shared" si="16"/>
        <v>0.45953131710716849</v>
      </c>
      <c r="AP11" s="44">
        <f t="shared" si="17"/>
        <v>5.2169478655762385</v>
      </c>
      <c r="AQ11" s="44">
        <f t="shared" si="18"/>
        <v>5.8327250312504519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860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14.044642857142858</v>
      </c>
      <c r="D12" s="204" t="s">
        <v>77</v>
      </c>
      <c r="E12" s="50">
        <v>21</v>
      </c>
      <c r="F12" s="28">
        <f ca="1">$D$1-43549</f>
        <v>107</v>
      </c>
      <c r="G12" s="29"/>
      <c r="H12" s="37">
        <v>2</v>
      </c>
      <c r="I12" s="37">
        <v>1</v>
      </c>
      <c r="J12" s="31">
        <f t="shared" si="1"/>
        <v>6.1499999999999999E-2</v>
      </c>
      <c r="K12" s="32">
        <v>2</v>
      </c>
      <c r="L12" s="53">
        <v>2</v>
      </c>
      <c r="M12" s="34">
        <f t="shared" si="2"/>
        <v>0.63616167295954995</v>
      </c>
      <c r="N12" s="35">
        <f t="shared" si="3"/>
        <v>8</v>
      </c>
      <c r="O12" s="35">
        <f t="shared" si="4"/>
        <v>18</v>
      </c>
      <c r="P12" s="54">
        <v>5</v>
      </c>
      <c r="Q12" s="37">
        <f t="shared" si="5"/>
        <v>69</v>
      </c>
      <c r="R12" s="38">
        <v>1.5</v>
      </c>
      <c r="S12" s="37">
        <v>5</v>
      </c>
      <c r="T12" s="31">
        <f t="shared" si="6"/>
        <v>0.84515425472851657</v>
      </c>
      <c r="U12" s="31">
        <f t="shared" si="7"/>
        <v>0.92504826128926143</v>
      </c>
      <c r="V12" s="39">
        <v>760</v>
      </c>
      <c r="W12" s="40">
        <f t="shared" si="8"/>
        <v>0</v>
      </c>
      <c r="X12" s="39">
        <v>310</v>
      </c>
      <c r="Y12" s="42">
        <f t="shared" si="9"/>
        <v>2.4516129032258065</v>
      </c>
      <c r="Z12" s="45">
        <v>0</v>
      </c>
      <c r="AA12" s="34">
        <v>4</v>
      </c>
      <c r="AB12" s="45">
        <v>5</v>
      </c>
      <c r="AC12" s="34">
        <v>3</v>
      </c>
      <c r="AD12" s="45">
        <v>3</v>
      </c>
      <c r="AE12" s="34">
        <v>1</v>
      </c>
      <c r="AF12" s="45">
        <v>4</v>
      </c>
      <c r="AG12" s="46">
        <v>338</v>
      </c>
      <c r="AH12" s="46">
        <v>1229</v>
      </c>
      <c r="AI12" s="43">
        <f t="shared" si="10"/>
        <v>6.0311574003323321</v>
      </c>
      <c r="AJ12" s="43">
        <f t="shared" si="11"/>
        <v>6.6068019120524681</v>
      </c>
      <c r="AK12" s="42">
        <f t="shared" si="12"/>
        <v>1.7334626159193018</v>
      </c>
      <c r="AL12" s="42">
        <f t="shared" si="13"/>
        <v>0.82902642729969456</v>
      </c>
      <c r="AM12" s="42">
        <f t="shared" si="14"/>
        <v>4.4253643163481513</v>
      </c>
      <c r="AN12" s="42">
        <f t="shared" si="15"/>
        <v>0.340892933836764</v>
      </c>
      <c r="AO12" s="42">
        <f t="shared" si="16"/>
        <v>0.42953131710716852</v>
      </c>
      <c r="AP12" s="44">
        <f t="shared" si="17"/>
        <v>4.9875707765219355</v>
      </c>
      <c r="AQ12" s="44">
        <f t="shared" si="18"/>
        <v>5.4636100429092433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760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16.357142857142858</v>
      </c>
      <c r="D13" s="204" t="s">
        <v>79</v>
      </c>
      <c r="E13" s="50">
        <v>19</v>
      </c>
      <c r="F13" s="28">
        <f ca="1">$D$1-43584</f>
        <v>72</v>
      </c>
      <c r="G13" s="29"/>
      <c r="H13" s="37">
        <v>0</v>
      </c>
      <c r="I13" s="37">
        <v>4</v>
      </c>
      <c r="J13" s="31">
        <f t="shared" si="1"/>
        <v>2.63E-2</v>
      </c>
      <c r="K13" s="32">
        <v>2</v>
      </c>
      <c r="L13" s="53">
        <v>1</v>
      </c>
      <c r="M13" s="34">
        <f t="shared" si="2"/>
        <v>0.40137332755197491</v>
      </c>
      <c r="N13" s="35">
        <f t="shared" si="3"/>
        <v>4</v>
      </c>
      <c r="O13" s="35">
        <f t="shared" si="4"/>
        <v>9</v>
      </c>
      <c r="P13" s="54">
        <v>4.9000000000000004</v>
      </c>
      <c r="Q13" s="37">
        <f t="shared" si="5"/>
        <v>68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920</v>
      </c>
      <c r="W13" s="40">
        <f t="shared" si="8"/>
        <v>-30</v>
      </c>
      <c r="X13" s="39">
        <v>330</v>
      </c>
      <c r="Y13" s="42">
        <f t="shared" si="9"/>
        <v>2.7878787878787881</v>
      </c>
      <c r="Z13" s="45">
        <v>0</v>
      </c>
      <c r="AA13" s="34">
        <v>3</v>
      </c>
      <c r="AB13" s="45">
        <v>5</v>
      </c>
      <c r="AC13" s="34">
        <v>1</v>
      </c>
      <c r="AD13" s="45">
        <v>5</v>
      </c>
      <c r="AE13" s="34">
        <v>2</v>
      </c>
      <c r="AF13" s="45">
        <v>5</v>
      </c>
      <c r="AG13" s="46">
        <v>354</v>
      </c>
      <c r="AH13" s="46">
        <v>1602</v>
      </c>
      <c r="AI13" s="43">
        <f t="shared" si="10"/>
        <v>5.8327250312504519</v>
      </c>
      <c r="AJ13" s="43">
        <f t="shared" si="11"/>
        <v>6.3894301426817952</v>
      </c>
      <c r="AK13" s="42">
        <f t="shared" si="12"/>
        <v>1.9759833230367903</v>
      </c>
      <c r="AL13" s="42">
        <f t="shared" si="13"/>
        <v>2.2582817945787612</v>
      </c>
      <c r="AM13" s="42">
        <f t="shared" si="14"/>
        <v>5.0720862019947868</v>
      </c>
      <c r="AN13" s="42">
        <f t="shared" si="15"/>
        <v>0.40210986620415801</v>
      </c>
      <c r="AO13" s="42">
        <f t="shared" si="16"/>
        <v>0.40309613292863827</v>
      </c>
      <c r="AP13" s="44">
        <f t="shared" si="17"/>
        <v>5.4935026557353579</v>
      </c>
      <c r="AQ13" s="44">
        <f t="shared" si="18"/>
        <v>6.017830648521584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950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12.803571428571429</v>
      </c>
      <c r="D14" s="204" t="s">
        <v>81</v>
      </c>
      <c r="E14" s="50">
        <v>23</v>
      </c>
      <c r="F14" s="28">
        <f ca="1">$D$1-43634</f>
        <v>22</v>
      </c>
      <c r="G14" s="29"/>
      <c r="H14" s="37">
        <v>3</v>
      </c>
      <c r="I14" s="37">
        <v>4</v>
      </c>
      <c r="J14" s="31">
        <f t="shared" si="1"/>
        <v>0.1158</v>
      </c>
      <c r="K14" s="32">
        <v>5</v>
      </c>
      <c r="L14" s="53">
        <v>2</v>
      </c>
      <c r="M14" s="34">
        <f t="shared" si="2"/>
        <v>0.63616167295954995</v>
      </c>
      <c r="N14" s="35">
        <f t="shared" si="3"/>
        <v>50</v>
      </c>
      <c r="O14" s="35">
        <f t="shared" si="4"/>
        <v>72</v>
      </c>
      <c r="P14" s="54">
        <v>5.7</v>
      </c>
      <c r="Q14" s="37">
        <f t="shared" si="5"/>
        <v>76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1400</v>
      </c>
      <c r="W14" s="40">
        <f t="shared" si="8"/>
        <v>20</v>
      </c>
      <c r="X14" s="39">
        <v>430</v>
      </c>
      <c r="Y14" s="42">
        <f t="shared" si="9"/>
        <v>3.2558139534883721</v>
      </c>
      <c r="Z14" s="45">
        <v>0</v>
      </c>
      <c r="AA14" s="34">
        <v>5</v>
      </c>
      <c r="AB14" s="45">
        <v>6</v>
      </c>
      <c r="AC14" s="34">
        <v>2</v>
      </c>
      <c r="AD14" s="45">
        <v>3</v>
      </c>
      <c r="AE14" s="34">
        <v>1</v>
      </c>
      <c r="AF14" s="45">
        <v>4</v>
      </c>
      <c r="AG14" s="46">
        <v>394</v>
      </c>
      <c r="AH14" s="46">
        <v>1098</v>
      </c>
      <c r="AI14" s="43">
        <f t="shared" si="10"/>
        <v>6.8763116550608494</v>
      </c>
      <c r="AJ14" s="43">
        <f t="shared" si="11"/>
        <v>7.53262201182502</v>
      </c>
      <c r="AK14" s="42">
        <f t="shared" si="12"/>
        <v>1.8391068977603664</v>
      </c>
      <c r="AL14" s="42">
        <f t="shared" si="13"/>
        <v>0.82902642729969456</v>
      </c>
      <c r="AM14" s="42">
        <f t="shared" si="14"/>
        <v>4.4253643163481513</v>
      </c>
      <c r="AN14" s="42">
        <f t="shared" si="15"/>
        <v>0.340892933836764</v>
      </c>
      <c r="AO14" s="42">
        <f t="shared" si="16"/>
        <v>0.46953131710716856</v>
      </c>
      <c r="AP14" s="44">
        <f t="shared" si="17"/>
        <v>4.9875707765219355</v>
      </c>
      <c r="AQ14" s="44">
        <f t="shared" si="18"/>
        <v>5.4636100429092433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1380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11.821428571428571</v>
      </c>
      <c r="D15" s="204" t="s">
        <v>83</v>
      </c>
      <c r="E15" s="50">
        <v>24</v>
      </c>
      <c r="F15" s="28">
        <f ca="1">$D$1-43636</f>
        <v>20</v>
      </c>
      <c r="G15" s="29"/>
      <c r="H15" s="37">
        <v>2</v>
      </c>
      <c r="I15" s="37">
        <v>2</v>
      </c>
      <c r="J15" s="31">
        <f t="shared" si="1"/>
        <v>6.1499999999999999E-2</v>
      </c>
      <c r="K15" s="32">
        <v>3</v>
      </c>
      <c r="L15" s="53">
        <v>2</v>
      </c>
      <c r="M15" s="34">
        <f t="shared" si="2"/>
        <v>0.63616167295954995</v>
      </c>
      <c r="N15" s="35">
        <f t="shared" si="3"/>
        <v>18</v>
      </c>
      <c r="O15" s="35">
        <f t="shared" si="4"/>
        <v>32</v>
      </c>
      <c r="P15" s="54">
        <v>5.3</v>
      </c>
      <c r="Q15" s="37">
        <f t="shared" si="5"/>
        <v>72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1020</v>
      </c>
      <c r="W15" s="40">
        <f t="shared" si="8"/>
        <v>30</v>
      </c>
      <c r="X15" s="39">
        <v>410</v>
      </c>
      <c r="Y15" s="42">
        <f t="shared" si="9"/>
        <v>2.4878048780487805</v>
      </c>
      <c r="Z15" s="45">
        <v>0</v>
      </c>
      <c r="AA15" s="34">
        <v>3</v>
      </c>
      <c r="AB15" s="45">
        <v>6</v>
      </c>
      <c r="AC15" s="34">
        <v>2</v>
      </c>
      <c r="AD15" s="45">
        <v>4</v>
      </c>
      <c r="AE15" s="34">
        <v>3</v>
      </c>
      <c r="AF15" s="45">
        <v>4</v>
      </c>
      <c r="AG15" s="46">
        <v>391</v>
      </c>
      <c r="AH15" s="46">
        <v>950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3.6349385529983698</v>
      </c>
      <c r="AM15" s="42">
        <f t="shared" si="14"/>
        <v>4.9324568691852608</v>
      </c>
      <c r="AN15" s="42">
        <f t="shared" si="15"/>
        <v>0.44089293383676403</v>
      </c>
      <c r="AO15" s="42">
        <f t="shared" si="16"/>
        <v>0.38953131710716848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990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8.7857142857142865</v>
      </c>
      <c r="D16" s="204" t="s">
        <v>85</v>
      </c>
      <c r="E16" s="50">
        <v>27</v>
      </c>
      <c r="F16" s="28">
        <f ca="1">$D$1-43632</f>
        <v>24</v>
      </c>
      <c r="G16" s="29" t="s">
        <v>86</v>
      </c>
      <c r="H16" s="37">
        <v>3</v>
      </c>
      <c r="I16" s="37">
        <v>4</v>
      </c>
      <c r="J16" s="31">
        <f t="shared" si="1"/>
        <v>0.1158</v>
      </c>
      <c r="K16" s="32">
        <v>0</v>
      </c>
      <c r="L16" s="53">
        <v>4</v>
      </c>
      <c r="M16" s="34">
        <f t="shared" si="2"/>
        <v>0.93196000578135851</v>
      </c>
      <c r="N16" s="35">
        <f t="shared" si="3"/>
        <v>0</v>
      </c>
      <c r="O16" s="35">
        <f t="shared" si="4"/>
        <v>4</v>
      </c>
      <c r="P16" s="54">
        <v>5.0999999999999996</v>
      </c>
      <c r="Q16" s="37">
        <f t="shared" si="5"/>
        <v>70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1290</v>
      </c>
      <c r="W16" s="40">
        <f t="shared" si="8"/>
        <v>-10</v>
      </c>
      <c r="X16" s="39">
        <v>330</v>
      </c>
      <c r="Y16" s="42">
        <f t="shared" si="9"/>
        <v>3.9090909090909092</v>
      </c>
      <c r="Z16" s="45">
        <v>0</v>
      </c>
      <c r="AA16" s="34">
        <v>5</v>
      </c>
      <c r="AB16" s="45">
        <v>5</v>
      </c>
      <c r="AC16" s="34">
        <v>5</v>
      </c>
      <c r="AD16" s="45">
        <v>3</v>
      </c>
      <c r="AE16" s="34">
        <v>2</v>
      </c>
      <c r="AF16" s="45">
        <v>2</v>
      </c>
      <c r="AG16" s="46">
        <v>423</v>
      </c>
      <c r="AH16" s="46">
        <v>552</v>
      </c>
      <c r="AI16" s="43">
        <f t="shared" si="10"/>
        <v>5.6180336940216087</v>
      </c>
      <c r="AJ16" s="43">
        <f t="shared" si="11"/>
        <v>6.2811526198582861</v>
      </c>
      <c r="AK16" s="42">
        <f t="shared" si="12"/>
        <v>1.7287981622488759</v>
      </c>
      <c r="AL16" s="42">
        <f t="shared" si="13"/>
        <v>1.6589855619451492</v>
      </c>
      <c r="AM16" s="42">
        <f t="shared" si="14"/>
        <v>3.3502468559662448</v>
      </c>
      <c r="AN16" s="42">
        <f t="shared" si="15"/>
        <v>0.3545568004625087</v>
      </c>
      <c r="AO16" s="42">
        <f t="shared" si="16"/>
        <v>0.43023720040469515</v>
      </c>
      <c r="AP16" s="44">
        <f t="shared" si="17"/>
        <v>3.252570743977159</v>
      </c>
      <c r="AQ16" s="44">
        <f t="shared" si="18"/>
        <v>3.6364846425799962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1300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15.035714285714286</v>
      </c>
      <c r="D17" s="204" t="s">
        <v>89</v>
      </c>
      <c r="E17" s="50">
        <v>20</v>
      </c>
      <c r="F17" s="28">
        <f ca="1">$D$1-43548</f>
        <v>108</v>
      </c>
      <c r="G17" s="29"/>
      <c r="H17" s="37">
        <v>1</v>
      </c>
      <c r="I17" s="37">
        <v>1</v>
      </c>
      <c r="J17" s="31">
        <f t="shared" si="1"/>
        <v>4.9399999999999999E-2</v>
      </c>
      <c r="K17" s="32">
        <v>5</v>
      </c>
      <c r="L17" s="53">
        <v>1</v>
      </c>
      <c r="M17" s="34">
        <f t="shared" si="2"/>
        <v>0.40137332755197491</v>
      </c>
      <c r="N17" s="35">
        <f t="shared" si="3"/>
        <v>25</v>
      </c>
      <c r="O17" s="35">
        <f t="shared" si="4"/>
        <v>36</v>
      </c>
      <c r="P17" s="54">
        <v>5.7</v>
      </c>
      <c r="Q17" s="37">
        <f t="shared" si="5"/>
        <v>76</v>
      </c>
      <c r="R17" s="38">
        <v>1.5</v>
      </c>
      <c r="S17" s="37">
        <v>5</v>
      </c>
      <c r="T17" s="31">
        <f t="shared" si="6"/>
        <v>0.84515425472851657</v>
      </c>
      <c r="U17" s="31">
        <f t="shared" si="7"/>
        <v>0.92504826128926143</v>
      </c>
      <c r="V17" s="39">
        <v>1500</v>
      </c>
      <c r="W17" s="40">
        <f t="shared" si="8"/>
        <v>170</v>
      </c>
      <c r="X17" s="39">
        <v>330</v>
      </c>
      <c r="Y17" s="42">
        <f t="shared" si="9"/>
        <v>4.5454545454545459</v>
      </c>
      <c r="Z17" s="45">
        <v>0</v>
      </c>
      <c r="AA17" s="34">
        <v>4</v>
      </c>
      <c r="AB17" s="45">
        <v>5</v>
      </c>
      <c r="AC17" s="34">
        <v>5</v>
      </c>
      <c r="AD17" s="45">
        <v>4</v>
      </c>
      <c r="AE17" s="34">
        <v>1</v>
      </c>
      <c r="AF17" s="45">
        <v>4</v>
      </c>
      <c r="AG17" s="46">
        <v>402</v>
      </c>
      <c r="AH17" s="46">
        <v>1445</v>
      </c>
      <c r="AI17" s="43">
        <f t="shared" si="10"/>
        <v>5.8327250312504519</v>
      </c>
      <c r="AJ17" s="43">
        <f t="shared" si="11"/>
        <v>6.3894301426817952</v>
      </c>
      <c r="AK17" s="42">
        <f t="shared" si="12"/>
        <v>1.8703390411957257</v>
      </c>
      <c r="AL17" s="42">
        <f t="shared" si="13"/>
        <v>0.39049089162873901</v>
      </c>
      <c r="AM17" s="42">
        <f t="shared" si="14"/>
        <v>4.2269319472662703</v>
      </c>
      <c r="AN17" s="42">
        <f t="shared" si="15"/>
        <v>0.32210986620415805</v>
      </c>
      <c r="AO17" s="42">
        <f t="shared" si="16"/>
        <v>0.41309613292863823</v>
      </c>
      <c r="AP17" s="44">
        <f t="shared" si="17"/>
        <v>4.6483484010068414</v>
      </c>
      <c r="AQ17" s="44">
        <f t="shared" si="18"/>
        <v>5.092010548749033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1330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13.196428571428571</v>
      </c>
      <c r="D18" s="204" t="s">
        <v>91</v>
      </c>
      <c r="E18" s="50">
        <v>22</v>
      </c>
      <c r="F18" s="28">
        <f ca="1">$D$1-43566</f>
        <v>90</v>
      </c>
      <c r="G18" s="29"/>
      <c r="H18" s="37">
        <v>4</v>
      </c>
      <c r="I18" s="37">
        <v>0</v>
      </c>
      <c r="J18" s="31">
        <f t="shared" si="1"/>
        <v>0.20669999999999999</v>
      </c>
      <c r="K18" s="32">
        <v>1</v>
      </c>
      <c r="L18" s="53">
        <v>2</v>
      </c>
      <c r="M18" s="34">
        <f t="shared" si="2"/>
        <v>0.63616167295954995</v>
      </c>
      <c r="N18" s="35">
        <f t="shared" si="3"/>
        <v>2</v>
      </c>
      <c r="O18" s="35">
        <f t="shared" si="4"/>
        <v>8</v>
      </c>
      <c r="P18" s="54">
        <v>4.9000000000000004</v>
      </c>
      <c r="Q18" s="37">
        <f t="shared" si="5"/>
        <v>68</v>
      </c>
      <c r="R18" s="38">
        <v>1.5</v>
      </c>
      <c r="S18" s="37">
        <v>5</v>
      </c>
      <c r="T18" s="31">
        <f t="shared" si="6"/>
        <v>0.84515425472851657</v>
      </c>
      <c r="U18" s="31">
        <f t="shared" si="7"/>
        <v>0.92504826128926143</v>
      </c>
      <c r="V18" s="39">
        <v>2240</v>
      </c>
      <c r="W18" s="40">
        <f t="shared" si="8"/>
        <v>-10</v>
      </c>
      <c r="X18" s="39">
        <v>370</v>
      </c>
      <c r="Y18" s="42">
        <f t="shared" si="9"/>
        <v>6.0540540540540544</v>
      </c>
      <c r="Z18" s="45">
        <v>0</v>
      </c>
      <c r="AA18" s="34">
        <v>3</v>
      </c>
      <c r="AB18" s="45">
        <v>5</v>
      </c>
      <c r="AC18" s="34">
        <v>6</v>
      </c>
      <c r="AD18" s="45">
        <v>5</v>
      </c>
      <c r="AE18" s="34">
        <v>2</v>
      </c>
      <c r="AF18" s="45">
        <v>4</v>
      </c>
      <c r="AG18" s="46">
        <v>441</v>
      </c>
      <c r="AH18" s="46">
        <v>1204</v>
      </c>
      <c r="AI18" s="43">
        <f t="shared" si="10"/>
        <v>6.0311574003323321</v>
      </c>
      <c r="AJ18" s="43">
        <f t="shared" si="11"/>
        <v>6.6068019120524681</v>
      </c>
      <c r="AK18" s="42">
        <f t="shared" si="12"/>
        <v>2.0503954614424957</v>
      </c>
      <c r="AL18" s="42">
        <f t="shared" si="13"/>
        <v>2.2319824901490319</v>
      </c>
      <c r="AM18" s="42">
        <f t="shared" si="14"/>
        <v>4.6789105927667061</v>
      </c>
      <c r="AN18" s="42">
        <f t="shared" si="15"/>
        <v>0.39089293383676399</v>
      </c>
      <c r="AO18" s="42">
        <f t="shared" si="16"/>
        <v>0.38953131710716848</v>
      </c>
      <c r="AP18" s="44">
        <f t="shared" si="17"/>
        <v>4.9875707765219355</v>
      </c>
      <c r="AQ18" s="44">
        <f t="shared" si="18"/>
        <v>5.4636100429092433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2250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17.785714285714285</v>
      </c>
      <c r="D19" s="204" t="s">
        <v>94</v>
      </c>
      <c r="E19" s="50">
        <v>18</v>
      </c>
      <c r="F19" s="28">
        <f ca="1">$D$1-43632</f>
        <v>24</v>
      </c>
      <c r="G19" s="29"/>
      <c r="H19" s="37">
        <v>2</v>
      </c>
      <c r="I19" s="37">
        <v>1</v>
      </c>
      <c r="J19" s="31">
        <f t="shared" si="1"/>
        <v>6.1499999999999999E-2</v>
      </c>
      <c r="K19" s="32">
        <v>2</v>
      </c>
      <c r="L19" s="53">
        <v>1</v>
      </c>
      <c r="M19" s="34">
        <f t="shared" si="2"/>
        <v>0.40137332755197491</v>
      </c>
      <c r="N19" s="35">
        <f t="shared" si="3"/>
        <v>4</v>
      </c>
      <c r="O19" s="35">
        <f t="shared" si="4"/>
        <v>9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1310</v>
      </c>
      <c r="W19" s="40">
        <f t="shared" si="8"/>
        <v>30</v>
      </c>
      <c r="X19" s="39">
        <v>410</v>
      </c>
      <c r="Y19" s="42">
        <f t="shared" si="9"/>
        <v>3.1951219512195124</v>
      </c>
      <c r="Z19" s="45">
        <v>0</v>
      </c>
      <c r="AA19" s="34">
        <v>1</v>
      </c>
      <c r="AB19" s="45">
        <v>3</v>
      </c>
      <c r="AC19" s="34">
        <v>5</v>
      </c>
      <c r="AD19" s="45">
        <v>3</v>
      </c>
      <c r="AE19" s="34">
        <v>6</v>
      </c>
      <c r="AF19" s="45">
        <v>5</v>
      </c>
      <c r="AG19" s="46">
        <v>386</v>
      </c>
      <c r="AH19" s="46">
        <v>1860</v>
      </c>
      <c r="AI19" s="43">
        <f t="shared" si="10"/>
        <v>4.142416521793419</v>
      </c>
      <c r="AJ19" s="43">
        <f t="shared" si="11"/>
        <v>4.5377899431366924</v>
      </c>
      <c r="AK19" s="42">
        <f t="shared" si="12"/>
        <v>1.3421176319904029</v>
      </c>
      <c r="AL19" s="42">
        <f t="shared" si="13"/>
        <v>7.8701060459761116</v>
      </c>
      <c r="AM19" s="42">
        <f t="shared" si="14"/>
        <v>6.0862713076690067</v>
      </c>
      <c r="AN19" s="42">
        <f t="shared" si="15"/>
        <v>0.60210986620415796</v>
      </c>
      <c r="AO19" s="42">
        <f t="shared" si="16"/>
        <v>0.32309613292863826</v>
      </c>
      <c r="AP19" s="44">
        <f t="shared" si="17"/>
        <v>5.4935026557353579</v>
      </c>
      <c r="AQ19" s="44">
        <f t="shared" si="18"/>
        <v>6.017830648521584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1280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2.8303571428571428</v>
      </c>
      <c r="D20" s="204" t="s">
        <v>96</v>
      </c>
      <c r="E20" s="50">
        <v>33</v>
      </c>
      <c r="F20" s="28">
        <f ca="1">$D$1-43637</f>
        <v>19</v>
      </c>
      <c r="G20" s="29"/>
      <c r="H20" s="37">
        <v>0</v>
      </c>
      <c r="I20" s="37">
        <v>4</v>
      </c>
      <c r="J20" s="31">
        <f t="shared" si="1"/>
        <v>2.63E-2</v>
      </c>
      <c r="K20" s="32">
        <v>2</v>
      </c>
      <c r="L20" s="53">
        <v>5</v>
      </c>
      <c r="M20" s="34">
        <f t="shared" si="2"/>
        <v>1.0375350005115249</v>
      </c>
      <c r="N20" s="35">
        <f t="shared" si="3"/>
        <v>20</v>
      </c>
      <c r="O20" s="35">
        <f t="shared" si="4"/>
        <v>45</v>
      </c>
      <c r="P20" s="54">
        <v>5.3</v>
      </c>
      <c r="Q20" s="37">
        <f t="shared" si="5"/>
        <v>72</v>
      </c>
      <c r="R20" s="38">
        <v>1.5</v>
      </c>
      <c r="S20" s="37">
        <v>6</v>
      </c>
      <c r="T20" s="31">
        <f t="shared" si="6"/>
        <v>0.92582009977255142</v>
      </c>
      <c r="U20" s="31">
        <f t="shared" si="7"/>
        <v>0.99928545900129484</v>
      </c>
      <c r="V20" s="39">
        <v>210</v>
      </c>
      <c r="W20" s="40">
        <f t="shared" si="8"/>
        <v>0</v>
      </c>
      <c r="X20" s="39">
        <v>310</v>
      </c>
      <c r="Y20" s="42">
        <f t="shared" si="9"/>
        <v>0.67741935483870963</v>
      </c>
      <c r="Z20" s="45">
        <v>0</v>
      </c>
      <c r="AA20" s="34">
        <v>2</v>
      </c>
      <c r="AB20" s="45">
        <v>3</v>
      </c>
      <c r="AC20" s="34">
        <v>2</v>
      </c>
      <c r="AD20" s="45">
        <v>3</v>
      </c>
      <c r="AE20" s="34">
        <v>6</v>
      </c>
      <c r="AF20" s="45">
        <v>3</v>
      </c>
      <c r="AG20" s="46">
        <v>339</v>
      </c>
      <c r="AH20" s="46">
        <v>-275</v>
      </c>
      <c r="AI20" s="43">
        <f t="shared" si="10"/>
        <v>5.1267612066675756</v>
      </c>
      <c r="AJ20" s="43">
        <f t="shared" si="11"/>
        <v>5.5375350005115251</v>
      </c>
      <c r="AK20" s="42">
        <f t="shared" si="12"/>
        <v>1.806807940028772</v>
      </c>
      <c r="AL20" s="42">
        <f t="shared" si="13"/>
        <v>8.9044936053312576</v>
      </c>
      <c r="AM20" s="42">
        <f t="shared" si="14"/>
        <v>5.9599992964628727</v>
      </c>
      <c r="AN20" s="42">
        <f t="shared" si="15"/>
        <v>0.59300280004092198</v>
      </c>
      <c r="AO20" s="42">
        <f t="shared" si="16"/>
        <v>0.34762745003580681</v>
      </c>
      <c r="AP20" s="44">
        <f t="shared" si="17"/>
        <v>5.0290177545130064</v>
      </c>
      <c r="AQ20" s="44">
        <f t="shared" si="18"/>
        <v>5.4319600057813586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210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9.8839285714285712</v>
      </c>
      <c r="D21" s="204" t="s">
        <v>98</v>
      </c>
      <c r="E21" s="50">
        <v>26</v>
      </c>
      <c r="F21" s="28">
        <f ca="1">$D$1-43531-112</f>
        <v>13</v>
      </c>
      <c r="G21" s="29"/>
      <c r="H21" s="37">
        <v>3</v>
      </c>
      <c r="I21" s="37">
        <v>3</v>
      </c>
      <c r="J21" s="31">
        <f t="shared" si="1"/>
        <v>0.1158</v>
      </c>
      <c r="K21" s="32">
        <v>4</v>
      </c>
      <c r="L21" s="53">
        <v>3</v>
      </c>
      <c r="M21" s="34">
        <f t="shared" si="2"/>
        <v>0.80274665510394982</v>
      </c>
      <c r="N21" s="35">
        <f t="shared" si="3"/>
        <v>48</v>
      </c>
      <c r="O21" s="35">
        <f t="shared" si="4"/>
        <v>75</v>
      </c>
      <c r="P21" s="54">
        <v>5.0999999999999996</v>
      </c>
      <c r="Q21" s="37">
        <f t="shared" si="5"/>
        <v>70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970</v>
      </c>
      <c r="W21" s="40">
        <f t="shared" si="8"/>
        <v>120</v>
      </c>
      <c r="X21" s="39">
        <v>310</v>
      </c>
      <c r="Y21" s="42">
        <f t="shared" si="9"/>
        <v>3.129032258064516</v>
      </c>
      <c r="Z21" s="45">
        <v>0</v>
      </c>
      <c r="AA21" s="34">
        <v>2</v>
      </c>
      <c r="AB21" s="45">
        <v>3</v>
      </c>
      <c r="AC21" s="34">
        <v>2</v>
      </c>
      <c r="AD21" s="45">
        <v>5</v>
      </c>
      <c r="AE21" s="34">
        <v>5</v>
      </c>
      <c r="AF21" s="45">
        <v>2</v>
      </c>
      <c r="AG21" s="46">
        <v>351</v>
      </c>
      <c r="AH21" s="46">
        <v>633</v>
      </c>
      <c r="AI21" s="43">
        <f t="shared" si="10"/>
        <v>4.4816388973085131</v>
      </c>
      <c r="AJ21" s="43">
        <f t="shared" si="11"/>
        <v>4.9093894372969018</v>
      </c>
      <c r="AK21" s="42">
        <f t="shared" si="12"/>
        <v>1.9975474320138862</v>
      </c>
      <c r="AL21" s="42">
        <f t="shared" si="13"/>
        <v>5.8223269127130779</v>
      </c>
      <c r="AM21" s="42">
        <f t="shared" si="14"/>
        <v>4.3971234718356609</v>
      </c>
      <c r="AN21" s="42">
        <f t="shared" si="15"/>
        <v>0.49421973240831596</v>
      </c>
      <c r="AO21" s="42">
        <f t="shared" si="16"/>
        <v>0.30119226585727649</v>
      </c>
      <c r="AP21" s="44">
        <f t="shared" si="17"/>
        <v>3.4956946361467827</v>
      </c>
      <c r="AQ21" s="44">
        <f t="shared" si="18"/>
        <v>3.8293416127348134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850</v>
      </c>
      <c r="BA21" s="49" t="s">
        <v>56</v>
      </c>
    </row>
    <row r="22" spans="1:53" x14ac:dyDescent="0.25">
      <c r="C22" s="59"/>
      <c r="D22" s="60"/>
      <c r="G22" s="61"/>
      <c r="L22" s="62"/>
      <c r="M22" s="62"/>
      <c r="P22" s="62"/>
      <c r="Q22" s="62"/>
      <c r="R22" s="62"/>
      <c r="S22" s="62"/>
      <c r="T22" s="62"/>
      <c r="U22" s="62"/>
      <c r="V22" s="63">
        <f>SUM(V4:V21)</f>
        <v>21170</v>
      </c>
      <c r="W22" s="63">
        <f t="shared" ref="W22:X22" si="20">SUM(W4:W21)</f>
        <v>1270</v>
      </c>
      <c r="X22" s="63">
        <f t="shared" si="20"/>
        <v>7400</v>
      </c>
      <c r="Y22" s="64">
        <f t="shared" si="9"/>
        <v>2.8608108108108108</v>
      </c>
      <c r="AF22" s="62"/>
      <c r="AG22" s="63"/>
      <c r="AH22" s="63"/>
      <c r="AK22" s="63"/>
      <c r="AL22" s="63"/>
      <c r="AM22" s="63"/>
      <c r="AN22" s="63"/>
      <c r="AO22" s="63"/>
      <c r="AP22" s="63"/>
      <c r="AQ22" s="63"/>
      <c r="BA22" s="62"/>
    </row>
    <row r="23" spans="1:53" x14ac:dyDescent="0.25">
      <c r="C23" s="59"/>
      <c r="D23" s="60"/>
      <c r="G23" s="62"/>
      <c r="K23" s="61"/>
      <c r="N23" s="62"/>
      <c r="P23" s="62"/>
      <c r="Q23" s="62"/>
      <c r="R23" s="62"/>
      <c r="S23" s="62"/>
      <c r="T23" s="62"/>
      <c r="U23" s="62"/>
      <c r="V23" s="65"/>
      <c r="W23" s="65"/>
      <c r="X23" s="65"/>
      <c r="Y23" s="15"/>
      <c r="Z23" s="66"/>
      <c r="AG23" s="15"/>
      <c r="AH23" s="15"/>
      <c r="AK23" s="15"/>
      <c r="AL23" s="15"/>
      <c r="AM23" s="15"/>
      <c r="AN23" s="15"/>
      <c r="AO23" s="15"/>
      <c r="AP23" s="15"/>
      <c r="AQ23" s="15"/>
      <c r="BA23" s="62"/>
    </row>
    <row r="24" spans="1:53" x14ac:dyDescent="0.25">
      <c r="C24" s="59"/>
      <c r="D24" s="60"/>
      <c r="G24" s="62"/>
      <c r="K24" s="61"/>
      <c r="L24" s="67"/>
      <c r="N24" s="62"/>
      <c r="P24" s="62"/>
      <c r="Q24" s="62"/>
      <c r="R24" s="62"/>
      <c r="S24" s="62"/>
      <c r="T24" s="62"/>
      <c r="U24" s="62"/>
      <c r="X24" s="66"/>
      <c r="Y24" s="66"/>
      <c r="Z24" s="66"/>
      <c r="AA24" s="68"/>
      <c r="AG24" s="66"/>
      <c r="AH24" s="66"/>
      <c r="AK24" s="66"/>
      <c r="AL24" s="66"/>
      <c r="AN24" s="66"/>
      <c r="AO24" s="66"/>
      <c r="AP24" s="66"/>
      <c r="AQ24" s="66"/>
      <c r="BA24" s="62"/>
    </row>
    <row r="25" spans="1:53" x14ac:dyDescent="0.25">
      <c r="C25" s="59"/>
      <c r="D25" s="69"/>
      <c r="G25" s="62"/>
      <c r="K25" s="61"/>
      <c r="L25" s="67"/>
      <c r="N25" s="62"/>
      <c r="P25" s="62"/>
      <c r="Q25" s="62"/>
      <c r="R25" s="70"/>
      <c r="S25" s="62"/>
      <c r="T25" s="62"/>
      <c r="U25" s="62"/>
      <c r="X25" s="66"/>
      <c r="Y25" s="66"/>
      <c r="Z25" s="66"/>
      <c r="AA25" s="68"/>
      <c r="AG25" s="71"/>
      <c r="AH25" s="71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72"/>
      <c r="Y26" s="66"/>
      <c r="Z26" s="66"/>
      <c r="AA26" s="68"/>
      <c r="AG26" s="66"/>
      <c r="AH26" s="66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2"/>
      <c r="G27" s="62"/>
      <c r="K27" s="61"/>
      <c r="L27" s="67"/>
      <c r="N27" s="62"/>
      <c r="P27" s="62"/>
      <c r="Q27" s="62"/>
      <c r="R27" s="62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0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66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72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66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</sheetData>
  <mergeCells count="1">
    <mergeCell ref="E1:G1"/>
  </mergeCells>
  <conditionalFormatting sqref="J4:J21">
    <cfRule type="cellIs" dxfId="15" priority="22" operator="lessThan">
      <formula>0.07</formula>
    </cfRule>
    <cfRule type="cellIs" dxfId="14" priority="23" operator="greaterThan">
      <formula>0.1</formula>
    </cfRule>
  </conditionalFormatting>
  <conditionalFormatting sqref="Q4:Q21">
    <cfRule type="cellIs" dxfId="13" priority="2" operator="lessThan">
      <formula>70</formula>
    </cfRule>
    <cfRule type="cellIs" dxfId="12" priority="3" operator="between">
      <formula>70</formula>
      <formula>80</formula>
    </cfRule>
    <cfRule type="cellIs" dxfId="11" priority="4" operator="greaterThan">
      <formula>80</formula>
    </cfRule>
  </conditionalFormatting>
  <conditionalFormatting sqref="X4:X2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1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1">
    <cfRule type="cellIs" dxfId="10" priority="93" operator="greaterThan">
      <formula>10</formula>
    </cfRule>
    <cfRule type="colorScale" priority="94">
      <colorScale>
        <cfvo type="min"/>
        <cfvo type="max"/>
        <color rgb="FFFCFCFF"/>
        <color rgb="FF63BE7B"/>
      </colorScale>
    </cfRule>
  </conditionalFormatting>
  <conditionalFormatting sqref="L4:L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99">
      <colorScale>
        <cfvo type="min"/>
        <cfvo type="max"/>
        <color rgb="FFFCFCFF"/>
        <color rgb="FFF8696B"/>
      </colorScale>
    </cfRule>
  </conditionalFormatting>
  <conditionalFormatting sqref="W4:W2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{E4A236B2-8A69-4C61-9CB9-7A0DA23588DC}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AG4:AG21</xm:sqref>
        </x14:conditionalFormatting>
        <x14:conditionalFormatting xmlns:xm="http://schemas.microsoft.com/office/excel/2006/main">
          <x14:cfRule type="dataBar" id="{E4A236B2-8A69-4C61-9CB9-7A0DA23588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11" sqref="M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9" width="4" bestFit="1" customWidth="1"/>
    <col min="10" max="11" width="4.5703125" bestFit="1" customWidth="1"/>
    <col min="12" max="12" width="4.5703125" customWidth="1"/>
    <col min="13" max="13" width="4.5703125" bestFit="1" customWidth="1"/>
    <col min="14" max="14" width="4.140625" customWidth="1"/>
    <col min="15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32.28515625" bestFit="1" customWidth="1"/>
    <col min="37" max="37" width="22.7109375" style="318" bestFit="1" customWidth="1"/>
    <col min="38" max="1021" width="10.7109375" customWidth="1"/>
  </cols>
  <sheetData>
    <row r="1" spans="1:37" x14ac:dyDescent="0.25">
      <c r="A1" s="381" t="s">
        <v>168</v>
      </c>
      <c r="B1" s="381"/>
      <c r="C1" s="381"/>
      <c r="D1" s="381"/>
      <c r="E1" s="381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107"/>
      <c r="AG1" s="300"/>
      <c r="AH1" s="107"/>
      <c r="AI1" s="107"/>
      <c r="AJ1" s="109"/>
      <c r="AK1" s="311"/>
    </row>
    <row r="2" spans="1:37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311"/>
    </row>
    <row r="3" spans="1:37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271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272</v>
      </c>
      <c r="W3" s="111" t="s">
        <v>162</v>
      </c>
      <c r="X3" s="111" t="s">
        <v>41</v>
      </c>
      <c r="Y3" s="111" t="s">
        <v>161</v>
      </c>
      <c r="Z3" s="111" t="s">
        <v>273</v>
      </c>
      <c r="AA3" s="111" t="s">
        <v>58</v>
      </c>
      <c r="AB3" s="111" t="s">
        <v>287</v>
      </c>
      <c r="AC3" s="111" t="s">
        <v>164</v>
      </c>
      <c r="AD3" s="111" t="s">
        <v>284</v>
      </c>
      <c r="AE3" s="111" t="s">
        <v>165</v>
      </c>
      <c r="AF3" s="111" t="s">
        <v>166</v>
      </c>
      <c r="AG3" s="111" t="s">
        <v>283</v>
      </c>
      <c r="AH3" s="111" t="s">
        <v>167</v>
      </c>
      <c r="AI3" s="111" t="s">
        <v>93</v>
      </c>
      <c r="AJ3" s="112" t="s">
        <v>163</v>
      </c>
      <c r="AK3" s="319" t="s">
        <v>291</v>
      </c>
    </row>
    <row r="4" spans="1:37" x14ac:dyDescent="0.25">
      <c r="A4" s="135" t="s">
        <v>282</v>
      </c>
      <c r="B4" s="127">
        <v>16</v>
      </c>
      <c r="C4" s="128">
        <f ca="1">6+$A$30-$A$32</f>
        <v>25</v>
      </c>
      <c r="D4" s="132"/>
      <c r="E4" s="195">
        <f ca="1">F4-TODAY()</f>
        <v>101</v>
      </c>
      <c r="F4" s="203">
        <v>43757</v>
      </c>
      <c r="G4" s="196"/>
      <c r="H4" s="325"/>
      <c r="I4" s="325"/>
      <c r="J4" s="325"/>
      <c r="K4" s="326">
        <v>6.99</v>
      </c>
      <c r="L4" s="327">
        <v>4</v>
      </c>
      <c r="M4" s="327">
        <v>4.99</v>
      </c>
      <c r="N4" s="325"/>
      <c r="O4" s="325"/>
      <c r="P4" s="325"/>
      <c r="Q4" s="325"/>
      <c r="R4" s="325"/>
      <c r="S4" s="325"/>
      <c r="T4" s="325"/>
      <c r="U4" s="325"/>
      <c r="V4" s="198" t="s">
        <v>180</v>
      </c>
      <c r="W4" s="201"/>
      <c r="X4" s="200">
        <f t="shared" ref="X4" si="0">COUNT(I4,K4,M4,O4,Q4,S4,U4)</f>
        <v>2</v>
      </c>
      <c r="Y4" s="130">
        <v>0</v>
      </c>
      <c r="Z4" s="200">
        <v>0</v>
      </c>
      <c r="AA4" s="329"/>
      <c r="AB4" s="329">
        <v>4.5</v>
      </c>
      <c r="AC4" s="330"/>
      <c r="AD4" s="330"/>
      <c r="AE4" s="330"/>
      <c r="AF4" s="330"/>
      <c r="AG4" s="330">
        <v>5.5</v>
      </c>
      <c r="AH4" s="330"/>
      <c r="AI4" s="330"/>
      <c r="AJ4" s="202" t="s">
        <v>285</v>
      </c>
      <c r="AK4" s="313"/>
    </row>
    <row r="5" spans="1:37" ht="15.75" x14ac:dyDescent="0.25">
      <c r="A5" s="305" t="s">
        <v>173</v>
      </c>
      <c r="B5" s="127">
        <v>15</v>
      </c>
      <c r="C5" s="128">
        <f ca="1">3+$A$30-$A$32</f>
        <v>22</v>
      </c>
      <c r="D5" s="129"/>
      <c r="E5" s="195">
        <f ca="1">F5-TODAY()</f>
        <v>202</v>
      </c>
      <c r="F5" s="203">
        <v>43858</v>
      </c>
      <c r="G5" s="196"/>
      <c r="H5" s="322"/>
      <c r="I5" s="322"/>
      <c r="J5" s="323">
        <v>1</v>
      </c>
      <c r="K5" s="322"/>
      <c r="L5" s="322"/>
      <c r="M5" s="322"/>
      <c r="N5" s="322"/>
      <c r="O5" s="323">
        <v>3.99</v>
      </c>
      <c r="P5" s="322"/>
      <c r="Q5" s="324">
        <v>5.99</v>
      </c>
      <c r="R5" s="322"/>
      <c r="S5" s="322"/>
      <c r="T5" s="322"/>
      <c r="U5" s="322"/>
      <c r="V5" s="197" t="s">
        <v>174</v>
      </c>
      <c r="W5" s="200"/>
      <c r="X5" s="200">
        <f>COUNT(I5,K5,M5,O5,Q5,S5,U5)</f>
        <v>2</v>
      </c>
      <c r="Y5" s="130">
        <v>2</v>
      </c>
      <c r="Z5" s="200">
        <v>2</v>
      </c>
      <c r="AA5" s="329"/>
      <c r="AB5" s="329">
        <v>1</v>
      </c>
      <c r="AC5" s="330"/>
      <c r="AD5" s="330"/>
      <c r="AE5" s="330"/>
      <c r="AF5" s="330"/>
      <c r="AG5" s="330">
        <v>2.5</v>
      </c>
      <c r="AH5" s="330">
        <v>3</v>
      </c>
      <c r="AI5" s="330"/>
      <c r="AJ5" s="202" t="s">
        <v>245</v>
      </c>
      <c r="AK5" s="312" t="s">
        <v>93</v>
      </c>
    </row>
    <row r="6" spans="1:37" x14ac:dyDescent="0.25">
      <c r="A6" s="382" t="s">
        <v>171</v>
      </c>
      <c r="B6" s="382"/>
      <c r="C6" s="382"/>
      <c r="D6" s="382"/>
      <c r="E6" s="382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115"/>
      <c r="AG6" s="301"/>
      <c r="AH6" s="115"/>
      <c r="AI6" s="115"/>
      <c r="AJ6" s="117"/>
      <c r="AK6" s="314"/>
    </row>
    <row r="7" spans="1:37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20"/>
      <c r="AK7" s="314"/>
    </row>
    <row r="8" spans="1:37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287</v>
      </c>
      <c r="AC8" s="119" t="s">
        <v>164</v>
      </c>
      <c r="AD8" s="119" t="s">
        <v>284</v>
      </c>
      <c r="AE8" s="119" t="s">
        <v>165</v>
      </c>
      <c r="AF8" s="119" t="s">
        <v>166</v>
      </c>
      <c r="AG8" s="119" t="s">
        <v>283</v>
      </c>
      <c r="AH8" s="119" t="s">
        <v>167</v>
      </c>
      <c r="AI8" s="119" t="s">
        <v>93</v>
      </c>
      <c r="AJ8" s="120" t="str">
        <f>AJ3</f>
        <v>Ca</v>
      </c>
      <c r="AK8" s="320" t="str">
        <f>AK3</f>
        <v>Comentarios</v>
      </c>
    </row>
    <row r="9" spans="1:37" x14ac:dyDescent="0.25">
      <c r="A9" s="136" t="s">
        <v>195</v>
      </c>
      <c r="B9" s="127">
        <v>16</v>
      </c>
      <c r="C9" s="128">
        <f ca="1">67+$A$30-$A$32</f>
        <v>86</v>
      </c>
      <c r="D9" s="129"/>
      <c r="E9" s="195">
        <f t="shared" ref="E9:E13" ca="1" si="1">F9-TODAY()</f>
        <v>93</v>
      </c>
      <c r="F9" s="203">
        <v>43749</v>
      </c>
      <c r="G9" s="196"/>
      <c r="H9" s="325"/>
      <c r="I9" s="325"/>
      <c r="J9" s="325"/>
      <c r="K9" s="325"/>
      <c r="L9" s="325"/>
      <c r="M9" s="323">
        <v>2.99</v>
      </c>
      <c r="N9" s="325"/>
      <c r="O9" s="325"/>
      <c r="P9" s="325"/>
      <c r="Q9" s="325"/>
      <c r="R9" s="325"/>
      <c r="S9" s="325"/>
      <c r="T9" s="325"/>
      <c r="U9" s="325"/>
      <c r="V9" s="198" t="s">
        <v>180</v>
      </c>
      <c r="W9" s="200"/>
      <c r="X9" s="200">
        <f t="shared" ref="X9:X13" si="2">COUNT(I9,K9,M9,O9,Q9,S9,U9)</f>
        <v>1</v>
      </c>
      <c r="Y9" s="130">
        <v>0</v>
      </c>
      <c r="Z9" s="200">
        <v>0</v>
      </c>
      <c r="AA9" s="329"/>
      <c r="AB9" s="329"/>
      <c r="AC9" s="330"/>
      <c r="AD9" s="330"/>
      <c r="AE9" s="330"/>
      <c r="AF9" s="330"/>
      <c r="AG9" s="330">
        <v>4.5</v>
      </c>
      <c r="AH9" s="330">
        <v>3</v>
      </c>
      <c r="AI9" s="330"/>
      <c r="AJ9" s="202" t="s">
        <v>243</v>
      </c>
      <c r="AK9" s="312" t="s">
        <v>293</v>
      </c>
    </row>
    <row r="10" spans="1:37" x14ac:dyDescent="0.25">
      <c r="A10" s="136" t="s">
        <v>193</v>
      </c>
      <c r="B10" s="127">
        <v>16</v>
      </c>
      <c r="C10" s="128">
        <f ca="1">40+$A$30-$A$32</f>
        <v>59</v>
      </c>
      <c r="D10" s="129"/>
      <c r="E10" s="195">
        <f t="shared" ca="1" si="1"/>
        <v>93</v>
      </c>
      <c r="F10" s="203">
        <v>43749</v>
      </c>
      <c r="G10" s="196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198" t="s">
        <v>180</v>
      </c>
      <c r="W10" s="200"/>
      <c r="X10" s="200">
        <f t="shared" si="2"/>
        <v>0</v>
      </c>
      <c r="Y10" s="130">
        <v>0</v>
      </c>
      <c r="Z10" s="200">
        <v>0</v>
      </c>
      <c r="AA10" s="329">
        <v>2</v>
      </c>
      <c r="AB10" s="329"/>
      <c r="AC10" s="330">
        <v>3</v>
      </c>
      <c r="AD10" s="330">
        <v>4.5</v>
      </c>
      <c r="AE10" s="330"/>
      <c r="AF10" s="330"/>
      <c r="AG10" s="330"/>
      <c r="AH10" s="330"/>
      <c r="AI10" s="330"/>
      <c r="AJ10" s="202" t="s">
        <v>244</v>
      </c>
      <c r="AK10" s="312" t="s">
        <v>294</v>
      </c>
    </row>
    <row r="11" spans="1:37" x14ac:dyDescent="0.25">
      <c r="A11" s="304" t="s">
        <v>188</v>
      </c>
      <c r="B11" s="127">
        <v>16</v>
      </c>
      <c r="C11" s="128">
        <f ca="1">-1+$A$30-$A$32</f>
        <v>18</v>
      </c>
      <c r="D11" s="132"/>
      <c r="E11" s="195">
        <f t="shared" ca="1" si="1"/>
        <v>94</v>
      </c>
      <c r="F11" s="203">
        <v>43750</v>
      </c>
      <c r="G11" s="196"/>
      <c r="H11" s="325"/>
      <c r="I11" s="325"/>
      <c r="J11" s="323">
        <v>3</v>
      </c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199" t="s">
        <v>189</v>
      </c>
      <c r="W11" s="201"/>
      <c r="X11" s="200">
        <f t="shared" si="2"/>
        <v>0</v>
      </c>
      <c r="Y11" s="130">
        <v>0</v>
      </c>
      <c r="Z11" s="200">
        <v>0</v>
      </c>
      <c r="AA11" s="329">
        <v>0.5</v>
      </c>
      <c r="AB11" s="329"/>
      <c r="AC11" s="330">
        <v>2.5</v>
      </c>
      <c r="AD11" s="330"/>
      <c r="AE11" s="330"/>
      <c r="AF11" s="330"/>
      <c r="AG11" s="330"/>
      <c r="AH11" s="330">
        <v>3.5</v>
      </c>
      <c r="AI11" s="330">
        <v>3</v>
      </c>
      <c r="AJ11" s="202" t="s">
        <v>245</v>
      </c>
      <c r="AK11" s="313" t="s">
        <v>88</v>
      </c>
    </row>
    <row r="12" spans="1:37" x14ac:dyDescent="0.25">
      <c r="A12" s="136" t="s">
        <v>288</v>
      </c>
      <c r="B12" s="127">
        <v>15</v>
      </c>
      <c r="C12" s="128">
        <f ca="1">67+$A$30-$A$32+14</f>
        <v>100</v>
      </c>
      <c r="D12" s="129"/>
      <c r="E12" s="195">
        <f t="shared" ca="1" si="1"/>
        <v>124</v>
      </c>
      <c r="F12" s="203">
        <v>43780</v>
      </c>
      <c r="G12" s="196"/>
      <c r="H12" s="325"/>
      <c r="I12" s="325"/>
      <c r="J12" s="325"/>
      <c r="K12" s="325"/>
      <c r="L12" s="323">
        <v>3</v>
      </c>
      <c r="M12" s="325"/>
      <c r="N12" s="325"/>
      <c r="O12" s="323">
        <v>3.99</v>
      </c>
      <c r="P12" s="325"/>
      <c r="Q12" s="325"/>
      <c r="R12" s="325"/>
      <c r="S12" s="325"/>
      <c r="T12" s="325"/>
      <c r="U12" s="325"/>
      <c r="V12" s="199" t="s">
        <v>185</v>
      </c>
      <c r="W12" s="200"/>
      <c r="X12" s="200">
        <f t="shared" si="2"/>
        <v>1</v>
      </c>
      <c r="Y12" s="130">
        <v>0</v>
      </c>
      <c r="Z12" s="200">
        <v>0</v>
      </c>
      <c r="AA12" s="329"/>
      <c r="AB12" s="329"/>
      <c r="AC12" s="330"/>
      <c r="AD12" s="330"/>
      <c r="AE12" s="330"/>
      <c r="AF12" s="330"/>
      <c r="AG12" s="330">
        <v>3.5</v>
      </c>
      <c r="AH12" s="330"/>
      <c r="AI12" s="330"/>
      <c r="AJ12" s="202" t="s">
        <v>243</v>
      </c>
      <c r="AK12" s="312"/>
    </row>
    <row r="13" spans="1:37" x14ac:dyDescent="0.25">
      <c r="A13" s="305" t="s">
        <v>181</v>
      </c>
      <c r="B13" s="133">
        <v>15</v>
      </c>
      <c r="C13" s="128">
        <f ca="1">51+$A$30-$A$32</f>
        <v>70</v>
      </c>
      <c r="D13" s="129"/>
      <c r="E13" s="195">
        <f t="shared" ca="1" si="1"/>
        <v>154</v>
      </c>
      <c r="F13" s="203">
        <v>43810</v>
      </c>
      <c r="G13" s="196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198" t="s">
        <v>180</v>
      </c>
      <c r="W13" s="200"/>
      <c r="X13" s="200">
        <f t="shared" si="2"/>
        <v>0</v>
      </c>
      <c r="Y13" s="130">
        <v>0</v>
      </c>
      <c r="Z13" s="200">
        <v>0</v>
      </c>
      <c r="AA13" s="329">
        <v>1</v>
      </c>
      <c r="AB13" s="329"/>
      <c r="AC13" s="330"/>
      <c r="AD13" s="330"/>
      <c r="AE13" s="330"/>
      <c r="AF13" s="330">
        <v>2.5</v>
      </c>
      <c r="AG13" s="330">
        <v>4</v>
      </c>
      <c r="AH13" s="330"/>
      <c r="AI13" s="330"/>
      <c r="AJ13" s="202" t="s">
        <v>243</v>
      </c>
      <c r="AK13" s="312" t="s">
        <v>296</v>
      </c>
    </row>
    <row r="14" spans="1:37" x14ac:dyDescent="0.25">
      <c r="A14" s="383" t="s">
        <v>172</v>
      </c>
      <c r="B14" s="383"/>
      <c r="C14" s="383"/>
      <c r="D14" s="383"/>
      <c r="E14" s="383"/>
      <c r="F14" s="123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2"/>
      <c r="W14" s="122"/>
      <c r="X14" s="122"/>
      <c r="Y14" s="122"/>
      <c r="Z14" s="122"/>
      <c r="AA14" s="122"/>
      <c r="AB14" s="309"/>
      <c r="AC14" s="122"/>
      <c r="AD14" s="302"/>
      <c r="AE14" s="122"/>
      <c r="AF14" s="122"/>
      <c r="AG14" s="302"/>
      <c r="AH14" s="122"/>
      <c r="AI14" s="122"/>
      <c r="AJ14" s="124"/>
      <c r="AK14" s="315"/>
    </row>
    <row r="15" spans="1:37" x14ac:dyDescent="0.25">
      <c r="A15" s="125" t="s">
        <v>169</v>
      </c>
      <c r="B15" s="125"/>
      <c r="C15" s="125"/>
      <c r="D15" s="125"/>
      <c r="E15" s="125"/>
      <c r="F15" s="125"/>
      <c r="G15" s="126"/>
      <c r="H15" s="125" t="s">
        <v>170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4"/>
      <c r="AK15" s="315"/>
    </row>
    <row r="16" spans="1:37" x14ac:dyDescent="0.25">
      <c r="A16" s="125" t="s">
        <v>3</v>
      </c>
      <c r="B16" s="125" t="s">
        <v>152</v>
      </c>
      <c r="C16" s="125" t="s">
        <v>5</v>
      </c>
      <c r="D16" s="126" t="s">
        <v>153</v>
      </c>
      <c r="E16" s="125" t="s">
        <v>154</v>
      </c>
      <c r="F16" s="125" t="str">
        <f>F8</f>
        <v>Fpromo</v>
      </c>
      <c r="G16" s="126" t="s">
        <v>155</v>
      </c>
      <c r="H16" s="125" t="s">
        <v>58</v>
      </c>
      <c r="I16" s="125" t="s">
        <v>41</v>
      </c>
      <c r="J16" s="125" t="s">
        <v>156</v>
      </c>
      <c r="K16" s="125" t="s">
        <v>41</v>
      </c>
      <c r="L16" s="125" t="s">
        <v>157</v>
      </c>
      <c r="M16" s="125" t="s">
        <v>41</v>
      </c>
      <c r="N16" s="125" t="s">
        <v>64</v>
      </c>
      <c r="O16" s="125" t="s">
        <v>41</v>
      </c>
      <c r="P16" s="125" t="s">
        <v>158</v>
      </c>
      <c r="Q16" s="125" t="s">
        <v>41</v>
      </c>
      <c r="R16" s="125" t="s">
        <v>159</v>
      </c>
      <c r="S16" s="125" t="s">
        <v>41</v>
      </c>
      <c r="T16" s="125" t="s">
        <v>160</v>
      </c>
      <c r="U16" s="125" t="s">
        <v>41</v>
      </c>
      <c r="V16" s="126" t="str">
        <f>V8</f>
        <v>U20</v>
      </c>
      <c r="W16" s="126" t="str">
        <f>W8</f>
        <v>HTMS</v>
      </c>
      <c r="X16" s="126" t="str">
        <f>X8</f>
        <v>Pot</v>
      </c>
      <c r="Y16" s="126" t="str">
        <f>Y8</f>
        <v>Cap</v>
      </c>
      <c r="Z16" s="126" t="s">
        <v>160</v>
      </c>
      <c r="AA16" s="126" t="s">
        <v>58</v>
      </c>
      <c r="AB16" s="126" t="s">
        <v>287</v>
      </c>
      <c r="AC16" s="126" t="s">
        <v>164</v>
      </c>
      <c r="AD16" s="126" t="s">
        <v>284</v>
      </c>
      <c r="AE16" s="126" t="s">
        <v>165</v>
      </c>
      <c r="AF16" s="126" t="s">
        <v>166</v>
      </c>
      <c r="AG16" s="126" t="s">
        <v>283</v>
      </c>
      <c r="AH16" s="126" t="s">
        <v>167</v>
      </c>
      <c r="AI16" s="126" t="s">
        <v>93</v>
      </c>
      <c r="AJ16" s="124" t="str">
        <f>AJ8</f>
        <v>Ca</v>
      </c>
      <c r="AK16" s="321" t="str">
        <f>AK8</f>
        <v>Comentarios</v>
      </c>
    </row>
    <row r="17" spans="1:37" x14ac:dyDescent="0.25">
      <c r="A17" s="305" t="s">
        <v>175</v>
      </c>
      <c r="B17" s="133">
        <v>15</v>
      </c>
      <c r="C17" s="128">
        <f ca="1">11+$A$30-$A$32</f>
        <v>30</v>
      </c>
      <c r="D17" s="129"/>
      <c r="E17" s="195">
        <f ca="1">F17-TODAY()</f>
        <v>194</v>
      </c>
      <c r="F17" s="203">
        <v>43850</v>
      </c>
      <c r="G17" s="196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197" t="s">
        <v>176</v>
      </c>
      <c r="W17" s="200"/>
      <c r="X17" s="200">
        <f>COUNT(I17,K17,M17,O17,Q17,S17,U17)</f>
        <v>0</v>
      </c>
      <c r="Y17" s="130">
        <v>1</v>
      </c>
      <c r="Z17" s="200">
        <v>0</v>
      </c>
      <c r="AA17" s="329"/>
      <c r="AB17" s="329"/>
      <c r="AC17" s="330"/>
      <c r="AD17" s="330">
        <v>3</v>
      </c>
      <c r="AE17" s="330"/>
      <c r="AF17" s="330"/>
      <c r="AG17" s="330"/>
      <c r="AH17" s="330">
        <v>3</v>
      </c>
      <c r="AI17" s="330">
        <v>2</v>
      </c>
      <c r="AJ17" s="202" t="s">
        <v>245</v>
      </c>
      <c r="AK17" s="312" t="s">
        <v>292</v>
      </c>
    </row>
    <row r="18" spans="1:37" x14ac:dyDescent="0.25">
      <c r="A18" s="305" t="s">
        <v>177</v>
      </c>
      <c r="B18" s="133">
        <v>15</v>
      </c>
      <c r="C18" s="128">
        <f ca="1">14+$A$30-$A$32</f>
        <v>33</v>
      </c>
      <c r="D18" s="129" t="s">
        <v>289</v>
      </c>
      <c r="E18" s="195">
        <f t="shared" ref="E18:E27" ca="1" si="3">F18-TODAY()</f>
        <v>191</v>
      </c>
      <c r="F18" s="203">
        <v>43847</v>
      </c>
      <c r="G18" s="196"/>
      <c r="H18" s="325"/>
      <c r="I18" s="325"/>
      <c r="J18" s="325"/>
      <c r="K18" s="325"/>
      <c r="L18" s="325"/>
      <c r="M18" s="323">
        <v>2.99</v>
      </c>
      <c r="N18" s="325"/>
      <c r="O18" s="323">
        <v>1.99</v>
      </c>
      <c r="P18" s="325"/>
      <c r="Q18" s="325"/>
      <c r="R18" s="325"/>
      <c r="S18" s="325"/>
      <c r="T18" s="325"/>
      <c r="U18" s="325"/>
      <c r="V18" s="197" t="s">
        <v>178</v>
      </c>
      <c r="W18" s="200"/>
      <c r="X18" s="200">
        <f>COUNT(I18,K18,M18,O18,M26,S18,U18)</f>
        <v>2</v>
      </c>
      <c r="Y18" s="130">
        <v>0</v>
      </c>
      <c r="Z18" s="200">
        <v>0</v>
      </c>
      <c r="AA18" s="329"/>
      <c r="AB18" s="329"/>
      <c r="AC18" s="330"/>
      <c r="AD18" s="330">
        <v>2</v>
      </c>
      <c r="AE18" s="330"/>
      <c r="AF18" s="330">
        <v>2.5</v>
      </c>
      <c r="AG18" s="330"/>
      <c r="AH18" s="330">
        <v>2.5</v>
      </c>
      <c r="AI18" s="330"/>
      <c r="AJ18" s="202" t="s">
        <v>343</v>
      </c>
      <c r="AK18" s="312" t="s">
        <v>295</v>
      </c>
    </row>
    <row r="19" spans="1:37" x14ac:dyDescent="0.25">
      <c r="A19" s="305" t="s">
        <v>179</v>
      </c>
      <c r="B19" s="127">
        <v>15</v>
      </c>
      <c r="C19" s="128">
        <f ca="1">33+$A$30-$A$32</f>
        <v>52</v>
      </c>
      <c r="D19" s="134"/>
      <c r="E19" s="195">
        <f t="shared" ca="1" si="3"/>
        <v>172</v>
      </c>
      <c r="F19" s="203">
        <v>43828</v>
      </c>
      <c r="G19" s="196"/>
      <c r="H19" s="325"/>
      <c r="I19" s="325"/>
      <c r="J19" s="328">
        <v>2</v>
      </c>
      <c r="K19" s="328">
        <v>2.99</v>
      </c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198" t="s">
        <v>180</v>
      </c>
      <c r="W19" s="200"/>
      <c r="X19" s="200">
        <f t="shared" ref="X19:X25" si="4">COUNT(I19,K19,M19,O19,Q19,S19,U19)</f>
        <v>1</v>
      </c>
      <c r="Y19" s="130">
        <v>0</v>
      </c>
      <c r="Z19" s="200">
        <v>0</v>
      </c>
      <c r="AA19" s="329"/>
      <c r="AB19" s="329"/>
      <c r="AC19" s="330"/>
      <c r="AD19" s="330">
        <v>2</v>
      </c>
      <c r="AE19" s="330"/>
      <c r="AF19" s="330">
        <v>2.5</v>
      </c>
      <c r="AG19" s="330"/>
      <c r="AH19" s="330">
        <v>2</v>
      </c>
      <c r="AI19" s="330"/>
      <c r="AJ19" s="202" t="s">
        <v>245</v>
      </c>
      <c r="AK19" s="312" t="s">
        <v>295</v>
      </c>
    </row>
    <row r="20" spans="1:37" x14ac:dyDescent="0.25">
      <c r="A20" s="304" t="s">
        <v>182</v>
      </c>
      <c r="B20" s="133">
        <v>15</v>
      </c>
      <c r="C20" s="128">
        <f ca="1">70+$A$30-$A$32</f>
        <v>89</v>
      </c>
      <c r="D20" s="134"/>
      <c r="E20" s="195">
        <f t="shared" ca="1" si="3"/>
        <v>135</v>
      </c>
      <c r="F20" s="203">
        <v>43791</v>
      </c>
      <c r="G20" s="196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199" t="s">
        <v>183</v>
      </c>
      <c r="W20" s="200"/>
      <c r="X20" s="200">
        <f t="shared" si="4"/>
        <v>0</v>
      </c>
      <c r="Y20" s="130">
        <v>0</v>
      </c>
      <c r="Z20" s="200">
        <v>0</v>
      </c>
      <c r="AA20" s="329"/>
      <c r="AB20" s="329"/>
      <c r="AC20" s="330"/>
      <c r="AD20" s="330"/>
      <c r="AE20" s="330"/>
      <c r="AF20" s="330">
        <v>2.5</v>
      </c>
      <c r="AG20" s="330">
        <v>3</v>
      </c>
      <c r="AH20" s="330"/>
      <c r="AI20" s="330">
        <v>3</v>
      </c>
      <c r="AJ20" s="202" t="s">
        <v>245</v>
      </c>
      <c r="AK20" s="312" t="s">
        <v>297</v>
      </c>
    </row>
    <row r="21" spans="1:37" x14ac:dyDescent="0.25">
      <c r="A21" s="304" t="s">
        <v>184</v>
      </c>
      <c r="B21" s="133">
        <v>15</v>
      </c>
      <c r="C21" s="128">
        <f ca="1">76+$A$30-$A$32</f>
        <v>95</v>
      </c>
      <c r="D21" s="134"/>
      <c r="E21" s="195">
        <f t="shared" ca="1" si="3"/>
        <v>129</v>
      </c>
      <c r="F21" s="203">
        <v>43785</v>
      </c>
      <c r="G21" s="196"/>
      <c r="H21" s="325"/>
      <c r="I21" s="325"/>
      <c r="J21" s="325"/>
      <c r="K21" s="325"/>
      <c r="L21" s="328">
        <v>2</v>
      </c>
      <c r="M21" s="328">
        <v>2.99</v>
      </c>
      <c r="N21" s="325"/>
      <c r="O21" s="325"/>
      <c r="P21" s="325"/>
      <c r="Q21" s="325"/>
      <c r="R21" s="325"/>
      <c r="S21" s="325"/>
      <c r="T21" s="325"/>
      <c r="U21" s="325"/>
      <c r="V21" s="199" t="s">
        <v>185</v>
      </c>
      <c r="W21" s="200"/>
      <c r="X21" s="200">
        <f t="shared" si="4"/>
        <v>1</v>
      </c>
      <c r="Y21" s="130">
        <v>0</v>
      </c>
      <c r="Z21" s="200">
        <v>0</v>
      </c>
      <c r="AA21" s="329"/>
      <c r="AB21" s="329"/>
      <c r="AC21" s="330"/>
      <c r="AD21" s="330"/>
      <c r="AE21" s="330"/>
      <c r="AF21" s="330"/>
      <c r="AG21" s="330"/>
      <c r="AH21" s="330"/>
      <c r="AI21" s="330">
        <v>2</v>
      </c>
      <c r="AJ21" s="202" t="s">
        <v>245</v>
      </c>
      <c r="AK21" s="312" t="s">
        <v>298</v>
      </c>
    </row>
    <row r="22" spans="1:37" x14ac:dyDescent="0.25">
      <c r="A22" s="304" t="s">
        <v>186</v>
      </c>
      <c r="B22" s="133">
        <v>16</v>
      </c>
      <c r="C22" s="128">
        <f ca="1">96+$A$30-$A$32-112</f>
        <v>3</v>
      </c>
      <c r="D22" s="134"/>
      <c r="E22" s="195">
        <f t="shared" ca="1" si="3"/>
        <v>109</v>
      </c>
      <c r="F22" s="203">
        <v>43765</v>
      </c>
      <c r="G22" s="196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198" t="s">
        <v>187</v>
      </c>
      <c r="W22" s="200"/>
      <c r="X22" s="200">
        <f t="shared" si="4"/>
        <v>0</v>
      </c>
      <c r="Y22" s="130">
        <v>0</v>
      </c>
      <c r="Z22" s="200">
        <v>0</v>
      </c>
      <c r="AA22" s="329"/>
      <c r="AB22" s="329"/>
      <c r="AC22" s="330"/>
      <c r="AD22" s="330">
        <v>2.5</v>
      </c>
      <c r="AE22" s="330"/>
      <c r="AF22" s="330">
        <v>1.5</v>
      </c>
      <c r="AG22" s="330"/>
      <c r="AH22" s="330"/>
      <c r="AI22" s="330">
        <v>3</v>
      </c>
      <c r="AJ22" s="202" t="s">
        <v>246</v>
      </c>
      <c r="AK22" s="312" t="s">
        <v>299</v>
      </c>
    </row>
    <row r="23" spans="1:37" x14ac:dyDescent="0.25">
      <c r="A23" s="135" t="s">
        <v>191</v>
      </c>
      <c r="B23" s="127">
        <v>16</v>
      </c>
      <c r="C23" s="128">
        <f ca="1">22+$A$30-$A$32</f>
        <v>41</v>
      </c>
      <c r="D23" s="129"/>
      <c r="E23" s="195">
        <f ca="1">F23-TODAY()</f>
        <v>94</v>
      </c>
      <c r="F23" s="203">
        <v>43750</v>
      </c>
      <c r="G23" s="196" t="s">
        <v>192</v>
      </c>
      <c r="H23" s="325"/>
      <c r="I23" s="325"/>
      <c r="J23" s="325"/>
      <c r="K23" s="323">
        <v>3.99</v>
      </c>
      <c r="L23" s="323">
        <v>1</v>
      </c>
      <c r="M23" s="325"/>
      <c r="N23" s="325"/>
      <c r="O23" s="325"/>
      <c r="P23" s="323">
        <v>2</v>
      </c>
      <c r="Q23" s="325"/>
      <c r="R23" s="325"/>
      <c r="S23" s="325"/>
      <c r="T23" s="325"/>
      <c r="U23" s="325"/>
      <c r="V23" s="198" t="s">
        <v>180</v>
      </c>
      <c r="W23" s="200"/>
      <c r="X23" s="200">
        <f>COUNT(I23,K23,M23,O23,Q23,S23,U23)</f>
        <v>1</v>
      </c>
      <c r="Y23" s="130">
        <v>0</v>
      </c>
      <c r="Z23" s="200">
        <v>0</v>
      </c>
      <c r="AA23" s="329"/>
      <c r="AB23" s="329"/>
      <c r="AC23" s="330"/>
      <c r="AD23" s="330"/>
      <c r="AE23" s="330">
        <v>2.5</v>
      </c>
      <c r="AF23" s="330">
        <v>3.5</v>
      </c>
      <c r="AG23" s="330"/>
      <c r="AH23" s="330"/>
      <c r="AI23" s="330">
        <v>2</v>
      </c>
      <c r="AJ23" s="202" t="s">
        <v>244</v>
      </c>
      <c r="AK23" s="312" t="s">
        <v>299</v>
      </c>
    </row>
    <row r="24" spans="1:37" x14ac:dyDescent="0.25">
      <c r="A24" s="135" t="s">
        <v>190</v>
      </c>
      <c r="B24" s="133">
        <v>16</v>
      </c>
      <c r="C24" s="128">
        <f ca="1">29+$A$30-$A$32</f>
        <v>48</v>
      </c>
      <c r="D24" s="129"/>
      <c r="E24" s="195">
        <f t="shared" ca="1" si="3"/>
        <v>93</v>
      </c>
      <c r="F24" s="203">
        <v>43749</v>
      </c>
      <c r="G24" s="196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198" t="s">
        <v>180</v>
      </c>
      <c r="W24" s="200"/>
      <c r="X24" s="200">
        <f t="shared" si="4"/>
        <v>0</v>
      </c>
      <c r="Y24" s="130">
        <v>0</v>
      </c>
      <c r="Z24" s="200">
        <v>0</v>
      </c>
      <c r="AA24" s="329">
        <v>1</v>
      </c>
      <c r="AB24" s="329"/>
      <c r="AC24" s="330"/>
      <c r="AD24" s="330"/>
      <c r="AE24" s="330"/>
      <c r="AF24" s="330">
        <v>2.5</v>
      </c>
      <c r="AG24" s="330"/>
      <c r="AH24" s="330"/>
      <c r="AI24" s="330"/>
      <c r="AJ24" s="202" t="s">
        <v>243</v>
      </c>
      <c r="AK24" s="312" t="s">
        <v>300</v>
      </c>
    </row>
    <row r="25" spans="1:37" x14ac:dyDescent="0.25">
      <c r="A25" s="136" t="s">
        <v>194</v>
      </c>
      <c r="B25" s="127">
        <v>16</v>
      </c>
      <c r="C25" s="128">
        <f ca="1">66+$A$30-$A$32</f>
        <v>85</v>
      </c>
      <c r="D25" s="129"/>
      <c r="E25" s="195">
        <f t="shared" ca="1" si="3"/>
        <v>93</v>
      </c>
      <c r="F25" s="203">
        <v>43749</v>
      </c>
      <c r="G25" s="196"/>
      <c r="H25" s="325"/>
      <c r="I25" s="325"/>
      <c r="J25" s="325"/>
      <c r="K25" s="325"/>
      <c r="L25" s="325"/>
      <c r="M25" s="325"/>
      <c r="N25" s="325"/>
      <c r="O25" s="325"/>
      <c r="P25" s="328">
        <v>2</v>
      </c>
      <c r="Q25" s="328">
        <v>2.99</v>
      </c>
      <c r="R25" s="325"/>
      <c r="S25" s="325"/>
      <c r="T25" s="325"/>
      <c r="U25" s="325"/>
      <c r="V25" s="198" t="s">
        <v>180</v>
      </c>
      <c r="W25" s="200"/>
      <c r="X25" s="200">
        <f t="shared" si="4"/>
        <v>1</v>
      </c>
      <c r="Y25" s="130">
        <v>0</v>
      </c>
      <c r="Z25" s="200">
        <v>0</v>
      </c>
      <c r="AA25" s="329"/>
      <c r="AB25" s="329"/>
      <c r="AC25" s="330"/>
      <c r="AD25" s="330"/>
      <c r="AE25" s="330"/>
      <c r="AF25" s="330">
        <v>3.5</v>
      </c>
      <c r="AG25" s="330"/>
      <c r="AH25" s="330">
        <v>2</v>
      </c>
      <c r="AI25" s="330"/>
      <c r="AJ25" s="202" t="s">
        <v>245</v>
      </c>
      <c r="AK25" s="312" t="s">
        <v>293</v>
      </c>
    </row>
    <row r="26" spans="1:37" x14ac:dyDescent="0.25">
      <c r="A26" s="135" t="s">
        <v>196</v>
      </c>
      <c r="B26" s="133">
        <v>16</v>
      </c>
      <c r="C26" s="128">
        <f ca="1">71+$A$30-$A$32</f>
        <v>90</v>
      </c>
      <c r="D26" s="134"/>
      <c r="E26" s="195">
        <f t="shared" ca="1" si="3"/>
        <v>93</v>
      </c>
      <c r="F26" s="203">
        <v>43749</v>
      </c>
      <c r="G26" s="196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198" t="s">
        <v>180</v>
      </c>
      <c r="W26" s="200"/>
      <c r="X26" s="200">
        <f>COUNT(I26,K26,#REF!,O26,Q26,S26,U26)</f>
        <v>0</v>
      </c>
      <c r="Y26" s="130">
        <v>0</v>
      </c>
      <c r="Z26" s="200">
        <v>0</v>
      </c>
      <c r="AA26" s="329"/>
      <c r="AB26" s="329"/>
      <c r="AC26" s="330"/>
      <c r="AD26" s="330"/>
      <c r="AE26" s="330"/>
      <c r="AF26" s="330"/>
      <c r="AG26" s="330"/>
      <c r="AH26" s="330">
        <v>3.5</v>
      </c>
      <c r="AI26" s="330"/>
      <c r="AJ26" s="202" t="s">
        <v>243</v>
      </c>
      <c r="AK26" s="312" t="s">
        <v>301</v>
      </c>
    </row>
    <row r="27" spans="1:37" x14ac:dyDescent="0.25">
      <c r="A27" s="135" t="s">
        <v>197</v>
      </c>
      <c r="B27" s="133">
        <v>17</v>
      </c>
      <c r="C27" s="128">
        <f ca="1">103+$A$30-$A$32-112</f>
        <v>10</v>
      </c>
      <c r="D27" s="134"/>
      <c r="E27" s="195">
        <f t="shared" ca="1" si="3"/>
        <v>93</v>
      </c>
      <c r="F27" s="203">
        <v>43749</v>
      </c>
      <c r="G27" s="196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198" t="s">
        <v>180</v>
      </c>
      <c r="W27" s="200"/>
      <c r="X27" s="200">
        <f>COUNT(I27,K27,M27,O27,Q27,S27,U27)</f>
        <v>0</v>
      </c>
      <c r="Y27" s="130">
        <v>0</v>
      </c>
      <c r="Z27" s="200">
        <v>0</v>
      </c>
      <c r="AA27" s="329"/>
      <c r="AB27" s="329"/>
      <c r="AC27" s="330"/>
      <c r="AD27" s="330"/>
      <c r="AE27" s="330"/>
      <c r="AF27" s="330"/>
      <c r="AG27" s="330"/>
      <c r="AH27" s="330"/>
      <c r="AI27" s="330"/>
      <c r="AJ27" s="202" t="s">
        <v>245</v>
      </c>
      <c r="AK27" s="312" t="s">
        <v>302</v>
      </c>
    </row>
    <row r="28" spans="1:37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J28" s="131"/>
      <c r="AK28" s="316"/>
    </row>
    <row r="29" spans="1:37" x14ac:dyDescent="0.25">
      <c r="A29" s="138" t="s">
        <v>198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J29" s="141"/>
      <c r="AK29" s="317"/>
    </row>
    <row r="30" spans="1:37" x14ac:dyDescent="0.25">
      <c r="A30" s="142">
        <f ca="1">TODAY()</f>
        <v>43656</v>
      </c>
      <c r="B30" s="143"/>
      <c r="C30" s="139"/>
      <c r="D30" s="139"/>
      <c r="E30" s="140"/>
      <c r="F30" s="1" t="s">
        <v>199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J30" s="144"/>
      <c r="AK30" s="317"/>
    </row>
    <row r="31" spans="1:37" x14ac:dyDescent="0.25">
      <c r="A31" s="145">
        <f ca="1">A32-A30</f>
        <v>-19</v>
      </c>
      <c r="B31" s="133"/>
      <c r="C31" s="133"/>
      <c r="D31" s="133"/>
      <c r="E31" s="133"/>
      <c r="F31" s="303" t="s">
        <v>200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J31" s="141"/>
      <c r="AK31" s="317"/>
    </row>
    <row r="32" spans="1:37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J32" s="141"/>
      <c r="AK32" s="317"/>
    </row>
    <row r="33" spans="1:37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J33" s="141"/>
      <c r="AK33" s="317"/>
    </row>
    <row r="34" spans="1:37" x14ac:dyDescent="0.25">
      <c r="F34" s="132" t="s">
        <v>200</v>
      </c>
    </row>
  </sheetData>
  <mergeCells count="3">
    <mergeCell ref="A1:E1"/>
    <mergeCell ref="A6:E6"/>
    <mergeCell ref="A14:E14"/>
  </mergeCells>
  <conditionalFormatting sqref="E4:E5 E9:E13 E17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17:AI27 AA4:AI5 AA9:AI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7 X4:X5 X9:X1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M18" sqref="M18"/>
    </sheetView>
  </sheetViews>
  <sheetFormatPr baseColWidth="10" defaultRowHeight="15" x14ac:dyDescent="0.25"/>
  <sheetData>
    <row r="1" spans="1:1" s="375" customFormat="1" x14ac:dyDescent="0.25">
      <c r="A1" s="375" t="s">
        <v>344</v>
      </c>
    </row>
    <row r="2" spans="1:1" x14ac:dyDescent="0.25">
      <c r="A2" t="s">
        <v>345</v>
      </c>
    </row>
    <row r="3" spans="1:1" x14ac:dyDescent="0.25">
      <c r="A3" t="s">
        <v>346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Q10" sqref="Q10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84" t="s">
        <v>274</v>
      </c>
      <c r="E1" s="385"/>
      <c r="F1" s="385"/>
      <c r="G1" s="385"/>
      <c r="H1" s="385"/>
      <c r="I1" s="386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252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87" t="s">
        <v>248</v>
      </c>
      <c r="E2" s="388"/>
      <c r="F2" s="388"/>
      <c r="G2" s="388"/>
      <c r="H2" s="388"/>
      <c r="I2" s="389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253" t="s">
        <v>103</v>
      </c>
      <c r="R2" s="79" t="s">
        <v>104</v>
      </c>
      <c r="S2" s="79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90" t="s">
        <v>249</v>
      </c>
      <c r="E3" s="391"/>
      <c r="F3" s="207"/>
      <c r="G3" s="392" t="s">
        <v>250</v>
      </c>
      <c r="H3" s="393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254">
        <f>P3+P11/30</f>
        <v>184</v>
      </c>
      <c r="R3" s="81">
        <f t="shared" ref="R3:AE3" si="1">Q3+Q11/30</f>
        <v>236</v>
      </c>
      <c r="S3" s="81">
        <f t="shared" si="1"/>
        <v>288</v>
      </c>
      <c r="T3" s="81">
        <f t="shared" si="1"/>
        <v>340</v>
      </c>
      <c r="U3" s="81">
        <f t="shared" si="1"/>
        <v>360</v>
      </c>
      <c r="V3" s="81">
        <f t="shared" si="1"/>
        <v>380</v>
      </c>
      <c r="W3" s="81">
        <f t="shared" si="1"/>
        <v>400</v>
      </c>
      <c r="X3" s="81">
        <f t="shared" si="1"/>
        <v>420</v>
      </c>
      <c r="Y3" s="81">
        <f t="shared" si="1"/>
        <v>440</v>
      </c>
      <c r="Z3" s="81">
        <f t="shared" si="1"/>
        <v>460</v>
      </c>
      <c r="AA3" s="81">
        <f t="shared" si="1"/>
        <v>480</v>
      </c>
      <c r="AB3" s="81">
        <f t="shared" si="1"/>
        <v>500</v>
      </c>
      <c r="AC3" s="81">
        <f t="shared" si="1"/>
        <v>520</v>
      </c>
      <c r="AD3" s="81">
        <f t="shared" si="1"/>
        <v>540</v>
      </c>
      <c r="AE3" s="81">
        <f t="shared" si="1"/>
        <v>560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275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7">
        <f t="shared" ref="Q4:AE4" si="2">P4-P13+P23</f>
        <v>0</v>
      </c>
      <c r="R4" s="257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251</v>
      </c>
      <c r="E5" s="212">
        <f>SUM(E6:E8)</f>
        <v>356700</v>
      </c>
      <c r="F5" s="258">
        <f>E5/E35</f>
        <v>0.10987467448819101</v>
      </c>
      <c r="G5" s="211" t="s">
        <v>252</v>
      </c>
      <c r="H5" s="259">
        <f>H6+H7</f>
        <v>300000</v>
      </c>
      <c r="I5" s="213">
        <f>H5/$H$35</f>
        <v>9.2409314119588748E-2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4">
        <f t="shared" si="3"/>
        <v>909316</v>
      </c>
      <c r="R5" s="84">
        <f t="shared" si="3"/>
        <v>1149116</v>
      </c>
      <c r="S5" s="84">
        <f t="shared" si="3"/>
        <v>1158201</v>
      </c>
      <c r="T5" s="84">
        <f t="shared" si="3"/>
        <v>1106536</v>
      </c>
      <c r="U5" s="84">
        <f t="shared" si="3"/>
        <v>1116161</v>
      </c>
      <c r="V5" s="84">
        <f t="shared" si="3"/>
        <v>1067036</v>
      </c>
      <c r="W5" s="84">
        <f t="shared" si="3"/>
        <v>1080161</v>
      </c>
      <c r="X5" s="84">
        <f t="shared" si="3"/>
        <v>1032536</v>
      </c>
      <c r="Y5" s="84">
        <f t="shared" si="3"/>
        <v>1047161</v>
      </c>
      <c r="Z5" s="84">
        <f t="shared" si="3"/>
        <v>1001036</v>
      </c>
      <c r="AA5" s="84">
        <f t="shared" si="3"/>
        <v>1017161</v>
      </c>
      <c r="AB5" s="84">
        <f t="shared" si="3"/>
        <v>972536</v>
      </c>
      <c r="AC5" s="84">
        <f t="shared" si="3"/>
        <v>990161</v>
      </c>
      <c r="AD5" s="84">
        <f t="shared" si="3"/>
        <v>1008536</v>
      </c>
      <c r="AE5" s="84">
        <f t="shared" si="3"/>
        <v>966161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0.30937481416952989</v>
      </c>
      <c r="D6" s="214" t="s">
        <v>131</v>
      </c>
      <c r="E6" s="215">
        <f>M17</f>
        <v>88000</v>
      </c>
      <c r="F6" s="260">
        <f>E6/E35</f>
        <v>2.710673214174603E-2</v>
      </c>
      <c r="G6" s="216" t="s">
        <v>253</v>
      </c>
      <c r="H6" s="261">
        <v>300000</v>
      </c>
      <c r="I6" s="262">
        <f>H6/$H$35</f>
        <v>9.2409314119588748E-2</v>
      </c>
      <c r="K6" s="244" t="s">
        <v>118</v>
      </c>
      <c r="L6" s="244" t="s">
        <v>118</v>
      </c>
      <c r="M6" s="263">
        <f>SUM(N6:AE6)</f>
        <v>801196</v>
      </c>
      <c r="N6" s="293">
        <v>0</v>
      </c>
      <c r="O6" s="293">
        <f>140449+2239</f>
        <v>142688</v>
      </c>
      <c r="P6" s="293">
        <f>2819+39724</f>
        <v>42543</v>
      </c>
      <c r="Q6" s="241">
        <f>81809+54656</f>
        <v>136465</v>
      </c>
      <c r="R6" s="241">
        <v>65000</v>
      </c>
      <c r="S6" s="241">
        <v>3500</v>
      </c>
      <c r="T6" s="241">
        <v>65000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0.26610151035283269</v>
      </c>
      <c r="D7" s="214" t="s">
        <v>136</v>
      </c>
      <c r="E7" s="215">
        <f>M21</f>
        <v>268700</v>
      </c>
      <c r="F7" s="260">
        <f>E7/E35</f>
        <v>8.2767942346444981E-2</v>
      </c>
      <c r="G7" s="216" t="s">
        <v>254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689130</v>
      </c>
      <c r="N7" s="293">
        <v>0</v>
      </c>
      <c r="O7" s="293">
        <v>30345</v>
      </c>
      <c r="P7" s="293">
        <v>32010</v>
      </c>
      <c r="Q7" s="243">
        <v>34785</v>
      </c>
      <c r="R7" s="243">
        <f t="shared" ref="R7:AE7" si="7">Q7+1000</f>
        <v>35785</v>
      </c>
      <c r="S7" s="243">
        <f t="shared" si="7"/>
        <v>36785</v>
      </c>
      <c r="T7" s="243">
        <f t="shared" si="7"/>
        <v>37785</v>
      </c>
      <c r="U7" s="243">
        <f t="shared" si="7"/>
        <v>38785</v>
      </c>
      <c r="V7" s="243">
        <f t="shared" si="7"/>
        <v>39785</v>
      </c>
      <c r="W7" s="243">
        <f t="shared" si="7"/>
        <v>40785</v>
      </c>
      <c r="X7" s="243">
        <f t="shared" si="7"/>
        <v>41785</v>
      </c>
      <c r="Y7" s="243">
        <f t="shared" si="7"/>
        <v>42785</v>
      </c>
      <c r="Z7" s="243">
        <f t="shared" si="7"/>
        <v>43785</v>
      </c>
      <c r="AA7" s="243">
        <f t="shared" si="7"/>
        <v>44785</v>
      </c>
      <c r="AB7" s="243">
        <f t="shared" si="7"/>
        <v>45785</v>
      </c>
      <c r="AC7" s="243">
        <f t="shared" si="7"/>
        <v>46785</v>
      </c>
      <c r="AD7" s="243">
        <f t="shared" si="7"/>
        <v>47785</v>
      </c>
      <c r="AE7" s="243">
        <f t="shared" si="7"/>
        <v>48785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255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8.4951072043915072E-3</v>
      </c>
      <c r="D10" s="211" t="s">
        <v>276</v>
      </c>
      <c r="E10" s="212">
        <f>E11+E12+E13</f>
        <v>0</v>
      </c>
      <c r="F10" s="258">
        <f>E10/E35</f>
        <v>0</v>
      </c>
      <c r="G10" s="211" t="s">
        <v>256</v>
      </c>
      <c r="H10" s="259">
        <f>SUM(H11:H16)</f>
        <v>981236</v>
      </c>
      <c r="I10" s="213">
        <f t="shared" ref="I10:I16" si="8">H10/$H$35</f>
        <v>0.30225115249816259</v>
      </c>
      <c r="K10" s="244" t="s">
        <v>123</v>
      </c>
      <c r="L10" s="244" t="s">
        <v>123</v>
      </c>
      <c r="M10" s="263">
        <f t="shared" si="6"/>
        <v>22000</v>
      </c>
      <c r="N10" s="293">
        <v>0</v>
      </c>
      <c r="O10" s="293">
        <v>0</v>
      </c>
      <c r="P10" s="293">
        <v>0</v>
      </c>
      <c r="Q10" s="243">
        <f>P10</f>
        <v>0</v>
      </c>
      <c r="R10" s="24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2000</v>
      </c>
      <c r="V10" s="243">
        <f t="shared" si="9"/>
        <v>2000</v>
      </c>
      <c r="W10" s="243">
        <f t="shared" si="9"/>
        <v>2000</v>
      </c>
      <c r="X10" s="243">
        <f t="shared" si="9"/>
        <v>2000</v>
      </c>
      <c r="Y10" s="243">
        <f t="shared" si="9"/>
        <v>2000</v>
      </c>
      <c r="Z10" s="243">
        <f t="shared" si="9"/>
        <v>2000</v>
      </c>
      <c r="AA10" s="243">
        <f t="shared" si="9"/>
        <v>2000</v>
      </c>
      <c r="AB10" s="243">
        <f t="shared" si="9"/>
        <v>2000</v>
      </c>
      <c r="AC10" s="243">
        <f t="shared" si="9"/>
        <v>2000</v>
      </c>
      <c r="AD10" s="243">
        <f t="shared" si="9"/>
        <v>2000</v>
      </c>
      <c r="AE10" s="243">
        <f t="shared" si="9"/>
        <v>2000</v>
      </c>
    </row>
    <row r="11" spans="1:35" x14ac:dyDescent="0.25">
      <c r="A11" s="244" t="str">
        <f t="shared" si="4"/>
        <v>Nuevos Socios</v>
      </c>
      <c r="B11" s="298">
        <f t="shared" si="5"/>
        <v>5.5604338065108044E-3</v>
      </c>
      <c r="D11" s="222" t="s">
        <v>277</v>
      </c>
      <c r="E11" s="223">
        <f>N4</f>
        <v>0</v>
      </c>
      <c r="F11" s="260">
        <f>E11/E35</f>
        <v>0</v>
      </c>
      <c r="G11" s="231" t="s">
        <v>258</v>
      </c>
      <c r="H11" s="265">
        <v>0</v>
      </c>
      <c r="I11" s="262">
        <f t="shared" si="8"/>
        <v>0</v>
      </c>
      <c r="K11" s="395" t="s">
        <v>124</v>
      </c>
      <c r="L11" s="244" t="s">
        <v>125</v>
      </c>
      <c r="M11" s="263">
        <f t="shared" si="6"/>
        <v>14400</v>
      </c>
      <c r="N11" s="293">
        <v>0</v>
      </c>
      <c r="O11" s="293">
        <v>1200</v>
      </c>
      <c r="P11" s="293">
        <v>1320</v>
      </c>
      <c r="Q11" s="243">
        <f>780*2</f>
        <v>1560</v>
      </c>
      <c r="R11" s="243">
        <f t="shared" si="9"/>
        <v>1560</v>
      </c>
      <c r="S11" s="243">
        <f t="shared" si="9"/>
        <v>1560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0.41046813446673508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259</v>
      </c>
      <c r="H12" s="267">
        <v>0</v>
      </c>
      <c r="I12" s="268">
        <f t="shared" si="8"/>
        <v>0</v>
      </c>
      <c r="K12" s="396"/>
      <c r="L12" s="244" t="s">
        <v>126</v>
      </c>
      <c r="M12" s="263">
        <f t="shared" si="6"/>
        <v>1063000</v>
      </c>
      <c r="N12" s="293">
        <v>0</v>
      </c>
      <c r="O12" s="293">
        <v>903000</v>
      </c>
      <c r="P12" s="293">
        <v>0</v>
      </c>
      <c r="Q12" s="243">
        <v>160000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261</v>
      </c>
      <c r="H13" s="265">
        <v>0</v>
      </c>
      <c r="I13" s="262">
        <f t="shared" si="8"/>
        <v>0</v>
      </c>
      <c r="J13" s="270"/>
      <c r="K13" s="397"/>
      <c r="L13" s="244" t="s">
        <v>278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43">
        <f t="shared" ref="Q13:AE13" si="10">P13</f>
        <v>0</v>
      </c>
      <c r="R13" s="24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263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2589726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332810</v>
      </c>
      <c r="R14" s="294">
        <f t="shared" si="11"/>
        <v>102345</v>
      </c>
      <c r="S14" s="294">
        <f t="shared" si="11"/>
        <v>41845</v>
      </c>
      <c r="T14" s="294">
        <f t="shared" si="11"/>
        <v>103385</v>
      </c>
      <c r="U14" s="294">
        <f t="shared" si="11"/>
        <v>44885</v>
      </c>
      <c r="V14" s="294">
        <f t="shared" si="11"/>
        <v>107385</v>
      </c>
      <c r="W14" s="294">
        <f t="shared" si="11"/>
        <v>46885</v>
      </c>
      <c r="X14" s="294">
        <f t="shared" si="11"/>
        <v>109385</v>
      </c>
      <c r="Y14" s="294">
        <f t="shared" si="11"/>
        <v>48885</v>
      </c>
      <c r="Z14" s="294">
        <f t="shared" si="11"/>
        <v>111385</v>
      </c>
      <c r="AA14" s="294">
        <f t="shared" si="11"/>
        <v>50885</v>
      </c>
      <c r="AB14" s="294">
        <f t="shared" si="11"/>
        <v>113385</v>
      </c>
      <c r="AC14" s="294">
        <f t="shared" si="11"/>
        <v>114385</v>
      </c>
      <c r="AD14" s="294">
        <f t="shared" si="11"/>
        <v>53885</v>
      </c>
      <c r="AE14" s="294">
        <f t="shared" si="11"/>
        <v>54885</v>
      </c>
    </row>
    <row r="15" spans="1:35" ht="18.75" x14ac:dyDescent="0.3">
      <c r="A15" s="402">
        <f>M14</f>
        <v>2589726</v>
      </c>
      <c r="B15" s="402"/>
      <c r="D15" s="211" t="s">
        <v>141</v>
      </c>
      <c r="E15" s="212">
        <f>SUM(E16:E19)</f>
        <v>0</v>
      </c>
      <c r="F15" s="258">
        <f>E15/E35</f>
        <v>0</v>
      </c>
      <c r="G15" s="231" t="s">
        <v>264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163730</v>
      </c>
      <c r="N15" s="295">
        <v>0</v>
      </c>
      <c r="O15" s="295">
        <v>8040</v>
      </c>
      <c r="P15" s="295">
        <v>8090</v>
      </c>
      <c r="Q15" s="249">
        <v>8090</v>
      </c>
      <c r="R15" s="249">
        <f t="shared" ref="R15:AE15" si="12">Q15+250</f>
        <v>8340</v>
      </c>
      <c r="S15" s="249">
        <f t="shared" si="12"/>
        <v>8590</v>
      </c>
      <c r="T15" s="249">
        <f t="shared" si="12"/>
        <v>8840</v>
      </c>
      <c r="U15" s="249">
        <f t="shared" si="12"/>
        <v>9090</v>
      </c>
      <c r="V15" s="249">
        <f t="shared" si="12"/>
        <v>9340</v>
      </c>
      <c r="W15" s="249">
        <f t="shared" si="12"/>
        <v>9590</v>
      </c>
      <c r="X15" s="249">
        <f t="shared" si="12"/>
        <v>9840</v>
      </c>
      <c r="Y15" s="249">
        <f t="shared" si="12"/>
        <v>10090</v>
      </c>
      <c r="Z15" s="249">
        <f t="shared" si="12"/>
        <v>10340</v>
      </c>
      <c r="AA15" s="249">
        <f t="shared" si="12"/>
        <v>10590</v>
      </c>
      <c r="AB15" s="249">
        <f t="shared" si="12"/>
        <v>10840</v>
      </c>
      <c r="AC15" s="249">
        <f t="shared" si="12"/>
        <v>11090</v>
      </c>
      <c r="AD15" s="249">
        <f t="shared" si="12"/>
        <v>11340</v>
      </c>
      <c r="AE15" s="249">
        <f t="shared" si="12"/>
        <v>11590</v>
      </c>
    </row>
    <row r="16" spans="1:35" x14ac:dyDescent="0.25">
      <c r="D16" s="222" t="s">
        <v>257</v>
      </c>
      <c r="E16" s="223">
        <v>0</v>
      </c>
      <c r="F16" s="260">
        <f>E16/E35</f>
        <v>0</v>
      </c>
      <c r="G16" s="274" t="s">
        <v>265</v>
      </c>
      <c r="H16" s="275">
        <f>E29-H26</f>
        <v>981236</v>
      </c>
      <c r="I16" s="262">
        <f t="shared" si="8"/>
        <v>0.30225115249816259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49">
        <v>7800</v>
      </c>
      <c r="R16" s="249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49">
        <v>0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260</v>
      </c>
      <c r="E18" s="223">
        <v>0</v>
      </c>
      <c r="F18" s="260">
        <f>E18/E35</f>
        <v>0</v>
      </c>
      <c r="G18" s="211" t="s">
        <v>266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49">
        <f>P18</f>
        <v>57120</v>
      </c>
      <c r="R18" s="249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262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49">
        <v>20000</v>
      </c>
      <c r="R19" s="249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49">
        <v>0</v>
      </c>
      <c r="R20" s="249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98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49">
        <v>0</v>
      </c>
      <c r="R21" s="249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267</v>
      </c>
      <c r="H22" s="259">
        <f>SUM(H23:H24)</f>
        <v>356700</v>
      </c>
      <c r="I22" s="213">
        <f>H22/$H$35</f>
        <v>0.10987467448819101</v>
      </c>
      <c r="K22" s="399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49">
        <v>0</v>
      </c>
      <c r="R22" s="249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2.710673214174603E-2</v>
      </c>
      <c r="K23" s="400"/>
      <c r="L23" s="246" t="s">
        <v>279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49">
        <v>0</v>
      </c>
      <c r="R23" s="249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8.3315099303375245E-2</v>
      </c>
      <c r="C24" s="85"/>
      <c r="D24" s="211" t="s">
        <v>280</v>
      </c>
      <c r="E24" s="212">
        <f>E25+E26-E27</f>
        <v>300000</v>
      </c>
      <c r="F24" s="258">
        <f>E24/E35</f>
        <v>9.2409314119588748E-2</v>
      </c>
      <c r="G24" s="228" t="s">
        <v>136</v>
      </c>
      <c r="H24" s="283">
        <f>M21</f>
        <v>268700</v>
      </c>
      <c r="I24" s="262">
        <f>H24/$H$35</f>
        <v>8.2767942346444981E-2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49">
        <v>0</v>
      </c>
      <c r="R24" s="249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6.6761992479098711E-2</v>
      </c>
      <c r="C25" s="75"/>
      <c r="D25" s="231" t="s">
        <v>281</v>
      </c>
      <c r="E25" s="232">
        <f>N5</f>
        <v>300000</v>
      </c>
      <c r="F25" s="260">
        <f>E25/E35</f>
        <v>9.2409314119588748E-2</v>
      </c>
      <c r="G25" s="229"/>
      <c r="H25" s="284"/>
      <c r="I25" s="230"/>
      <c r="K25" s="247" t="s">
        <v>139</v>
      </c>
      <c r="L25" s="248"/>
      <c r="M25" s="87">
        <f>SUM(N25:AE25)</f>
        <v>1965190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93260</v>
      </c>
      <c r="S25" s="250">
        <f t="shared" si="18"/>
        <v>93510</v>
      </c>
      <c r="T25" s="250">
        <f t="shared" si="18"/>
        <v>93760</v>
      </c>
      <c r="U25" s="250">
        <f t="shared" si="18"/>
        <v>94010</v>
      </c>
      <c r="V25" s="250">
        <f t="shared" si="18"/>
        <v>94260</v>
      </c>
      <c r="W25" s="250">
        <f t="shared" si="18"/>
        <v>94510</v>
      </c>
      <c r="X25" s="250">
        <f t="shared" si="18"/>
        <v>94760</v>
      </c>
      <c r="Y25" s="250">
        <f t="shared" si="18"/>
        <v>95010</v>
      </c>
      <c r="Z25" s="250">
        <f t="shared" si="18"/>
        <v>95260</v>
      </c>
      <c r="AA25" s="250">
        <f t="shared" si="18"/>
        <v>95510</v>
      </c>
      <c r="AB25" s="250">
        <f t="shared" si="18"/>
        <v>95760</v>
      </c>
      <c r="AC25" s="250">
        <f t="shared" si="18"/>
        <v>96010</v>
      </c>
      <c r="AD25" s="250">
        <f t="shared" si="18"/>
        <v>96260</v>
      </c>
      <c r="AE25" s="250">
        <f t="shared" si="18"/>
        <v>96510</v>
      </c>
    </row>
    <row r="26" spans="1:31" ht="18.75" x14ac:dyDescent="0.3">
      <c r="A26" s="246" t="str">
        <f t="shared" si="16"/>
        <v>Estadio</v>
      </c>
      <c r="B26" s="299">
        <f t="shared" si="17"/>
        <v>4.4779385199395477E-2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269</v>
      </c>
      <c r="H26" s="259">
        <f>SUM(H27:H32)</f>
        <v>1608490</v>
      </c>
      <c r="I26" s="213">
        <f t="shared" ref="I26:I32" si="19">H26/$H$35</f>
        <v>0.49546485889405767</v>
      </c>
      <c r="K26" s="89" t="s">
        <v>140</v>
      </c>
      <c r="L26" s="89"/>
      <c r="M26" s="84">
        <f t="shared" ref="M26:AE26" si="20">M5+M14-M25</f>
        <v>924536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1149116</v>
      </c>
      <c r="R26" s="84">
        <f t="shared" si="20"/>
        <v>1158201</v>
      </c>
      <c r="S26" s="84">
        <f t="shared" si="20"/>
        <v>1106536</v>
      </c>
      <c r="T26" s="84">
        <f t="shared" si="20"/>
        <v>1116161</v>
      </c>
      <c r="U26" s="84">
        <f t="shared" si="20"/>
        <v>1067036</v>
      </c>
      <c r="V26" s="84">
        <f t="shared" si="20"/>
        <v>1080161</v>
      </c>
      <c r="W26" s="84">
        <f t="shared" si="20"/>
        <v>1032536</v>
      </c>
      <c r="X26" s="84">
        <f t="shared" si="20"/>
        <v>1047161</v>
      </c>
      <c r="Y26" s="84">
        <f t="shared" si="20"/>
        <v>1001036</v>
      </c>
      <c r="Z26" s="84">
        <f t="shared" si="20"/>
        <v>1017161</v>
      </c>
      <c r="AA26" s="84">
        <f t="shared" si="20"/>
        <v>972536</v>
      </c>
      <c r="AB26" s="84">
        <f t="shared" si="20"/>
        <v>990161</v>
      </c>
      <c r="AC26" s="84">
        <f t="shared" si="20"/>
        <v>1008536</v>
      </c>
      <c r="AD26" s="84">
        <f t="shared" si="20"/>
        <v>966161</v>
      </c>
      <c r="AE26" s="84">
        <f t="shared" si="20"/>
        <v>924536</v>
      </c>
    </row>
    <row r="27" spans="1:31" x14ac:dyDescent="0.25">
      <c r="A27" s="246" t="str">
        <f t="shared" si="16"/>
        <v>Empleados</v>
      </c>
      <c r="B27" s="299">
        <f t="shared" si="17"/>
        <v>0.48166335061749754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270</v>
      </c>
      <c r="H27" s="283">
        <f>M15</f>
        <v>163730</v>
      </c>
      <c r="I27" s="262">
        <f t="shared" si="19"/>
        <v>5.0433923336000885E-2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0.18318839399752695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4.0413673374966812E-2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268</v>
      </c>
      <c r="E29" s="212">
        <f>SUM(E30:E34)</f>
        <v>2589726</v>
      </c>
      <c r="F29" s="258">
        <f>E29/E35</f>
        <v>0.79771601139222026</v>
      </c>
      <c r="G29" s="228" t="s">
        <v>132</v>
      </c>
      <c r="H29" s="283">
        <f>M18</f>
        <v>946560</v>
      </c>
      <c r="I29" s="262">
        <f t="shared" si="19"/>
        <v>0.2915698679101264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0.13672978185315415</v>
      </c>
      <c r="D30" s="231" t="s">
        <v>116</v>
      </c>
      <c r="E30" s="232">
        <f>M11</f>
        <v>14400</v>
      </c>
      <c r="F30" s="260">
        <f>E30/E35</f>
        <v>4.4356470777402596E-3</v>
      </c>
      <c r="G30" s="228" t="s">
        <v>133</v>
      </c>
      <c r="H30" s="283">
        <f>M19</f>
        <v>360000</v>
      </c>
      <c r="I30" s="262">
        <f t="shared" si="19"/>
        <v>0.11089117694350649</v>
      </c>
      <c r="K30" s="73"/>
      <c r="L30" s="401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3.561996549951913E-3</v>
      </c>
      <c r="D31" s="231" t="s">
        <v>126</v>
      </c>
      <c r="E31" s="232">
        <f>M12</f>
        <v>1063000</v>
      </c>
      <c r="F31" s="260">
        <f>E31/E35</f>
        <v>0.32743700303040946</v>
      </c>
      <c r="G31" s="228" t="s">
        <v>137</v>
      </c>
      <c r="H31" s="283">
        <f>M22</f>
        <v>7000</v>
      </c>
      <c r="I31" s="262">
        <f t="shared" si="19"/>
        <v>2.1562173294570708E-3</v>
      </c>
      <c r="K31" s="73"/>
      <c r="L31" s="401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801196</v>
      </c>
      <c r="F32" s="260">
        <f>E32/E35</f>
        <v>0.24679324278452675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401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689130</v>
      </c>
      <c r="F33" s="260">
        <f>E33/E35</f>
        <v>0.21227343546410729</v>
      </c>
      <c r="G33" s="224"/>
      <c r="H33" s="281"/>
      <c r="I33" s="282"/>
      <c r="K33" s="73"/>
      <c r="L33" s="401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22000</v>
      </c>
      <c r="F34" s="260">
        <f>E34/E35</f>
        <v>6.7766830354365074E-3</v>
      </c>
      <c r="G34" s="287"/>
      <c r="H34" s="288"/>
      <c r="I34" s="289"/>
      <c r="K34" s="73"/>
      <c r="L34" s="401"/>
      <c r="M34" s="98" t="s">
        <v>146</v>
      </c>
      <c r="N34" s="99" t="s">
        <v>147</v>
      </c>
      <c r="O34" s="99" t="s">
        <v>247</v>
      </c>
      <c r="P34" s="99" t="s">
        <v>286</v>
      </c>
      <c r="Q34" s="99" t="s">
        <v>290</v>
      </c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03">
        <f>M25</f>
        <v>1965190</v>
      </c>
      <c r="B35" s="403"/>
      <c r="D35" s="290" t="s">
        <v>226</v>
      </c>
      <c r="E35" s="291">
        <f>E29+E21+E15+E5+E10+E24</f>
        <v>3246426</v>
      </c>
      <c r="F35" s="233">
        <f>F29+F21+F15+F5+F10+F24</f>
        <v>1</v>
      </c>
      <c r="G35" s="290" t="s">
        <v>226</v>
      </c>
      <c r="H35" s="291">
        <f>H26+H18+H10+H5+H22</f>
        <v>3246426</v>
      </c>
      <c r="I35" s="292">
        <f>H35/$H$35</f>
        <v>1</v>
      </c>
      <c r="K35" s="73"/>
      <c r="L35" s="401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401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401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 t="e">
        <f t="shared" si="23"/>
        <v>#DIV/0!</v>
      </c>
      <c r="S38" s="102" t="e">
        <f t="shared" si="23"/>
        <v>#DIV/0!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404"/>
      <c r="R39" s="404"/>
      <c r="S39" s="404"/>
      <c r="T39" s="404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94"/>
      <c r="R42" s="394"/>
      <c r="S42" s="394"/>
      <c r="T42" s="394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94"/>
      <c r="R44" s="394"/>
      <c r="S44" s="394"/>
      <c r="T44" s="394"/>
      <c r="Z44" s="104"/>
    </row>
    <row r="45" spans="1:31" x14ac:dyDescent="0.25">
      <c r="K45" s="61"/>
      <c r="L45" s="61"/>
      <c r="M45" s="61"/>
      <c r="N45" s="61"/>
      <c r="P45" s="74"/>
      <c r="Q45" s="394"/>
      <c r="R45" s="394"/>
      <c r="S45" s="394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201</v>
      </c>
      <c r="N1" s="149" t="s">
        <v>202</v>
      </c>
      <c r="O1" s="149" t="s">
        <v>203</v>
      </c>
      <c r="P1" s="149" t="s">
        <v>204</v>
      </c>
      <c r="Q1" s="149" t="s">
        <v>205</v>
      </c>
      <c r="R1" s="149" t="s">
        <v>206</v>
      </c>
      <c r="S1" s="149" t="s">
        <v>207</v>
      </c>
      <c r="U1" s="149" t="s">
        <v>208</v>
      </c>
    </row>
    <row r="2" spans="1:35" x14ac:dyDescent="0.25">
      <c r="C2" s="150" t="s">
        <v>209</v>
      </c>
      <c r="D2" s="405" t="s">
        <v>210</v>
      </c>
      <c r="E2" s="405"/>
      <c r="F2" s="406" t="s">
        <v>211</v>
      </c>
      <c r="G2" s="406"/>
      <c r="H2" s="407" t="s">
        <v>212</v>
      </c>
      <c r="I2" s="407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213</v>
      </c>
      <c r="B3" s="156">
        <f>B4+B5+B6+B7</f>
        <v>12000</v>
      </c>
      <c r="C3" s="157">
        <f>C4+C5+C6+C7</f>
        <v>12400</v>
      </c>
      <c r="D3" s="25" t="s">
        <v>214</v>
      </c>
      <c r="E3" s="25" t="s">
        <v>215</v>
      </c>
      <c r="F3" s="25" t="s">
        <v>214</v>
      </c>
      <c r="G3" s="25" t="s">
        <v>216</v>
      </c>
      <c r="H3" s="25" t="s">
        <v>214</v>
      </c>
      <c r="I3" s="158" t="s">
        <v>217</v>
      </c>
      <c r="J3" s="25" t="s">
        <v>218</v>
      </c>
      <c r="K3" s="25" t="s">
        <v>219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220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221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222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223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224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225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226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227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228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229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230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231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232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233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234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235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236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237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238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239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240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241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242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Hall_of_Fame</vt:lpstr>
      <vt:lpstr>Plantilla</vt:lpstr>
      <vt:lpstr>Juvenils</vt:lpstr>
      <vt:lpstr>Planning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2019-07-10T15:41:47Z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