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/>
  </bookViews>
  <sheets>
    <sheet name="OBIWAN-Agricola" sheetId="462" r:id="rId1"/>
    <sheet name="SIMULADOR" sheetId="285" r:id="rId2"/>
    <sheet name="SIMULADOR&gt;22-12-17" sheetId="435" r:id="rId3"/>
    <sheet name="SIMULADOR_sinJC" sheetId="273" r:id="rId4"/>
  </sheets>
  <calcPr calcId="152511"/>
  <fileRecoveryPr autoRecover="0"/>
</workbook>
</file>

<file path=xl/calcChain.xml><?xml version="1.0" encoding="utf-8"?>
<calcChain xmlns="http://schemas.openxmlformats.org/spreadsheetml/2006/main">
  <c r="BF48" i="462" l="1"/>
  <c r="BF47" i="462"/>
  <c r="BF46" i="462"/>
  <c r="BE45" i="462"/>
  <c r="BE44" i="462"/>
  <c r="BF45" i="462" s="1"/>
  <c r="BD44" i="462"/>
  <c r="BE43" i="462"/>
  <c r="BF44" i="462" s="1"/>
  <c r="BD43" i="462"/>
  <c r="BC43" i="462"/>
  <c r="BF42" i="462"/>
  <c r="BE42" i="462"/>
  <c r="BF43" i="462" s="1"/>
  <c r="BD42" i="462"/>
  <c r="BC42" i="462"/>
  <c r="BF41" i="462"/>
  <c r="BE41" i="462"/>
  <c r="BD41" i="462"/>
  <c r="BC41" i="462"/>
  <c r="BH40" i="462"/>
  <c r="BH45" i="462" s="1"/>
  <c r="BH50" i="462" s="1"/>
  <c r="BF40" i="462"/>
  <c r="BE40" i="462"/>
  <c r="BD40" i="462"/>
  <c r="BC40" i="462"/>
  <c r="BC39" i="462"/>
  <c r="AS38" i="462"/>
  <c r="AR38" i="462"/>
  <c r="AQ38" i="462"/>
  <c r="AP38" i="462"/>
  <c r="AO38" i="462"/>
  <c r="AN38" i="462"/>
  <c r="AM38" i="462"/>
  <c r="AL38" i="462"/>
  <c r="AK38" i="462"/>
  <c r="AJ38" i="462"/>
  <c r="AI38" i="462"/>
  <c r="AH38" i="462"/>
  <c r="AG38" i="462"/>
  <c r="AF38" i="462"/>
  <c r="AE38" i="462"/>
  <c r="AD38" i="462"/>
  <c r="AC38" i="462"/>
  <c r="AB38" i="462"/>
  <c r="AA38" i="462"/>
  <c r="Z38" i="462"/>
  <c r="Y38" i="462"/>
  <c r="X38" i="462"/>
  <c r="W38" i="462"/>
  <c r="V38" i="462"/>
  <c r="U38" i="462"/>
  <c r="T38" i="462"/>
  <c r="S38" i="462"/>
  <c r="R38" i="462"/>
  <c r="Q38" i="462"/>
  <c r="P38" i="462"/>
  <c r="O38" i="462"/>
  <c r="N38" i="462"/>
  <c r="M38" i="462"/>
  <c r="L38" i="462"/>
  <c r="K38" i="462"/>
  <c r="J38" i="462"/>
  <c r="I38" i="462"/>
  <c r="H38" i="462"/>
  <c r="G38" i="462"/>
  <c r="BH36" i="462"/>
  <c r="BH42" i="462" s="1"/>
  <c r="BH47" i="462" s="1"/>
  <c r="BH52" i="462" s="1"/>
  <c r="BH55" i="462" s="1"/>
  <c r="BH57" i="462" s="1"/>
  <c r="BL13" i="462" s="1"/>
  <c r="BF34" i="462"/>
  <c r="BF33" i="462"/>
  <c r="C33" i="462"/>
  <c r="B33" i="462"/>
  <c r="BH32" i="462"/>
  <c r="BH38" i="462" s="1"/>
  <c r="C32" i="462"/>
  <c r="B32" i="462"/>
  <c r="BH31" i="462"/>
  <c r="BL8" i="462" s="1"/>
  <c r="BP18" i="462" s="1"/>
  <c r="BP22" i="462" s="1"/>
  <c r="BP28" i="462" s="1"/>
  <c r="BP35" i="462" s="1"/>
  <c r="BP43" i="462" s="1"/>
  <c r="BE31" i="462"/>
  <c r="BF32" i="462" s="1"/>
  <c r="BP30" i="462"/>
  <c r="BP37" i="462" s="1"/>
  <c r="BP45" i="462" s="1"/>
  <c r="BH30" i="462"/>
  <c r="BH37" i="462" s="1"/>
  <c r="BH43" i="462" s="1"/>
  <c r="BH48" i="462" s="1"/>
  <c r="BH53" i="462" s="1"/>
  <c r="BH56" i="462" s="1"/>
  <c r="BH58" i="462" s="1"/>
  <c r="BH59" i="462" s="1"/>
  <c r="BE30" i="462"/>
  <c r="BD30" i="462"/>
  <c r="E30" i="462"/>
  <c r="D30" i="462"/>
  <c r="BH29" i="462"/>
  <c r="BE29" i="462"/>
  <c r="BF30" i="462" s="1"/>
  <c r="BD29" i="462"/>
  <c r="BC29" i="462"/>
  <c r="C29" i="462"/>
  <c r="B29" i="462"/>
  <c r="BH28" i="462"/>
  <c r="BH35" i="462" s="1"/>
  <c r="BH41" i="462" s="1"/>
  <c r="BH46" i="462" s="1"/>
  <c r="BH51" i="462" s="1"/>
  <c r="BH54" i="462" s="1"/>
  <c r="BE28" i="462"/>
  <c r="BD28" i="462"/>
  <c r="BC28" i="462"/>
  <c r="BH27" i="462"/>
  <c r="BH34" i="462" s="1"/>
  <c r="BF27" i="462"/>
  <c r="BE27" i="462"/>
  <c r="BF28" i="462" s="1"/>
  <c r="BD27" i="462"/>
  <c r="BC27" i="462"/>
  <c r="C27" i="462"/>
  <c r="B27" i="462"/>
  <c r="BH26" i="462"/>
  <c r="BH33" i="462" s="1"/>
  <c r="BH39" i="462" s="1"/>
  <c r="BH44" i="462" s="1"/>
  <c r="BF26" i="462"/>
  <c r="BE26" i="462"/>
  <c r="BD26" i="462"/>
  <c r="BC26" i="462"/>
  <c r="E26" i="462"/>
  <c r="E27" i="462" s="1"/>
  <c r="E23" i="462" s="1"/>
  <c r="D26" i="462"/>
  <c r="D27" i="462" s="1"/>
  <c r="C26" i="462"/>
  <c r="B26" i="462"/>
  <c r="BH25" i="462"/>
  <c r="BC25" i="462"/>
  <c r="E25" i="462"/>
  <c r="D25" i="462"/>
  <c r="C25" i="462"/>
  <c r="B25" i="462"/>
  <c r="BH24" i="462"/>
  <c r="BH23" i="462"/>
  <c r="B22" i="462"/>
  <c r="C22" i="462" s="1"/>
  <c r="B20" i="462"/>
  <c r="B21" i="462" s="1"/>
  <c r="Z19" i="462"/>
  <c r="Y19" i="462"/>
  <c r="AA19" i="462" s="1"/>
  <c r="P19" i="462"/>
  <c r="O19" i="462"/>
  <c r="Q19" i="462" s="1"/>
  <c r="AA18" i="462"/>
  <c r="Q18" i="462"/>
  <c r="Z17" i="462"/>
  <c r="Y17" i="462"/>
  <c r="Q17" i="462"/>
  <c r="P17" i="462"/>
  <c r="O17" i="462"/>
  <c r="AA16" i="462"/>
  <c r="Y16" i="462"/>
  <c r="Q16" i="462"/>
  <c r="O16" i="462"/>
  <c r="C16" i="462"/>
  <c r="B16" i="462"/>
  <c r="AA15" i="462"/>
  <c r="Q15" i="462"/>
  <c r="AA14" i="462"/>
  <c r="Y14" i="462"/>
  <c r="O14" i="462"/>
  <c r="Q14" i="462" s="1"/>
  <c r="Z13" i="462"/>
  <c r="AA13" i="462" s="1"/>
  <c r="P13" i="462"/>
  <c r="Q13" i="462" s="1"/>
  <c r="BL12" i="462"/>
  <c r="BP47" i="462" s="1"/>
  <c r="AA12" i="462"/>
  <c r="Q12" i="462"/>
  <c r="BL11" i="462"/>
  <c r="BP38" i="462" s="1"/>
  <c r="BP46" i="462" s="1"/>
  <c r="Z11" i="462"/>
  <c r="Y11" i="462"/>
  <c r="P11" i="462"/>
  <c r="O11" i="462"/>
  <c r="Q11" i="462" s="1"/>
  <c r="BL10" i="462"/>
  <c r="Z10" i="462"/>
  <c r="Y10" i="462"/>
  <c r="AA10" i="462" s="1"/>
  <c r="P10" i="462"/>
  <c r="O10" i="462"/>
  <c r="BL9" i="462"/>
  <c r="BP23" i="462" s="1"/>
  <c r="BP29" i="462" s="1"/>
  <c r="BP36" i="462" s="1"/>
  <c r="BP44" i="462" s="1"/>
  <c r="Y9" i="462"/>
  <c r="AA9" i="462" s="1"/>
  <c r="O9" i="462"/>
  <c r="Q9" i="462" s="1"/>
  <c r="Z8" i="462"/>
  <c r="Y8" i="462"/>
  <c r="P8" i="462"/>
  <c r="O8" i="462"/>
  <c r="BL7" i="462"/>
  <c r="BP13" i="462" s="1"/>
  <c r="BP17" i="462" s="1"/>
  <c r="BP21" i="462" s="1"/>
  <c r="BP27" i="462" s="1"/>
  <c r="BP34" i="462" s="1"/>
  <c r="BP42" i="462" s="1"/>
  <c r="AA7" i="462"/>
  <c r="Q7" i="462"/>
  <c r="BP6" i="462"/>
  <c r="BP8" i="462" s="1"/>
  <c r="BP11" i="462" s="1"/>
  <c r="BP15" i="462" s="1"/>
  <c r="BP19" i="462" s="1"/>
  <c r="BP25" i="462" s="1"/>
  <c r="BP32" i="462" s="1"/>
  <c r="BP40" i="462" s="1"/>
  <c r="BL6" i="462"/>
  <c r="BP9" i="462" s="1"/>
  <c r="BP12" i="462" s="1"/>
  <c r="BP16" i="462" s="1"/>
  <c r="BP20" i="462" s="1"/>
  <c r="BP26" i="462" s="1"/>
  <c r="BP33" i="462" s="1"/>
  <c r="BP41" i="462" s="1"/>
  <c r="Z6" i="462"/>
  <c r="Y6" i="462"/>
  <c r="AA6" i="462" s="1"/>
  <c r="Q6" i="462"/>
  <c r="P6" i="462"/>
  <c r="O6" i="462"/>
  <c r="BP5" i="462"/>
  <c r="BP7" i="462" s="1"/>
  <c r="BP10" i="462" s="1"/>
  <c r="BP14" i="462" s="1"/>
  <c r="BH49" i="462" s="1"/>
  <c r="BP24" i="462" s="1"/>
  <c r="BP31" i="462" s="1"/>
  <c r="BP39" i="462" s="1"/>
  <c r="BL14" i="462" s="1"/>
  <c r="Z5" i="462"/>
  <c r="Y5" i="462"/>
  <c r="P5" i="462"/>
  <c r="O5" i="462"/>
  <c r="K3" i="462"/>
  <c r="G3" i="462"/>
  <c r="D3" i="462"/>
  <c r="S2" i="462"/>
  <c r="K2" i="462"/>
  <c r="G2" i="462"/>
  <c r="AF1" i="462"/>
  <c r="V1" i="462"/>
  <c r="S1" i="462"/>
  <c r="K1" i="462"/>
  <c r="G1" i="462"/>
  <c r="D23" i="462" l="1"/>
  <c r="Q10" i="462"/>
  <c r="Q8" i="462"/>
  <c r="H1" i="462"/>
  <c r="Q5" i="462"/>
  <c r="AA11" i="462"/>
  <c r="AA17" i="462"/>
  <c r="L1" i="462"/>
  <c r="AA8" i="462"/>
  <c r="AA5" i="462"/>
  <c r="C31" i="462"/>
  <c r="W39" i="462" s="1"/>
  <c r="B31" i="462"/>
  <c r="W25" i="462" s="1"/>
  <c r="B23" i="462"/>
  <c r="C23" i="462" s="1"/>
  <c r="BF29" i="462"/>
  <c r="BF31" i="462"/>
  <c r="Y19" i="435"/>
  <c r="Y18" i="435"/>
  <c r="Y17" i="435"/>
  <c r="O16" i="435"/>
  <c r="Y16" i="435"/>
  <c r="Y14" i="435"/>
  <c r="Y13" i="435"/>
  <c r="O13" i="435"/>
  <c r="Y11" i="435"/>
  <c r="Y10" i="435"/>
  <c r="Y9" i="435"/>
  <c r="Y8" i="435"/>
  <c r="Y6" i="435"/>
  <c r="Y5" i="435"/>
  <c r="O19" i="435"/>
  <c r="O18" i="435"/>
  <c r="O17" i="435"/>
  <c r="O14" i="435"/>
  <c r="O11" i="435"/>
  <c r="O10" i="435"/>
  <c r="O9" i="435"/>
  <c r="O6" i="435"/>
  <c r="O8" i="435"/>
  <c r="O5" i="435"/>
  <c r="P18" i="435"/>
  <c r="P13" i="285"/>
  <c r="Z13" i="285"/>
  <c r="P13" i="435"/>
  <c r="M1" i="462" l="1"/>
  <c r="M2" i="462" s="1"/>
  <c r="R19" i="462" s="1"/>
  <c r="S19" i="462" s="1"/>
  <c r="AB19" i="462"/>
  <c r="AC19" i="462" s="1"/>
  <c r="R8" i="462"/>
  <c r="S8" i="462" s="1"/>
  <c r="AB9" i="462"/>
  <c r="AC9" i="462" s="1"/>
  <c r="R10" i="462"/>
  <c r="S10" i="462" s="1"/>
  <c r="R9" i="462"/>
  <c r="S9" i="462" s="1"/>
  <c r="R11" i="462"/>
  <c r="S11" i="462" s="1"/>
  <c r="C34" i="462"/>
  <c r="T32" i="462"/>
  <c r="T26" i="462"/>
  <c r="C24" i="462"/>
  <c r="T28" i="462"/>
  <c r="T25" i="462"/>
  <c r="T27" i="462"/>
  <c r="T31" i="462"/>
  <c r="T30" i="462"/>
  <c r="T33" i="462"/>
  <c r="T29" i="462"/>
  <c r="T34" i="462"/>
  <c r="T35" i="462"/>
  <c r="T45" i="462"/>
  <c r="T49" i="462"/>
  <c r="B34" i="462"/>
  <c r="T47" i="462"/>
  <c r="T40" i="462"/>
  <c r="B24" i="462"/>
  <c r="T44" i="462"/>
  <c r="T43" i="462"/>
  <c r="T46" i="462"/>
  <c r="T42" i="462"/>
  <c r="T48" i="462"/>
  <c r="T39" i="462"/>
  <c r="T41" i="462"/>
  <c r="Z13" i="435"/>
  <c r="AB16" i="462" l="1"/>
  <c r="AC16" i="462" s="1"/>
  <c r="AB15" i="462"/>
  <c r="AC15" i="462" s="1"/>
  <c r="AB18" i="462"/>
  <c r="AC18" i="462" s="1"/>
  <c r="AB11" i="462"/>
  <c r="AC11" i="462" s="1"/>
  <c r="R17" i="462"/>
  <c r="S17" i="462" s="1"/>
  <c r="R18" i="462"/>
  <c r="S18" i="462" s="1"/>
  <c r="AB10" i="462"/>
  <c r="AC10" i="462" s="1"/>
  <c r="AB13" i="462"/>
  <c r="AC13" i="462" s="1"/>
  <c r="AB6" i="462"/>
  <c r="AC6" i="462" s="1"/>
  <c r="AB7" i="462"/>
  <c r="AC7" i="462" s="1"/>
  <c r="R5" i="462"/>
  <c r="S5" i="462" s="1"/>
  <c r="AB8" i="462"/>
  <c r="AC8" i="462" s="1"/>
  <c r="R13" i="462"/>
  <c r="S13" i="462" s="1"/>
  <c r="R14" i="462"/>
  <c r="S14" i="462" s="1"/>
  <c r="R7" i="462"/>
  <c r="S7" i="462" s="1"/>
  <c r="AB12" i="462"/>
  <c r="AC12" i="462" s="1"/>
  <c r="R16" i="462"/>
  <c r="S16" i="462" s="1"/>
  <c r="R15" i="462"/>
  <c r="S15" i="462" s="1"/>
  <c r="R6" i="462"/>
  <c r="S6" i="462" s="1"/>
  <c r="AB17" i="462"/>
  <c r="AC17" i="462" s="1"/>
  <c r="AB14" i="462"/>
  <c r="AC14" i="462" s="1"/>
  <c r="AB5" i="462"/>
  <c r="AC5" i="462" s="1"/>
  <c r="R12" i="462"/>
  <c r="S12" i="462" s="1"/>
  <c r="T7" i="462" s="1"/>
  <c r="U13" i="462"/>
  <c r="U17" i="462"/>
  <c r="T23" i="462"/>
  <c r="T37" i="462"/>
  <c r="S20" i="462"/>
  <c r="T14" i="462"/>
  <c r="T17" i="462"/>
  <c r="T6" i="462"/>
  <c r="U16" i="462"/>
  <c r="U8" i="462"/>
  <c r="N43" i="462"/>
  <c r="P43" i="462" s="1"/>
  <c r="N41" i="462"/>
  <c r="P41" i="462" s="1"/>
  <c r="N44" i="462"/>
  <c r="P44" i="462" s="1"/>
  <c r="N40" i="462"/>
  <c r="P40" i="462" s="1"/>
  <c r="N42" i="462"/>
  <c r="P42" i="462" s="1"/>
  <c r="N39" i="462"/>
  <c r="U10" i="462"/>
  <c r="T8" i="462"/>
  <c r="N30" i="462"/>
  <c r="P30" i="462" s="1"/>
  <c r="R35" i="462" s="1"/>
  <c r="N26" i="462"/>
  <c r="N28" i="462"/>
  <c r="P28" i="462" s="1"/>
  <c r="N25" i="462"/>
  <c r="N29" i="462"/>
  <c r="P29" i="462" s="1"/>
  <c r="R34" i="462" s="1"/>
  <c r="N27" i="462"/>
  <c r="P27" i="462" s="1"/>
  <c r="T10" i="462"/>
  <c r="T16" i="462"/>
  <c r="U7" i="462"/>
  <c r="Q9" i="435"/>
  <c r="BF48" i="435"/>
  <c r="BF47" i="435"/>
  <c r="BF46" i="435"/>
  <c r="BE45" i="435"/>
  <c r="BE44" i="435"/>
  <c r="BF45" i="435" s="1"/>
  <c r="BD44" i="435"/>
  <c r="BE43" i="435"/>
  <c r="BF44" i="435" s="1"/>
  <c r="BD43" i="435"/>
  <c r="BC43" i="435"/>
  <c r="BH42" i="435"/>
  <c r="BH47" i="435" s="1"/>
  <c r="BH52" i="435" s="1"/>
  <c r="BH55" i="435" s="1"/>
  <c r="BH57" i="435" s="1"/>
  <c r="BL13" i="435" s="1"/>
  <c r="BF42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H36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F28" i="435" s="1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E23" i="435" s="1"/>
  <c r="D25" i="435"/>
  <c r="C25" i="435"/>
  <c r="B25" i="435"/>
  <c r="BH24" i="435"/>
  <c r="BH31" i="435" s="1"/>
  <c r="BH23" i="435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AA10" i="435"/>
  <c r="Z10" i="435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BP8" i="435"/>
  <c r="BP11" i="435" s="1"/>
  <c r="BP15" i="435" s="1"/>
  <c r="BP19" i="435" s="1"/>
  <c r="BP25" i="435" s="1"/>
  <c r="BP32" i="435" s="1"/>
  <c r="BP40" i="435" s="1"/>
  <c r="BL8" i="435"/>
  <c r="BP18" i="435" s="1"/>
  <c r="BP22" i="435" s="1"/>
  <c r="BP28" i="435" s="1"/>
  <c r="BP35" i="435" s="1"/>
  <c r="BP43" i="435" s="1"/>
  <c r="Z8" i="435"/>
  <c r="AA8" i="435"/>
  <c r="P8" i="435"/>
  <c r="Q8" i="435" s="1"/>
  <c r="BP7" i="435"/>
  <c r="BP10" i="435" s="1"/>
  <c r="BP14" i="435" s="1"/>
  <c r="BH49" i="435" s="1"/>
  <c r="BP24" i="435" s="1"/>
  <c r="BP31" i="435" s="1"/>
  <c r="BP39" i="435" s="1"/>
  <c r="BL14" i="435" s="1"/>
  <c r="BL7" i="435"/>
  <c r="BP13" i="435" s="1"/>
  <c r="BP17" i="435" s="1"/>
  <c r="BP21" i="435" s="1"/>
  <c r="BP27" i="435" s="1"/>
  <c r="BP34" i="435" s="1"/>
  <c r="BP42" i="435" s="1"/>
  <c r="AA7" i="435"/>
  <c r="Q7" i="435"/>
  <c r="BP6" i="435"/>
  <c r="BL6" i="435"/>
  <c r="Z6" i="435"/>
  <c r="P6" i="435"/>
  <c r="Q6" i="435" s="1"/>
  <c r="BP5" i="435"/>
  <c r="Z5" i="435"/>
  <c r="AA5" i="435"/>
  <c r="P5" i="435"/>
  <c r="Q5" i="435" s="1"/>
  <c r="D3" i="435"/>
  <c r="S2" i="435"/>
  <c r="AF1" i="435"/>
  <c r="V1" i="435"/>
  <c r="S1" i="435"/>
  <c r="AE18" i="462" l="1"/>
  <c r="AE9" i="462"/>
  <c r="AE13" i="462"/>
  <c r="AD15" i="462"/>
  <c r="AD13" i="462"/>
  <c r="AE16" i="462"/>
  <c r="AD14" i="462"/>
  <c r="AD9" i="462"/>
  <c r="AD16" i="462"/>
  <c r="AD17" i="462"/>
  <c r="AE8" i="462"/>
  <c r="AE15" i="462"/>
  <c r="AE5" i="462"/>
  <c r="AE12" i="462"/>
  <c r="AD8" i="462"/>
  <c r="AE11" i="462"/>
  <c r="AD19" i="462"/>
  <c r="AD11" i="462"/>
  <c r="AD6" i="462"/>
  <c r="AD12" i="462"/>
  <c r="AE7" i="462"/>
  <c r="U14" i="462"/>
  <c r="AD10" i="462"/>
  <c r="AE14" i="462"/>
  <c r="AD18" i="462"/>
  <c r="AE6" i="462"/>
  <c r="AD7" i="462"/>
  <c r="AE17" i="462"/>
  <c r="AE10" i="462"/>
  <c r="AC20" i="462"/>
  <c r="R33" i="462"/>
  <c r="T13" i="462"/>
  <c r="U6" i="462"/>
  <c r="T15" i="462"/>
  <c r="U9" i="462"/>
  <c r="U12" i="462"/>
  <c r="T9" i="462"/>
  <c r="T19" i="462"/>
  <c r="T11" i="462"/>
  <c r="U5" i="462"/>
  <c r="U11" i="462"/>
  <c r="T12" i="462"/>
  <c r="U18" i="462"/>
  <c r="U15" i="462"/>
  <c r="T18" i="462"/>
  <c r="T5" i="462"/>
  <c r="AD5" i="462"/>
  <c r="R32" i="462"/>
  <c r="P26" i="462"/>
  <c r="R31" i="462" s="1"/>
  <c r="P39" i="462"/>
  <c r="R42" i="462" s="1"/>
  <c r="N37" i="462"/>
  <c r="P25" i="462"/>
  <c r="N23" i="462"/>
  <c r="R47" i="462"/>
  <c r="R49" i="462"/>
  <c r="R46" i="462"/>
  <c r="R45" i="462"/>
  <c r="R48" i="462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T20" i="462" l="1"/>
  <c r="T21" i="462" s="1"/>
  <c r="L26" i="462" s="1"/>
  <c r="AE20" i="462"/>
  <c r="AE21" i="462" s="1"/>
  <c r="L41" i="462" s="1"/>
  <c r="R44" i="462"/>
  <c r="AD20" i="462"/>
  <c r="AD21" i="462" s="1"/>
  <c r="L40" i="462" s="1"/>
  <c r="U20" i="462"/>
  <c r="U21" i="462" s="1"/>
  <c r="L27" i="462" s="1"/>
  <c r="R43" i="462"/>
  <c r="R40" i="462"/>
  <c r="V20" i="462"/>
  <c r="V21" i="462" s="1"/>
  <c r="L28" i="462" s="1"/>
  <c r="R39" i="462"/>
  <c r="P37" i="462"/>
  <c r="R29" i="462"/>
  <c r="R27" i="462"/>
  <c r="P23" i="462"/>
  <c r="R30" i="462"/>
  <c r="R25" i="462"/>
  <c r="R28" i="462"/>
  <c r="R41" i="462"/>
  <c r="V41" i="462" s="1"/>
  <c r="R26" i="462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AF20" i="462" l="1"/>
  <c r="AF21" i="462" s="1"/>
  <c r="L42" i="462" s="1"/>
  <c r="V26" i="462"/>
  <c r="AA25" i="462" s="1"/>
  <c r="S21" i="462"/>
  <c r="L25" i="462" s="1"/>
  <c r="L23" i="462" s="1"/>
  <c r="AA26" i="462"/>
  <c r="AC40" i="462"/>
  <c r="AC39" i="462"/>
  <c r="AC41" i="462"/>
  <c r="R37" i="462"/>
  <c r="V39" i="462"/>
  <c r="V48" i="462"/>
  <c r="V47" i="462"/>
  <c r="V43" i="462"/>
  <c r="V46" i="462"/>
  <c r="V44" i="462"/>
  <c r="V45" i="462"/>
  <c r="V28" i="462"/>
  <c r="V27" i="462"/>
  <c r="V42" i="462"/>
  <c r="R23" i="462"/>
  <c r="V25" i="462"/>
  <c r="V34" i="462"/>
  <c r="V29" i="462"/>
  <c r="V33" i="462"/>
  <c r="V31" i="462"/>
  <c r="V32" i="462"/>
  <c r="V30" i="462"/>
  <c r="V40" i="462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R5" i="435" s="1"/>
  <c r="P26" i="435"/>
  <c r="R31" i="435" s="1"/>
  <c r="R32" i="435"/>
  <c r="P25" i="435"/>
  <c r="N23" i="435"/>
  <c r="AC21" i="462" l="1"/>
  <c r="L39" i="462" s="1"/>
  <c r="L37" i="462" s="1"/>
  <c r="AC37" i="462"/>
  <c r="AA23" i="462"/>
  <c r="AQ30" i="462"/>
  <c r="AQ25" i="462"/>
  <c r="AQ26" i="462"/>
  <c r="AQ27" i="462"/>
  <c r="AQ34" i="462"/>
  <c r="AQ31" i="462"/>
  <c r="AQ28" i="462"/>
  <c r="AQ33" i="462"/>
  <c r="AQ32" i="462"/>
  <c r="AQ29" i="462"/>
  <c r="AC25" i="462"/>
  <c r="AC26" i="462"/>
  <c r="AC27" i="462"/>
  <c r="AM41" i="462"/>
  <c r="AM39" i="462"/>
  <c r="AM46" i="462"/>
  <c r="AM40" i="462"/>
  <c r="AM43" i="462"/>
  <c r="AM44" i="462"/>
  <c r="AM45" i="462"/>
  <c r="AM42" i="462"/>
  <c r="AQ47" i="462"/>
  <c r="AQ41" i="462"/>
  <c r="AQ43" i="462"/>
  <c r="AQ48" i="462"/>
  <c r="AQ40" i="462"/>
  <c r="AQ39" i="462"/>
  <c r="AQ46" i="462"/>
  <c r="AQ45" i="462"/>
  <c r="AQ42" i="462"/>
  <c r="AQ44" i="462"/>
  <c r="AK31" i="462"/>
  <c r="AK28" i="462"/>
  <c r="AK27" i="462"/>
  <c r="AK29" i="462"/>
  <c r="AK25" i="462"/>
  <c r="AK26" i="462"/>
  <c r="AK30" i="462"/>
  <c r="AA40" i="462"/>
  <c r="AA39" i="462"/>
  <c r="V23" i="462"/>
  <c r="V35" i="462" s="1"/>
  <c r="V22" i="462" s="1"/>
  <c r="Y25" i="462"/>
  <c r="AE26" i="462"/>
  <c r="AE27" i="462"/>
  <c r="AE28" i="462"/>
  <c r="AE25" i="462"/>
  <c r="Y39" i="462"/>
  <c r="V37" i="462"/>
  <c r="V49" i="462" s="1"/>
  <c r="V36" i="462" s="1"/>
  <c r="AI27" i="462"/>
  <c r="AI26" i="462"/>
  <c r="AI29" i="462"/>
  <c r="AI25" i="462"/>
  <c r="AI30" i="462"/>
  <c r="AI28" i="462"/>
  <c r="AO26" i="462"/>
  <c r="AO32" i="462"/>
  <c r="AO27" i="462"/>
  <c r="AO28" i="462"/>
  <c r="AO31" i="462"/>
  <c r="AO33" i="462"/>
  <c r="AO29" i="462"/>
  <c r="AO30" i="462"/>
  <c r="AO25" i="462"/>
  <c r="AK44" i="462"/>
  <c r="AK39" i="462"/>
  <c r="AK40" i="462"/>
  <c r="AK45" i="462"/>
  <c r="AK41" i="462"/>
  <c r="AK42" i="462"/>
  <c r="AK43" i="462"/>
  <c r="AG42" i="462"/>
  <c r="AG40" i="462"/>
  <c r="AG41" i="462"/>
  <c r="AG43" i="462"/>
  <c r="AG39" i="462"/>
  <c r="AM30" i="462"/>
  <c r="AM28" i="462"/>
  <c r="AM31" i="462"/>
  <c r="AM32" i="462"/>
  <c r="AM27" i="462"/>
  <c r="AM25" i="462"/>
  <c r="AM29" i="462"/>
  <c r="AM26" i="462"/>
  <c r="AG29" i="462"/>
  <c r="AG25" i="462"/>
  <c r="AG26" i="462"/>
  <c r="AG27" i="462"/>
  <c r="AG28" i="462"/>
  <c r="AE40" i="462"/>
  <c r="AE41" i="462"/>
  <c r="AE39" i="462"/>
  <c r="AE42" i="462"/>
  <c r="AI44" i="462"/>
  <c r="AI40" i="462"/>
  <c r="AI41" i="462"/>
  <c r="AI43" i="462"/>
  <c r="AI39" i="462"/>
  <c r="AI42" i="462"/>
  <c r="AO47" i="462"/>
  <c r="AO41" i="462"/>
  <c r="AO46" i="462"/>
  <c r="AO42" i="462"/>
  <c r="AO44" i="462"/>
  <c r="AO45" i="462"/>
  <c r="AO39" i="462"/>
  <c r="AO40" i="462"/>
  <c r="AO43" i="462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H52" i="285"/>
  <c r="BH55" i="285" s="1"/>
  <c r="BH57" i="285" s="1"/>
  <c r="BL13" i="285" s="1"/>
  <c r="BF48" i="285"/>
  <c r="BF47" i="285"/>
  <c r="BF46" i="285"/>
  <c r="BH45" i="285"/>
  <c r="BH50" i="285" s="1"/>
  <c r="BL11" i="285" s="1"/>
  <c r="BP38" i="285" s="1"/>
  <c r="BP46" i="285" s="1"/>
  <c r="BE45" i="285"/>
  <c r="BE44" i="285"/>
  <c r="BF45" i="285" s="1"/>
  <c r="BD44" i="285"/>
  <c r="BE43" i="285"/>
  <c r="BF44" i="285" s="1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H23" i="285"/>
  <c r="B22" i="285"/>
  <c r="C22" i="285" s="1"/>
  <c r="B20" i="285"/>
  <c r="B21" i="285" s="1"/>
  <c r="Z19" i="285"/>
  <c r="Y19" i="285"/>
  <c r="P19" i="285"/>
  <c r="O19" i="285"/>
  <c r="AA18" i="285"/>
  <c r="Q18" i="285"/>
  <c r="Z17" i="285"/>
  <c r="Y17" i="285"/>
  <c r="P17" i="285"/>
  <c r="O17" i="285"/>
  <c r="Y16" i="285"/>
  <c r="AA16" i="285" s="1"/>
  <c r="O16" i="285"/>
  <c r="Q16" i="285" s="1"/>
  <c r="C16" i="285"/>
  <c r="B16" i="285"/>
  <c r="AA15" i="285"/>
  <c r="Q15" i="285"/>
  <c r="Y14" i="285"/>
  <c r="AA14" i="285" s="1"/>
  <c r="O14" i="285"/>
  <c r="Q14" i="285" s="1"/>
  <c r="AA13" i="285"/>
  <c r="Q13" i="285"/>
  <c r="AA12" i="285"/>
  <c r="Q12" i="285"/>
  <c r="Z11" i="285"/>
  <c r="Y11" i="285"/>
  <c r="P11" i="285"/>
  <c r="O11" i="285"/>
  <c r="Q11" i="285" s="1"/>
  <c r="Z10" i="285"/>
  <c r="Y10" i="285"/>
  <c r="P10" i="285"/>
  <c r="O10" i="285"/>
  <c r="BL9" i="285"/>
  <c r="BP23" i="285" s="1"/>
  <c r="BP29" i="285" s="1"/>
  <c r="BP36" i="285" s="1"/>
  <c r="BP44" i="285" s="1"/>
  <c r="Y9" i="285"/>
  <c r="AA9" i="285" s="1"/>
  <c r="Q9" i="285"/>
  <c r="O9" i="285"/>
  <c r="BP8" i="285"/>
  <c r="BP11" i="285" s="1"/>
  <c r="BP15" i="285" s="1"/>
  <c r="BP19" i="285" s="1"/>
  <c r="BP25" i="285" s="1"/>
  <c r="BP32" i="285" s="1"/>
  <c r="BP40" i="285" s="1"/>
  <c r="BL8" i="285"/>
  <c r="BP18" i="285" s="1"/>
  <c r="BP22" i="285" s="1"/>
  <c r="BP28" i="285" s="1"/>
  <c r="BP35" i="285" s="1"/>
  <c r="BP43" i="285" s="1"/>
  <c r="Z8" i="285"/>
  <c r="Y8" i="285"/>
  <c r="P8" i="285"/>
  <c r="O8" i="285"/>
  <c r="BL7" i="285"/>
  <c r="BP13" i="285" s="1"/>
  <c r="BP17" i="285" s="1"/>
  <c r="BP21" i="285" s="1"/>
  <c r="BP27" i="285" s="1"/>
  <c r="BP34" i="285" s="1"/>
  <c r="BP42" i="285" s="1"/>
  <c r="AA7" i="285"/>
  <c r="Q7" i="285"/>
  <c r="BP6" i="285"/>
  <c r="BL6" i="285"/>
  <c r="BP9" i="285" s="1"/>
  <c r="BP12" i="285" s="1"/>
  <c r="BP16" i="285" s="1"/>
  <c r="BP20" i="285" s="1"/>
  <c r="BP26" i="285" s="1"/>
  <c r="BP33" i="285" s="1"/>
  <c r="BP41" i="285" s="1"/>
  <c r="Z6" i="285"/>
  <c r="Y6" i="285"/>
  <c r="AA6" i="285" s="1"/>
  <c r="P6" i="285"/>
  <c r="O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Y5" i="285"/>
  <c r="P5" i="285"/>
  <c r="O5" i="285"/>
  <c r="D3" i="285"/>
  <c r="K1" i="285" s="1"/>
  <c r="S2" i="285"/>
  <c r="AF1" i="285"/>
  <c r="S1" i="285"/>
  <c r="AO37" i="462" l="1"/>
  <c r="AI37" i="462"/>
  <c r="AK37" i="462"/>
  <c r="AQ37" i="462"/>
  <c r="AM37" i="462"/>
  <c r="AC23" i="462"/>
  <c r="AG23" i="462"/>
  <c r="AM23" i="462"/>
  <c r="AE23" i="462"/>
  <c r="AI23" i="462"/>
  <c r="AQ23" i="462"/>
  <c r="AE37" i="462"/>
  <c r="AG37" i="462"/>
  <c r="AO23" i="462"/>
  <c r="AA37" i="462"/>
  <c r="AK23" i="462"/>
  <c r="Y37" i="462"/>
  <c r="Y23" i="462"/>
  <c r="AS49" i="462"/>
  <c r="J49" i="462" s="1"/>
  <c r="AS41" i="462"/>
  <c r="J41" i="462" s="1"/>
  <c r="AS46" i="462"/>
  <c r="J46" i="462" s="1"/>
  <c r="AS43" i="462"/>
  <c r="J43" i="462" s="1"/>
  <c r="AS45" i="462"/>
  <c r="J45" i="462" s="1"/>
  <c r="AS39" i="462"/>
  <c r="AS44" i="462"/>
  <c r="J44" i="462" s="1"/>
  <c r="AS47" i="462"/>
  <c r="J47" i="462" s="1"/>
  <c r="AS40" i="462"/>
  <c r="J40" i="462" s="1"/>
  <c r="AS48" i="462"/>
  <c r="J48" i="462" s="1"/>
  <c r="AS42" i="462"/>
  <c r="J42" i="462" s="1"/>
  <c r="AS34" i="462"/>
  <c r="J34" i="462" s="1"/>
  <c r="AS35" i="462"/>
  <c r="J35" i="462" s="1"/>
  <c r="AS27" i="462"/>
  <c r="J27" i="462" s="1"/>
  <c r="AS29" i="462"/>
  <c r="J29" i="462" s="1"/>
  <c r="AS30" i="462"/>
  <c r="J30" i="462" s="1"/>
  <c r="AS25" i="462"/>
  <c r="AS26" i="462"/>
  <c r="J26" i="462" s="1"/>
  <c r="AS32" i="462"/>
  <c r="J32" i="462" s="1"/>
  <c r="AS31" i="462"/>
  <c r="J31" i="462" s="1"/>
  <c r="AS33" i="462"/>
  <c r="J33" i="462" s="1"/>
  <c r="AS28" i="462"/>
  <c r="J28" i="462" s="1"/>
  <c r="R43" i="435"/>
  <c r="V27" i="435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7" i="435"/>
  <c r="AC26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AS37" i="462" l="1"/>
  <c r="AS23" i="462"/>
  <c r="AS22" i="462" s="1"/>
  <c r="H32" i="462"/>
  <c r="H47" i="462"/>
  <c r="BJ54" i="462" s="1"/>
  <c r="H33" i="462"/>
  <c r="H31" i="462"/>
  <c r="H30" i="462"/>
  <c r="H29" i="462"/>
  <c r="H43" i="462"/>
  <c r="H44" i="462"/>
  <c r="H46" i="462"/>
  <c r="BN11" i="462" s="1"/>
  <c r="H48" i="462"/>
  <c r="BJ55" i="462" s="1"/>
  <c r="J25" i="462"/>
  <c r="J39" i="462"/>
  <c r="H42" i="462" s="1"/>
  <c r="H34" i="462"/>
  <c r="H35" i="462"/>
  <c r="H45" i="462"/>
  <c r="H49" i="462"/>
  <c r="AS36" i="462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R11" i="285"/>
  <c r="S11" i="285" s="1"/>
  <c r="R6" i="285"/>
  <c r="S6" i="285" s="1"/>
  <c r="AB5" i="285"/>
  <c r="AC5" i="285" s="1"/>
  <c r="R7" i="285"/>
  <c r="S7" i="285" s="1"/>
  <c r="R12" i="285"/>
  <c r="S12" i="285" s="1"/>
  <c r="AB6" i="285"/>
  <c r="AC6" i="285" s="1"/>
  <c r="AB9" i="285"/>
  <c r="AC9" i="285" s="1"/>
  <c r="AB8" i="285"/>
  <c r="AC8" i="285" s="1"/>
  <c r="R16" i="285"/>
  <c r="S16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J56" i="462" l="1"/>
  <c r="BR30" i="462"/>
  <c r="H41" i="462"/>
  <c r="BR26" i="462" s="1"/>
  <c r="BR28" i="462"/>
  <c r="BR27" i="462"/>
  <c r="BR29" i="462"/>
  <c r="J23" i="462"/>
  <c r="H25" i="462"/>
  <c r="BJ48" i="462"/>
  <c r="BJ47" i="462"/>
  <c r="BJ46" i="462"/>
  <c r="BR18" i="462"/>
  <c r="BR17" i="462"/>
  <c r="BJ45" i="462"/>
  <c r="BR16" i="462"/>
  <c r="BJ44" i="462"/>
  <c r="BN9" i="462"/>
  <c r="BN14" i="462"/>
  <c r="H28" i="462"/>
  <c r="BJ53" i="462"/>
  <c r="BJ51" i="462"/>
  <c r="BJ52" i="462"/>
  <c r="BJ50" i="462"/>
  <c r="BR21" i="462"/>
  <c r="BR22" i="462"/>
  <c r="BN10" i="462"/>
  <c r="BR23" i="462"/>
  <c r="BJ59" i="462"/>
  <c r="BR45" i="462"/>
  <c r="BR44" i="462"/>
  <c r="BR43" i="462"/>
  <c r="BR47" i="462"/>
  <c r="BR42" i="462"/>
  <c r="BR46" i="462"/>
  <c r="BN13" i="462"/>
  <c r="BJ57" i="462"/>
  <c r="BR38" i="462"/>
  <c r="BR37" i="462"/>
  <c r="BR36" i="462"/>
  <c r="BR34" i="462"/>
  <c r="BJ58" i="462"/>
  <c r="BR35" i="462"/>
  <c r="BN12" i="462"/>
  <c r="BR33" i="462"/>
  <c r="H27" i="462"/>
  <c r="J37" i="462"/>
  <c r="H39" i="462"/>
  <c r="BR10" i="462" s="1"/>
  <c r="BJ39" i="462"/>
  <c r="BJ42" i="462"/>
  <c r="BJ41" i="462"/>
  <c r="BJ40" i="462"/>
  <c r="BJ38" i="462"/>
  <c r="BJ43" i="462"/>
  <c r="BR13" i="462"/>
  <c r="BN8" i="462"/>
  <c r="H40" i="462"/>
  <c r="BR25" i="462" s="1"/>
  <c r="H26" i="462"/>
  <c r="AM23" i="435"/>
  <c r="AE23" i="435"/>
  <c r="AO23" i="435"/>
  <c r="AK23" i="435"/>
  <c r="AI23" i="435"/>
  <c r="AQ23" i="435"/>
  <c r="AA23" i="435"/>
  <c r="AG23" i="435"/>
  <c r="AE20" i="435"/>
  <c r="AE21" i="435" s="1"/>
  <c r="L41" i="435" s="1"/>
  <c r="AD20" i="435"/>
  <c r="U20" i="435"/>
  <c r="U21" i="435" s="1"/>
  <c r="L27" i="435" s="1"/>
  <c r="T20" i="435"/>
  <c r="T21" i="435" s="1"/>
  <c r="L26" i="435" s="1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J32" i="435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D12" i="285" s="1"/>
  <c r="AB17" i="285"/>
  <c r="AC17" i="285" s="1"/>
  <c r="AB14" i="285"/>
  <c r="AC14" i="285" s="1"/>
  <c r="AB18" i="285"/>
  <c r="AC18" i="285" s="1"/>
  <c r="R14" i="285"/>
  <c r="S14" i="285" s="1"/>
  <c r="T7" i="285" s="1"/>
  <c r="R19" i="285"/>
  <c r="S19" i="285" s="1"/>
  <c r="AB16" i="285"/>
  <c r="AC16" i="285" s="1"/>
  <c r="AB19" i="285"/>
  <c r="AC19" i="285" s="1"/>
  <c r="AB7" i="285"/>
  <c r="AC7" i="285" s="1"/>
  <c r="R5" i="285"/>
  <c r="S5" i="285" s="1"/>
  <c r="R15" i="285"/>
  <c r="S15" i="285" s="1"/>
  <c r="R10" i="285"/>
  <c r="S10" i="285" s="1"/>
  <c r="T10" i="285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BR41" i="462" l="1"/>
  <c r="BR20" i="462"/>
  <c r="BR12" i="462"/>
  <c r="BJ22" i="462"/>
  <c r="BJ16" i="462"/>
  <c r="BJ14" i="462"/>
  <c r="BJ18" i="462"/>
  <c r="BJ20" i="462"/>
  <c r="BJ19" i="462"/>
  <c r="BN5" i="462"/>
  <c r="BR4" i="462"/>
  <c r="BJ17" i="462"/>
  <c r="BJ15" i="462"/>
  <c r="BJ21" i="462"/>
  <c r="BR32" i="462"/>
  <c r="BR40" i="462"/>
  <c r="BR15" i="462"/>
  <c r="H37" i="462"/>
  <c r="BR24" i="462"/>
  <c r="BR19" i="462"/>
  <c r="BJ35" i="462"/>
  <c r="BJ33" i="462"/>
  <c r="BJ37" i="462"/>
  <c r="BJ36" i="462"/>
  <c r="BJ32" i="462"/>
  <c r="BJ31" i="462"/>
  <c r="BR9" i="462"/>
  <c r="BR7" i="462"/>
  <c r="BJ34" i="462"/>
  <c r="BR8" i="462"/>
  <c r="BN7" i="462"/>
  <c r="BR14" i="462"/>
  <c r="BJ49" i="462"/>
  <c r="H23" i="462"/>
  <c r="BJ12" i="462"/>
  <c r="BJ11" i="462"/>
  <c r="BJ9" i="462"/>
  <c r="BJ7" i="462"/>
  <c r="BJ10" i="462"/>
  <c r="BJ8" i="462"/>
  <c r="BJ5" i="462"/>
  <c r="BN4" i="462"/>
  <c r="BJ6" i="462"/>
  <c r="BJ13" i="462"/>
  <c r="BJ4" i="462"/>
  <c r="BR11" i="462"/>
  <c r="BJ30" i="462"/>
  <c r="BJ26" i="462"/>
  <c r="BJ29" i="462"/>
  <c r="BJ23" i="462"/>
  <c r="BJ25" i="462"/>
  <c r="BJ28" i="462"/>
  <c r="BJ24" i="462"/>
  <c r="BJ27" i="462"/>
  <c r="BN6" i="462"/>
  <c r="BR6" i="462"/>
  <c r="BR5" i="462"/>
  <c r="BR31" i="462"/>
  <c r="BR39" i="462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D21" i="435"/>
  <c r="AF20" i="435"/>
  <c r="AF21" i="435" s="1"/>
  <c r="L42" i="435" s="1"/>
  <c r="V20" i="435"/>
  <c r="V21" i="435" s="1"/>
  <c r="L28" i="435" s="1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47" i="435"/>
  <c r="J48" i="435"/>
  <c r="AS22" i="435"/>
  <c r="J39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AE20" i="285" s="1"/>
  <c r="AE21" i="285" s="1"/>
  <c r="L41" i="285" s="1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B39" i="462" l="1"/>
  <c r="B37" i="462"/>
  <c r="B38" i="462"/>
  <c r="J37" i="435"/>
  <c r="AS37" i="435"/>
  <c r="AS36" i="435" s="1"/>
  <c r="L40" i="435"/>
  <c r="AC21" i="435"/>
  <c r="L39" i="435" s="1"/>
  <c r="S21" i="435"/>
  <c r="L25" i="435" s="1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B36" i="462" l="1"/>
  <c r="L37" i="435"/>
  <c r="H46" i="435"/>
  <c r="H49" i="435"/>
  <c r="H47" i="435"/>
  <c r="H45" i="435"/>
  <c r="H48" i="435"/>
  <c r="H43" i="435"/>
  <c r="H29" i="435"/>
  <c r="H31" i="435"/>
  <c r="L23" i="435"/>
  <c r="H33" i="435"/>
  <c r="H34" i="435"/>
  <c r="H26" i="435"/>
  <c r="H32" i="435"/>
  <c r="H30" i="435"/>
  <c r="H25" i="435"/>
  <c r="H28" i="435"/>
  <c r="H27" i="435"/>
  <c r="H35" i="435"/>
  <c r="BN14" i="435" s="1"/>
  <c r="H42" i="435"/>
  <c r="BR13" i="435" s="1"/>
  <c r="H39" i="435"/>
  <c r="H44" i="435"/>
  <c r="H41" i="435"/>
  <c r="H40" i="435"/>
  <c r="BR11" i="435" s="1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BR12" i="435" l="1"/>
  <c r="BJ40" i="435"/>
  <c r="BJ33" i="435"/>
  <c r="BN10" i="435"/>
  <c r="BN12" i="435"/>
  <c r="BJ17" i="435"/>
  <c r="BR37" i="435"/>
  <c r="BJ38" i="435"/>
  <c r="BR35" i="435"/>
  <c r="BJ24" i="435"/>
  <c r="BR44" i="435"/>
  <c r="BJ18" i="435"/>
  <c r="BR14" i="435"/>
  <c r="BR29" i="435"/>
  <c r="BJ42" i="435"/>
  <c r="BR10" i="435"/>
  <c r="BJ49" i="435"/>
  <c r="BR7" i="435"/>
  <c r="BJ23" i="435"/>
  <c r="BJ28" i="435"/>
  <c r="BJ25" i="435"/>
  <c r="BN6" i="435"/>
  <c r="BJ27" i="435"/>
  <c r="BJ29" i="435"/>
  <c r="BR6" i="435"/>
  <c r="BN4" i="435"/>
  <c r="H37" i="435"/>
  <c r="BJ47" i="435"/>
  <c r="BR30" i="435"/>
  <c r="BJ35" i="435"/>
  <c r="BR9" i="435"/>
  <c r="BJ37" i="435"/>
  <c r="BR8" i="435"/>
  <c r="BJ31" i="435"/>
  <c r="BJ32" i="435"/>
  <c r="BJ34" i="435"/>
  <c r="BN7" i="435"/>
  <c r="BJ21" i="435"/>
  <c r="BJ16" i="435"/>
  <c r="BJ15" i="435"/>
  <c r="BN5" i="435"/>
  <c r="BJ19" i="435"/>
  <c r="BJ20" i="435"/>
  <c r="BJ14" i="435"/>
  <c r="BJ22" i="435"/>
  <c r="BJ51" i="435"/>
  <c r="BR19" i="435"/>
  <c r="BR20" i="435"/>
  <c r="BJ50" i="435"/>
  <c r="BJ52" i="435"/>
  <c r="BR23" i="435"/>
  <c r="BR21" i="435"/>
  <c r="BR22" i="435"/>
  <c r="BJ53" i="435"/>
  <c r="BJ39" i="435"/>
  <c r="BJ57" i="435"/>
  <c r="BJ13" i="435"/>
  <c r="BJ12" i="435"/>
  <c r="BJ5" i="435"/>
  <c r="BJ11" i="435"/>
  <c r="BJ6" i="435"/>
  <c r="BJ8" i="435"/>
  <c r="H23" i="435"/>
  <c r="BJ4" i="435"/>
  <c r="BJ9" i="435"/>
  <c r="BJ10" i="435"/>
  <c r="BJ7" i="435"/>
  <c r="BR45" i="435"/>
  <c r="BR47" i="435"/>
  <c r="BR43" i="435"/>
  <c r="BR42" i="435"/>
  <c r="BJ59" i="435"/>
  <c r="BR41" i="435"/>
  <c r="BN13" i="435"/>
  <c r="BR40" i="435"/>
  <c r="BR46" i="435"/>
  <c r="BJ41" i="435"/>
  <c r="BJ55" i="435"/>
  <c r="BR27" i="435"/>
  <c r="BN11" i="435"/>
  <c r="BR26" i="435"/>
  <c r="BJ54" i="435"/>
  <c r="BR24" i="435"/>
  <c r="BR25" i="435"/>
  <c r="BJ56" i="435"/>
  <c r="BR28" i="435"/>
  <c r="BR5" i="435"/>
  <c r="BJ30" i="435"/>
  <c r="BR4" i="435"/>
  <c r="BR31" i="435"/>
  <c r="BJ26" i="435"/>
  <c r="BR39" i="435"/>
  <c r="BJ36" i="435"/>
  <c r="BJ46" i="435"/>
  <c r="BN9" i="435"/>
  <c r="BJ45" i="435"/>
  <c r="BR18" i="435"/>
  <c r="BJ48" i="435"/>
  <c r="BJ44" i="435"/>
  <c r="BR16" i="435"/>
  <c r="BR17" i="435"/>
  <c r="BR15" i="435"/>
  <c r="BJ58" i="435"/>
  <c r="BR38" i="435"/>
  <c r="BR33" i="435"/>
  <c r="BR36" i="435"/>
  <c r="BR32" i="435"/>
  <c r="BR34" i="435"/>
  <c r="BN8" i="435"/>
  <c r="BJ43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37" i="435" l="1"/>
  <c r="B39" i="435"/>
  <c r="B38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6" i="435" l="1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N11" i="285" l="1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H45" i="273"/>
  <c r="BH50" i="273" s="1"/>
  <c r="BE45" i="273"/>
  <c r="BF44" i="273"/>
  <c r="BE44" i="273"/>
  <c r="BF45" i="273" s="1"/>
  <c r="BD44" i="273"/>
  <c r="BE43" i="273"/>
  <c r="BD43" i="273"/>
  <c r="BC43" i="273"/>
  <c r="BE42" i="273"/>
  <c r="BF43" i="273" s="1"/>
  <c r="BD42" i="273"/>
  <c r="BC42" i="273"/>
  <c r="BF41" i="273"/>
  <c r="BE41" i="273"/>
  <c r="BF42" i="273" s="1"/>
  <c r="BD41" i="273"/>
  <c r="BC41" i="273"/>
  <c r="BF40" i="273"/>
  <c r="BE40" i="273"/>
  <c r="BD40" i="273"/>
  <c r="BC40" i="273"/>
  <c r="BH39" i="273"/>
  <c r="BH44" i="273" s="1"/>
  <c r="BL10" i="273" s="1"/>
  <c r="BP30" i="273" s="1"/>
  <c r="BP37" i="273" s="1"/>
  <c r="BP45" i="273" s="1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F33" i="273"/>
  <c r="C32" i="273"/>
  <c r="B32" i="273"/>
  <c r="BH31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F30" i="273" s="1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F28" i="273"/>
  <c r="BE28" i="273"/>
  <c r="BF29" i="273" s="1"/>
  <c r="BD28" i="273"/>
  <c r="BC28" i="273"/>
  <c r="BH27" i="273"/>
  <c r="BH34" i="273" s="1"/>
  <c r="BH40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23" i="273"/>
  <c r="B22" i="273"/>
  <c r="C22" i="273" s="1"/>
  <c r="B20" i="273"/>
  <c r="B21" i="273" s="1"/>
  <c r="AA19" i="273"/>
  <c r="Z19" i="273"/>
  <c r="Y19" i="273"/>
  <c r="P19" i="273"/>
  <c r="O19" i="273"/>
  <c r="Q19" i="273" s="1"/>
  <c r="BP18" i="273"/>
  <c r="BP22" i="273" s="1"/>
  <c r="BP28" i="273" s="1"/>
  <c r="BP35" i="273" s="1"/>
  <c r="BP43" i="273" s="1"/>
  <c r="AA18" i="273"/>
  <c r="Q18" i="273"/>
  <c r="Z17" i="273"/>
  <c r="AA17" i="273" s="1"/>
  <c r="Y17" i="273"/>
  <c r="Q17" i="273"/>
  <c r="P17" i="273"/>
  <c r="O17" i="273"/>
  <c r="AA16" i="273"/>
  <c r="Y16" i="273"/>
  <c r="Q16" i="273"/>
  <c r="O16" i="273"/>
  <c r="AA15" i="273"/>
  <c r="Q15" i="273"/>
  <c r="AA14" i="273"/>
  <c r="Y14" i="273"/>
  <c r="Q14" i="273"/>
  <c r="O14" i="273"/>
  <c r="Z13" i="273"/>
  <c r="AA13" i="273" s="1"/>
  <c r="P13" i="273"/>
  <c r="Q13" i="273" s="1"/>
  <c r="BL12" i="273"/>
  <c r="BP47" i="273" s="1"/>
  <c r="AA12" i="273"/>
  <c r="Q12" i="273"/>
  <c r="BL11" i="273"/>
  <c r="BP38" i="273" s="1"/>
  <c r="BP46" i="273" s="1"/>
  <c r="AA11" i="273"/>
  <c r="Z11" i="273"/>
  <c r="Y11" i="273"/>
  <c r="P11" i="273"/>
  <c r="Q11" i="273" s="1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Q9" i="273"/>
  <c r="O9" i="273"/>
  <c r="BL8" i="273"/>
  <c r="Z8" i="273"/>
  <c r="AA8" i="273" s="1"/>
  <c r="Y8" i="273"/>
  <c r="P8" i="273"/>
  <c r="Q8" i="273" s="1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AA6" i="273" s="1"/>
  <c r="Q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AF1" i="273"/>
  <c r="S1" i="273"/>
  <c r="K1" i="273"/>
  <c r="L1" i="273" s="1"/>
  <c r="M1" i="273" s="1"/>
  <c r="M2" i="273" s="1"/>
  <c r="H1" i="273"/>
  <c r="G1" i="273"/>
  <c r="E23" i="273" l="1"/>
  <c r="R19" i="273"/>
  <c r="AB16" i="273"/>
  <c r="AB14" i="273"/>
  <c r="AB19" i="273"/>
  <c r="AB18" i="273"/>
  <c r="R17" i="273"/>
  <c r="R16" i="273"/>
  <c r="R15" i="273"/>
  <c r="R14" i="273"/>
  <c r="R18" i="273"/>
  <c r="R12" i="273"/>
  <c r="R10" i="273"/>
  <c r="AB9" i="273"/>
  <c r="R8" i="273"/>
  <c r="AB7" i="273"/>
  <c r="R5" i="273"/>
  <c r="AB6" i="273"/>
  <c r="AB17" i="273"/>
  <c r="R13" i="273"/>
  <c r="R11" i="273"/>
  <c r="AB10" i="273"/>
  <c r="AB8" i="273"/>
  <c r="R7" i="273"/>
  <c r="AB5" i="273"/>
  <c r="R6" i="273"/>
  <c r="AB15" i="273"/>
  <c r="AB12" i="273"/>
  <c r="AB13" i="273"/>
  <c r="AB11" i="273"/>
  <c r="R9" i="273"/>
  <c r="C31" i="273"/>
  <c r="W38" i="273" s="1"/>
  <c r="B23" i="273"/>
  <c r="C23" i="273" s="1"/>
  <c r="D27" i="273"/>
  <c r="D23" i="273" s="1"/>
  <c r="T33" i="273" l="1"/>
  <c r="T34" i="273"/>
  <c r="B31" i="273"/>
  <c r="AC5" i="273"/>
  <c r="S10" i="273"/>
  <c r="AC12" i="273"/>
  <c r="S7" i="273"/>
  <c r="S13" i="273"/>
  <c r="AC7" i="273"/>
  <c r="S12" i="273"/>
  <c r="AC14" i="273"/>
  <c r="T47" i="273"/>
  <c r="T45" i="273"/>
  <c r="B34" i="273"/>
  <c r="B24" i="273"/>
  <c r="T43" i="273"/>
  <c r="T48" i="273"/>
  <c r="S9" i="273"/>
  <c r="AC15" i="273"/>
  <c r="AC8" i="273"/>
  <c r="AD6" i="273" s="1"/>
  <c r="AC17" i="273"/>
  <c r="S8" i="273"/>
  <c r="S18" i="273"/>
  <c r="S17" i="273"/>
  <c r="AC16" i="273"/>
  <c r="AC13" i="273"/>
  <c r="S11" i="273"/>
  <c r="S5" i="273"/>
  <c r="U10" i="273" s="1"/>
  <c r="S15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T5" i="273" s="1"/>
  <c r="AC10" i="273"/>
  <c r="AC6" i="273"/>
  <c r="AD5" i="273" s="1"/>
  <c r="AC9" i="273"/>
  <c r="AD13" i="273" s="1"/>
  <c r="S14" i="273"/>
  <c r="AC18" i="273"/>
  <c r="T19" i="273"/>
  <c r="S19" i="273"/>
  <c r="U14" i="273" l="1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T20" i="273" s="1"/>
  <c r="L25" i="273" s="1"/>
  <c r="AD19" i="273"/>
  <c r="U8" i="273"/>
  <c r="U20" i="273" s="1"/>
  <c r="L26" i="273" s="1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R33" i="273" l="1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9" i="273"/>
  <c r="R40" i="273"/>
  <c r="R31" i="273"/>
  <c r="R32" i="273"/>
  <c r="R41" i="273"/>
  <c r="R42" i="273"/>
  <c r="R25" i="273" l="1"/>
  <c r="L22" i="273"/>
  <c r="R38" i="273"/>
  <c r="P36" i="273"/>
  <c r="L36" i="273"/>
  <c r="R28" i="273"/>
  <c r="R26" i="273"/>
  <c r="P22" i="273"/>
  <c r="R29" i="273"/>
  <c r="R24" i="273"/>
  <c r="R27" i="273"/>
  <c r="V27" i="273" s="1"/>
  <c r="V26" i="273" l="1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BR29" i="273"/>
  <c r="H32" i="273"/>
  <c r="H28" i="273"/>
  <c r="H42" i="273"/>
  <c r="AS21" i="273"/>
  <c r="J38" i="273"/>
  <c r="H45" i="273"/>
  <c r="H46" i="273"/>
  <c r="H48" i="273"/>
  <c r="H34" i="273"/>
  <c r="H24" i="273" l="1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<sst xmlns="http://schemas.openxmlformats.org/spreadsheetml/2006/main" count="881" uniqueCount="151">
  <si>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</si>
  <si>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</si>
  <si>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</si>
  <si>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</si>
  <si>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</si>
  <si>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</si>
  <si>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</si>
  <si>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</si>
  <si>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</si>
  <si>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</si>
  <si>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</si>
  <si>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</si>
  <si>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</si>
  <si>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</si>
  <si>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</si>
  <si>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</si>
  <si>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</si>
  <si>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</si>
  <si>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</si>
  <si>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</si>
  <si>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</si>
  <si>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</si>
  <si>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</si>
  <si>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</si>
  <si>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</si>
  <si>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</si>
  <si>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</si>
  <si>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</si>
  <si>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</si>
  <si>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</si>
  <si>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</si>
  <si>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</si>
  <si>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</si>
  <si>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</si>
  <si>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</si>
  <si>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</si>
  <si>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</si>
  <si>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</si>
  <si>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</si>
  <si>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</si>
  <si>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</si>
  <si>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</si>
  <si>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</si>
  <si>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</si>
  <si>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</si>
  <si>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</si>
  <si>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</si>
  <si>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</si>
  <si>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</si>
  <si>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</si>
  <si>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</si>
  <si>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</si>
  <si>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</si>
  <si>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</si>
  <si>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</si>
  <si>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</si>
  <si>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</si>
  <si>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</si>
  <si>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</si>
  <si>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</si>
  <si>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</si>
  <si>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</si>
  <si>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</si>
  <si>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</si>
  <si>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</si>
  <si>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</si>
  <si>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</si>
  <si>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</si>
  <si>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</si>
  <si>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</si>
  <si>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</si>
  <si>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</si>
  <si>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</si>
  <si>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</si>
  <si>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</si>
  <si>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</si>
  <si>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</si>
  <si>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</si>
  <si>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</si>
  <si>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</si>
  <si>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</si>
  <si>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</si>
  <si>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</si>
  <si>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</si>
  <si>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</si>
  <si>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</si>
  <si>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</si>
  <si>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</si>
  <si>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</si>
  <si>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</si>
  <si>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</si>
  <si>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</si>
  <si>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</si>
  <si>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</si>
  <si>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</si>
  <si>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</si>
  <si>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</si>
  <si>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</si>
  <si>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</si>
  <si>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</si>
  <si>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</si>
  <si>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</si>
  <si>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</si>
  <si>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</si>
  <si>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</si>
  <si>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</si>
  <si>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</si>
  <si>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</si>
  <si>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</si>
  <si>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</si>
  <si>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</si>
  <si>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</si>
  <si>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</si>
  <si>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</si>
  <si>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</si>
  <si>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</si>
  <si>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</si>
  <si>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</si>
  <si>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</si>
  <si>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</si>
  <si>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</si>
  <si>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</si>
  <si>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</si>
  <si>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</si>
  <si>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</si>
  <si>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</si>
  <si>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</si>
  <si>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</si>
  <si>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</si>
  <si>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</si>
  <si>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</si>
  <si>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</si>
  <si>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</si>
  <si>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</si>
  <si>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</si>
  <si>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</si>
  <si>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</si>
  <si>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</si>
  <si>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</si>
  <si>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</si>
  <si>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</si>
  <si>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</si>
  <si>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</si>
  <si>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</si>
  <si>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CAB</t>
  </si>
  <si>
    <t>JC</t>
  </si>
  <si>
    <t>NEU</t>
  </si>
  <si>
    <t>IMP</t>
  </si>
  <si>
    <t>All</t>
  </si>
  <si>
    <t>0,4</t>
  </si>
  <si>
    <t>Agricola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</si>
</sst>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9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56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'OBIWAN-Agricola'!$G$25:$G$35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'OBIWAN-Agricola'!$H$25:$H$35</c:f>
              <c:numCache>
                <c:formatCode>0.0%</c:formatCode>
                <c:ptCount val="11"/>
                <c:pt idx="0">
                  <c:v>1.4642898846447353E-2</c:v>
                </c:pt>
                <c:pt idx="1">
                  <c:v>7.4858238953470158E-2</c:v>
                </c:pt>
                <c:pt idx="2">
                  <c:v>0.1743372282531615</c:v>
                </c:pt>
                <c:pt idx="3">
                  <c:v>0.2445269194440999</c:v>
                </c:pt>
                <c:pt idx="4">
                  <c:v>0.23007077870182072</c:v>
                </c:pt>
                <c:pt idx="5">
                  <c:v>0.15306464221161231</c:v>
                </c:pt>
                <c:pt idx="6">
                  <c:v>7.3949765995134698E-2</c:v>
                </c:pt>
                <c:pt idx="7">
                  <c:v>2.6233276949455868E-2</c:v>
                </c:pt>
                <c:pt idx="8">
                  <c:v>6.8317771035248109E-3</c:v>
                </c:pt>
                <c:pt idx="9">
                  <c:v>1.2931365134453679E-3</c:v>
                </c:pt>
                <c:pt idx="10">
                  <c:v>1.7426594882519232E-4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'OBIWAN-Agricola'!$H$39:$H$49</c:f>
              <c:numCache>
                <c:formatCode>0.0%</c:formatCode>
                <c:ptCount val="11"/>
                <c:pt idx="0">
                  <c:v>7.8669560159200624E-2</c:v>
                </c:pt>
                <c:pt idx="1">
                  <c:v>0.22182598384678365</c:v>
                </c:pt>
                <c:pt idx="2">
                  <c:v>0.28744495477774895</c:v>
                </c:pt>
                <c:pt idx="3">
                  <c:v>0.22675720780898631</c:v>
                </c:pt>
                <c:pt idx="4">
                  <c:v>0.12160703190569232</c:v>
                </c:pt>
                <c:pt idx="5">
                  <c:v>4.6883886015268009E-2</c:v>
                </c:pt>
                <c:pt idx="6">
                  <c:v>1.3397558470065228E-2</c:v>
                </c:pt>
                <c:pt idx="7">
                  <c:v>2.882211933042539E-3</c:v>
                </c:pt>
                <c:pt idx="8">
                  <c:v>4.6883972843597932E-4</c:v>
                </c:pt>
                <c:pt idx="9">
                  <c:v>5.7282334582236616E-5</c:v>
                </c:pt>
                <c:pt idx="10">
                  <c:v>5.1454465516326047E-6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728640"/>
        <c:axId val="291724720"/>
      </c:lineChart>
      <c:catAx>
        <c:axId val="29172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1724720"/>
        <c:crosses val="autoZero"/>
        <c:auto val="1"/>
        <c:lblAlgn val="ctr"/>
        <c:lblOffset val="100"/>
        <c:noMultiLvlLbl val="0"/>
      </c:catAx>
      <c:valAx>
        <c:axId val="29172472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1728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'OBIWAN-Agricola'!$B$37:$B$39</c:f>
              <c:numCache>
                <c:formatCode>0.0%</c:formatCode>
                <c:ptCount val="3"/>
                <c:pt idx="0">
                  <c:v>0.15954217501646925</c:v>
                </c:pt>
                <c:pt idx="1">
                  <c:v>0.20631506668572325</c:v>
                </c:pt>
                <c:pt idx="2">
                  <c:v>0.6339510846576043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747000"/>
        <c:axId val="293749744"/>
      </c:lineChart>
      <c:catAx>
        <c:axId val="29374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749744"/>
        <c:crosses val="autoZero"/>
        <c:auto val="1"/>
        <c:lblAlgn val="ctr"/>
        <c:lblOffset val="100"/>
        <c:noMultiLvlLbl val="0"/>
      </c:catAx>
      <c:valAx>
        <c:axId val="29374974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374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0.15029855219678598</c:v>
                </c:pt>
                <c:pt idx="1">
                  <c:v>0.3090552699518081</c:v>
                </c:pt>
                <c:pt idx="2">
                  <c:v>0.2905679798404136</c:v>
                </c:pt>
                <c:pt idx="3">
                  <c:v>0.16527770193599048</c:v>
                </c:pt>
                <c:pt idx="4">
                  <c:v>6.3421376442848537E-2</c:v>
                </c:pt>
                <c:pt idx="5">
                  <c:v>1.7330968645864878E-2</c:v>
                </c:pt>
                <c:pt idx="6">
                  <c:v>3.4701591180033909E-3</c:v>
                </c:pt>
                <c:pt idx="7">
                  <c:v>5.1594648757112181E-4</c:v>
                </c:pt>
                <c:pt idx="8">
                  <c:v>5.7093400075650171E-5</c:v>
                </c:pt>
                <c:pt idx="9">
                  <c:v>4.6648169577509635E-6</c:v>
                </c:pt>
                <c:pt idx="10">
                  <c:v>2.7559189146092497E-7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6.2356243696264448E-2</c:v>
                </c:pt>
                <c:pt idx="1">
                  <c:v>0.19505973131582904</c:v>
                </c:pt>
                <c:pt idx="2">
                  <c:v>0.27897644823109014</c:v>
                </c:pt>
                <c:pt idx="3">
                  <c:v>0.24139379984210632</c:v>
                </c:pt>
                <c:pt idx="4">
                  <c:v>0.14092299010602385</c:v>
                </c:pt>
                <c:pt idx="5">
                  <c:v>5.8601744350676443E-2</c:v>
                </c:pt>
                <c:pt idx="6">
                  <c:v>1.7864497004957004E-2</c:v>
                </c:pt>
                <c:pt idx="7">
                  <c:v>4.0474029139355829E-3</c:v>
                </c:pt>
                <c:pt idx="8">
                  <c:v>6.8346753756559522E-4</c:v>
                </c:pt>
                <c:pt idx="9">
                  <c:v>8.5417741221883322E-5</c:v>
                </c:pt>
                <c:pt idx="10">
                  <c:v>7.7478832632476224E-6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748960"/>
        <c:axId val="293751312"/>
      </c:lineChart>
      <c:catAx>
        <c:axId val="29374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751312"/>
        <c:crosses val="autoZero"/>
        <c:auto val="1"/>
        <c:lblAlgn val="ctr"/>
        <c:lblOffset val="100"/>
        <c:noMultiLvlLbl val="0"/>
      </c:catAx>
      <c:valAx>
        <c:axId val="29375131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3748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0.20063220186304762</c:v>
                </c:pt>
                <c:pt idx="1">
                  <c:v>0.54764432643404404</c:v>
                </c:pt>
                <c:pt idx="2">
                  <c:v>0.25172267516444313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752096"/>
        <c:axId val="293745040"/>
      </c:lineChart>
      <c:catAx>
        <c:axId val="2937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745040"/>
        <c:crosses val="autoZero"/>
        <c:auto val="1"/>
        <c:lblAlgn val="ctr"/>
        <c:lblOffset val="100"/>
        <c:noMultiLvlLbl val="0"/>
      </c:catAx>
      <c:valAx>
        <c:axId val="29374504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93752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tabSelected="1" zoomScale="80" zoomScaleNormal="80" workbookViewId="0">
      <selection activeCell="C6" sqref="C6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5" t="s">
        <v>143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6" t="s">
        <v>135</v>
      </c>
      <c r="Q1" s="196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3</v>
      </c>
    </row>
    <row r="2" spans="1:70" x14ac:dyDescent="0.25">
      <c r="A2" s="195" t="s">
        <v>150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197" t="s">
        <v>23</v>
      </c>
      <c r="C3" s="197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>
        <f t="shared" ref="BJ4:BJ13" si="0">$H$25*H40</f>
        <v>3.2481754429821174E-3</v>
      </c>
      <c r="BL4">
        <v>0</v>
      </c>
      <c r="BM4">
        <v>0</v>
      </c>
      <c r="BN4" s="107">
        <f>H25*H39</f>
        <v>1.1519504117056794E-3</v>
      </c>
      <c r="BP4">
        <v>1</v>
      </c>
      <c r="BQ4">
        <v>0</v>
      </c>
      <c r="BR4" s="107">
        <f>$H$26*H39</f>
        <v>5.8890647327618359E-3</v>
      </c>
    </row>
    <row r="5" spans="1:70" x14ac:dyDescent="0.25">
      <c r="A5" s="188" t="s">
        <v>140</v>
      </c>
      <c r="B5" s="161">
        <v>352</v>
      </c>
      <c r="C5" s="161">
        <v>253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COUNTIF(F5:F18,"IMP")*0.017</f>
        <v>1.7000000000000001E-2</v>
      </c>
      <c r="P5" s="16" t="str">
        <f>P3</f>
        <v>0,6</v>
      </c>
      <c r="Q5" s="16">
        <f>P5*O5</f>
        <v>1.0200000000000001E-2</v>
      </c>
      <c r="R5" s="157">
        <f>IF($M$2="SI",Q5*$B$22/0.5*$S$1,Q5*$B$22/0.5*$S$2)</f>
        <v>1.1830740585257441E-2</v>
      </c>
      <c r="S5" s="176">
        <f>(1-R5)</f>
        <v>0.98816925941474254</v>
      </c>
      <c r="T5" s="177">
        <f>R5*PRODUCT(S6:S19)</f>
        <v>8.8796118973699153E-3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2.6180876340922525E-3</v>
      </c>
      <c r="V5" s="18"/>
      <c r="W5" s="186" t="s">
        <v>36</v>
      </c>
      <c r="X5" s="15" t="s">
        <v>37</v>
      </c>
      <c r="Y5" s="69">
        <f>COUNTIF(J5:J18,"IMP")*0.017</f>
        <v>1.7000000000000001E-2</v>
      </c>
      <c r="Z5" s="146" t="str">
        <f>Z3</f>
        <v>0,6</v>
      </c>
      <c r="AA5" s="19">
        <f>Z5*Y5</f>
        <v>1.0200000000000001E-2</v>
      </c>
      <c r="AB5" s="157">
        <f>IF($M$2="SI",AA5*$C$22/0.5*$S$1,AA5*$C$22/0.5*$S$2)</f>
        <v>1.0078038276330411E-2</v>
      </c>
      <c r="AC5" s="176">
        <f>(1-AB5)</f>
        <v>0.98992196172366964</v>
      </c>
      <c r="AD5" s="177">
        <f>AB5*PRODUCT(AC6:AC19)</f>
        <v>7.5057994757555344E-3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2.2742703297136176E-3</v>
      </c>
      <c r="AF5" s="18"/>
      <c r="BH5">
        <v>0</v>
      </c>
      <c r="BI5">
        <v>2</v>
      </c>
      <c r="BJ5" s="107">
        <f t="shared" si="0"/>
        <v>4.2090273967322119E-3</v>
      </c>
      <c r="BL5">
        <v>1</v>
      </c>
      <c r="BM5">
        <v>1</v>
      </c>
      <c r="BN5" s="107">
        <f>$H$26*H40</f>
        <v>1.660550250489114E-2</v>
      </c>
      <c r="BP5">
        <f>BP4+1</f>
        <v>2</v>
      </c>
      <c r="BQ5">
        <v>0</v>
      </c>
      <c r="BR5" s="107">
        <f>$H$27*H39</f>
        <v>1.371503306605038E-2</v>
      </c>
    </row>
    <row r="6" spans="1:70" x14ac:dyDescent="0.25">
      <c r="A6" s="2" t="s">
        <v>1</v>
      </c>
      <c r="B6" s="168">
        <v>13.5</v>
      </c>
      <c r="C6" s="169">
        <v>11.5</v>
      </c>
      <c r="E6" s="192" t="s">
        <v>17</v>
      </c>
      <c r="F6" s="167" t="s">
        <v>16</v>
      </c>
      <c r="G6" s="167"/>
      <c r="H6" s="10"/>
      <c r="I6" s="10"/>
      <c r="J6" s="166"/>
      <c r="K6" s="166"/>
      <c r="L6" s="10"/>
      <c r="M6" s="10"/>
      <c r="O6" s="67">
        <f>COUNTIF(F14:F18,"IMP")*0.017</f>
        <v>1.7000000000000001E-2</v>
      </c>
      <c r="P6" s="16" t="str">
        <f>P3</f>
        <v>0,6</v>
      </c>
      <c r="Q6" s="16">
        <f t="shared" ref="Q6:Q19" si="1">P6*O6</f>
        <v>1.0200000000000001E-2</v>
      </c>
      <c r="R6" s="157">
        <f>IF($M$2="SI",Q6*$B$22/0.5*$S$1,Q6*$B$22/0.5*$S$2)</f>
        <v>1.1830740585257441E-2</v>
      </c>
      <c r="S6" s="176">
        <f t="shared" ref="S6:S19" si="2">(1-R6)</f>
        <v>0.98816925941474254</v>
      </c>
      <c r="T6" s="177">
        <f>R6*S5*PRODUCT(S7:S19)</f>
        <v>8.8796118973699153E-3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2.511777521877501E-3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>
        <f t="shared" ref="AB6:AB19" si="4">IF($M$2="SI",AA6*$C$22/0.5*$S$1,AA6*$C$22/0.5*$S$2)</f>
        <v>0</v>
      </c>
      <c r="AC6" s="176">
        <f t="shared" ref="AC6:AC19" si="5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BH6">
        <v>0</v>
      </c>
      <c r="BI6">
        <v>3</v>
      </c>
      <c r="BJ6" s="107">
        <f t="shared" si="0"/>
        <v>3.3203828566498285E-3</v>
      </c>
      <c r="BL6">
        <f>BH14+1</f>
        <v>2</v>
      </c>
      <c r="BM6">
        <v>2</v>
      </c>
      <c r="BN6" s="107">
        <f>$H$27*H41</f>
        <v>5.0112356691308105E-2</v>
      </c>
      <c r="BP6">
        <f>BL5+1</f>
        <v>2</v>
      </c>
      <c r="BQ6">
        <v>1</v>
      </c>
      <c r="BR6" s="107">
        <f>$H$27*H40</f>
        <v>3.8672527178378838E-2</v>
      </c>
    </row>
    <row r="7" spans="1:70" x14ac:dyDescent="0.25">
      <c r="A7" s="5" t="s">
        <v>2</v>
      </c>
      <c r="B7" s="168">
        <v>14.25</v>
      </c>
      <c r="C7" s="169">
        <v>15.25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BH7">
        <v>0</v>
      </c>
      <c r="BI7">
        <v>4</v>
      </c>
      <c r="BJ7" s="107">
        <f t="shared" si="0"/>
        <v>1.7806794672117485E-3</v>
      </c>
      <c r="BL7">
        <f>BH23+1</f>
        <v>3</v>
      </c>
      <c r="BM7">
        <v>3</v>
      </c>
      <c r="BN7" s="107">
        <f>$H$28*H42</f>
        <v>5.544824148727702E-2</v>
      </c>
      <c r="BP7">
        <f>BP5+1</f>
        <v>3</v>
      </c>
      <c r="BQ7">
        <v>0</v>
      </c>
      <c r="BR7" s="107">
        <f>$H$28*H39</f>
        <v>1.9236825199751624E-2</v>
      </c>
    </row>
    <row r="8" spans="1:70" x14ac:dyDescent="0.25">
      <c r="A8" s="5" t="s">
        <v>3</v>
      </c>
      <c r="B8" s="168">
        <v>14</v>
      </c>
      <c r="C8" s="169">
        <v>13.75</v>
      </c>
      <c r="E8" s="192" t="s">
        <v>18</v>
      </c>
      <c r="F8" s="167" t="s">
        <v>16</v>
      </c>
      <c r="G8" s="167"/>
      <c r="H8" s="10"/>
      <c r="I8" s="10"/>
      <c r="J8" s="166" t="s">
        <v>147</v>
      </c>
      <c r="K8" s="166"/>
      <c r="L8" s="10"/>
      <c r="M8" s="10"/>
      <c r="O8" s="67">
        <f>COUNTIF(F6:F18,"IMP")*0.01</f>
        <v>0.01</v>
      </c>
      <c r="P8" s="16" t="str">
        <f>P3</f>
        <v>0,6</v>
      </c>
      <c r="Q8" s="16">
        <f t="shared" si="1"/>
        <v>6.0000000000000001E-3</v>
      </c>
      <c r="R8" s="157">
        <f t="shared" si="6"/>
        <v>6.9592591677984945E-3</v>
      </c>
      <c r="S8" s="176">
        <f t="shared" si="2"/>
        <v>0.99304074083220151</v>
      </c>
      <c r="T8" s="177">
        <f>R8*PRODUCT(S5:S7)*PRODUCT(S9:S19)</f>
        <v>5.1976775809531939E-3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1.433842575324105E-3</v>
      </c>
      <c r="W8" s="186" t="s">
        <v>42</v>
      </c>
      <c r="X8" s="15" t="s">
        <v>43</v>
      </c>
      <c r="Y8" s="69">
        <f>COUNTIF(J6:J18,"IMP")*0.01</f>
        <v>0.01</v>
      </c>
      <c r="Z8" s="146" t="str">
        <f>Z3</f>
        <v>0,6</v>
      </c>
      <c r="AA8" s="19">
        <f t="shared" si="3"/>
        <v>6.0000000000000001E-3</v>
      </c>
      <c r="AB8" s="157">
        <f t="shared" si="4"/>
        <v>5.9282578096061245E-3</v>
      </c>
      <c r="AC8" s="176">
        <f t="shared" si="5"/>
        <v>0.99407174219039385</v>
      </c>
      <c r="AD8" s="177">
        <f>AB8*PRODUCT(AC5:AC7)*PRODUCT(AC9:AC19)</f>
        <v>4.396744885051305E-3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1.3060008882221524E-3</v>
      </c>
      <c r="BH8">
        <v>0</v>
      </c>
      <c r="BI8">
        <v>5</v>
      </c>
      <c r="BJ8" s="107">
        <f t="shared" si="0"/>
        <v>6.8651600044993715E-4</v>
      </c>
      <c r="BL8">
        <f>BH31+1</f>
        <v>4</v>
      </c>
      <c r="BM8">
        <v>4</v>
      </c>
      <c r="BN8" s="107">
        <f>$H$29*H43</f>
        <v>2.7978224526159789E-2</v>
      </c>
      <c r="BP8">
        <f>BP6+1</f>
        <v>3</v>
      </c>
      <c r="BQ8">
        <v>1</v>
      </c>
      <c r="BR8" s="107">
        <f>$H$28*H40</f>
        <v>5.4242424482710674E-2</v>
      </c>
    </row>
    <row r="9" spans="1:70" x14ac:dyDescent="0.25">
      <c r="A9" s="5" t="s">
        <v>4</v>
      </c>
      <c r="B9" s="168">
        <v>15</v>
      </c>
      <c r="C9" s="169">
        <v>8.25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2.5000000000000001E-2</v>
      </c>
      <c r="P9" s="144">
        <v>0.5</v>
      </c>
      <c r="Q9" s="16">
        <f t="shared" si="1"/>
        <v>1.2500000000000001E-2</v>
      </c>
      <c r="R9" s="157">
        <f t="shared" si="6"/>
        <v>1.4498456599580198E-2</v>
      </c>
      <c r="S9" s="176">
        <f t="shared" si="2"/>
        <v>0.98550154340041984</v>
      </c>
      <c r="T9" s="177">
        <f>R9*PRODUCT(S5:S8)*PRODUCT(S10:S19)</f>
        <v>1.0911334162288551E-2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2.8494993656644116E-3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>
        <f t="shared" si="4"/>
        <v>0</v>
      </c>
      <c r="AC9" s="176">
        <f t="shared" si="5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BH9">
        <v>0</v>
      </c>
      <c r="BI9">
        <v>6</v>
      </c>
      <c r="BJ9" s="107">
        <f t="shared" si="0"/>
        <v>1.9617909346652911E-4</v>
      </c>
      <c r="BL9">
        <f>BH38+1</f>
        <v>5</v>
      </c>
      <c r="BM9">
        <v>5</v>
      </c>
      <c r="BN9" s="107">
        <f>$H$30*H44</f>
        <v>7.1762652384170121E-3</v>
      </c>
      <c r="BP9">
        <f>BL6+1</f>
        <v>3</v>
      </c>
      <c r="BQ9">
        <v>2</v>
      </c>
      <c r="BR9" s="107">
        <f>$H$28*H41</f>
        <v>7.0288029301551563E-2</v>
      </c>
    </row>
    <row r="10" spans="1:70" x14ac:dyDescent="0.25">
      <c r="A10" s="6" t="s">
        <v>5</v>
      </c>
      <c r="B10" s="168">
        <v>15.25</v>
      </c>
      <c r="C10" s="169">
        <v>16.25</v>
      </c>
      <c r="E10" s="192" t="s">
        <v>17</v>
      </c>
      <c r="F10" s="167" t="s">
        <v>144</v>
      </c>
      <c r="G10" s="167"/>
      <c r="H10" s="10"/>
      <c r="I10" s="10"/>
      <c r="J10" s="166" t="s">
        <v>16</v>
      </c>
      <c r="K10" s="166"/>
      <c r="L10" s="10"/>
      <c r="M10" s="10"/>
      <c r="O10" s="67">
        <f>COUNTIF(F14:F18,"RAP")*0.0785</f>
        <v>7.85E-2</v>
      </c>
      <c r="P10" s="16" t="str">
        <f>R3</f>
        <v>0,72</v>
      </c>
      <c r="Q10" s="16">
        <f t="shared" si="1"/>
        <v>5.6520000000000001E-2</v>
      </c>
      <c r="R10" s="157">
        <f t="shared" si="6"/>
        <v>6.5556221360661818E-2</v>
      </c>
      <c r="S10" s="176">
        <f t="shared" si="2"/>
        <v>0.93444377863933814</v>
      </c>
      <c r="T10" s="177">
        <f>R10*PRODUCT(S5:S9)*PRODUCT(S11:S19)</f>
        <v>5.203243236454453E-2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9.9379379250660437E-3</v>
      </c>
      <c r="W10" s="186" t="s">
        <v>46</v>
      </c>
      <c r="X10" s="15" t="s">
        <v>47</v>
      </c>
      <c r="Y10" s="69">
        <f>COUNTIF(J14:J18,"RAP")*0.0785</f>
        <v>7.85E-2</v>
      </c>
      <c r="Z10" s="146" t="str">
        <f>AB3</f>
        <v>0,72</v>
      </c>
      <c r="AA10" s="19">
        <f t="shared" si="3"/>
        <v>5.6520000000000001E-2</v>
      </c>
      <c r="AB10" s="157">
        <f t="shared" si="4"/>
        <v>5.5844188566489691E-2</v>
      </c>
      <c r="AC10" s="176">
        <f t="shared" si="5"/>
        <v>0.94415581143351035</v>
      </c>
      <c r="AD10" s="177">
        <f>AB10*PRODUCT(AC5:AC9)*PRODUCT(AC11:AC19)</f>
        <v>4.3607001797968753E-2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1.0373709569278562E-2</v>
      </c>
      <c r="BH10">
        <v>0</v>
      </c>
      <c r="BI10">
        <v>7</v>
      </c>
      <c r="BJ10" s="107">
        <f t="shared" si="0"/>
        <v>4.2203937789565393E-5</v>
      </c>
      <c r="BL10">
        <f>BH44+1</f>
        <v>6</v>
      </c>
      <c r="BM10">
        <v>6</v>
      </c>
      <c r="BN10" s="107">
        <f>$H$31*H45</f>
        <v>9.9074631376745844E-4</v>
      </c>
      <c r="BP10">
        <f>BP7+1</f>
        <v>4</v>
      </c>
      <c r="BQ10">
        <v>0</v>
      </c>
      <c r="BR10" s="107">
        <f>$H$29*H39</f>
        <v>1.809956696595702E-2</v>
      </c>
    </row>
    <row r="11" spans="1:70" x14ac:dyDescent="0.25">
      <c r="A11" s="6" t="s">
        <v>6</v>
      </c>
      <c r="B11" s="168">
        <v>10.75</v>
      </c>
      <c r="C11" s="169">
        <v>17.25</v>
      </c>
      <c r="E11" s="192" t="s">
        <v>19</v>
      </c>
      <c r="F11" s="167" t="s">
        <v>21</v>
      </c>
      <c r="G11" s="167"/>
      <c r="H11" s="10"/>
      <c r="I11" s="10"/>
      <c r="J11" s="166" t="s">
        <v>16</v>
      </c>
      <c r="K11" s="166"/>
      <c r="L11" s="10"/>
      <c r="M11" s="10"/>
      <c r="O11" s="67">
        <f>IF(COUNTA(F16:F18)=0,0,COUNTIF(F14:F15,"RAP")*0.035)+IF(COUNTA(F17:F18)=0,0,COUNTIF(F16:F16,"RAP")*0.035)+IF(COUNTA(F16:F17)=0,0,COUNTIF(F18:F18,"RAP")*0.035)+IF(COUNTA(F16,F18)=0,0,COUNTIF(F17:F17,"RAP")*0.035)</f>
        <v>3.5000000000000003E-2</v>
      </c>
      <c r="P11" s="16" t="str">
        <f>R3</f>
        <v>0,72</v>
      </c>
      <c r="Q11" s="16">
        <f t="shared" si="1"/>
        <v>2.52E-2</v>
      </c>
      <c r="R11" s="157">
        <f t="shared" si="6"/>
        <v>2.9228888504753674E-2</v>
      </c>
      <c r="S11" s="176">
        <f t="shared" si="2"/>
        <v>0.97077111149524631</v>
      </c>
      <c r="T11" s="177">
        <f>R11*PRODUCT(S5:S10)*PRODUCT(S12:S19)</f>
        <v>2.2331034828710222E-2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3.5927537286678008E-3</v>
      </c>
      <c r="W11" s="186" t="s">
        <v>48</v>
      </c>
      <c r="X11" s="15" t="s">
        <v>49</v>
      </c>
      <c r="Y11" s="69">
        <f>IF(COUNTA(J16:J18)=0,0,COUNTIF(J14:J15,"RAP")*0.035)+IF(COUNTA(J17:J18)=0,0,COUNTIF(J16:J16,"RAP")*0.035)+IF(COUNTA(J16:J17)=0,0,COUNTIF(J18:J18,"RAP")*0.035)+IF(COUNTA(J16,J18)=0,0,COUNTIF(J17:J17,"RAP")*0.035)</f>
        <v>3.5000000000000003E-2</v>
      </c>
      <c r="Z11" s="146" t="str">
        <f>AB3</f>
        <v>0,72</v>
      </c>
      <c r="AA11" s="19">
        <f t="shared" si="3"/>
        <v>2.52E-2</v>
      </c>
      <c r="AB11" s="157">
        <f t="shared" si="4"/>
        <v>2.4898682800345722E-2</v>
      </c>
      <c r="AC11" s="176">
        <f t="shared" si="5"/>
        <v>0.97510131719965432</v>
      </c>
      <c r="AD11" s="177">
        <f>AB11*PRODUCT(AC5:AC10)*PRODUCT(AC12:AC19)</f>
        <v>1.8825587697580692E-2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3.9977351252292277E-3</v>
      </c>
      <c r="BH11">
        <v>0</v>
      </c>
      <c r="BI11">
        <v>8</v>
      </c>
      <c r="BJ11" s="107">
        <f t="shared" si="0"/>
        <v>6.8651727186838913E-6</v>
      </c>
      <c r="BL11">
        <f>BH50+1</f>
        <v>7</v>
      </c>
      <c r="BM11">
        <v>7</v>
      </c>
      <c r="BN11" s="107">
        <f>$H$32*H46</f>
        <v>7.5609863866531478E-5</v>
      </c>
      <c r="BP11">
        <f>BP8+1</f>
        <v>4</v>
      </c>
      <c r="BQ11">
        <v>1</v>
      </c>
      <c r="BR11" s="107">
        <f>$H$29*H40</f>
        <v>5.1035676839927019E-2</v>
      </c>
    </row>
    <row r="12" spans="1:70" x14ac:dyDescent="0.25">
      <c r="A12" s="6" t="s">
        <v>7</v>
      </c>
      <c r="B12" s="168">
        <v>17</v>
      </c>
      <c r="C12" s="169">
        <v>13</v>
      </c>
      <c r="E12" s="192" t="s">
        <v>19</v>
      </c>
      <c r="F12" s="167" t="s">
        <v>16</v>
      </c>
      <c r="G12" s="167"/>
      <c r="H12" s="10"/>
      <c r="I12" s="10"/>
      <c r="J12" s="166" t="s">
        <v>21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BH12">
        <v>0</v>
      </c>
      <c r="BI12">
        <v>9</v>
      </c>
      <c r="BJ12" s="107">
        <f t="shared" si="0"/>
        <v>8.3877943097604384E-7</v>
      </c>
      <c r="BL12">
        <f>BH54+1</f>
        <v>8</v>
      </c>
      <c r="BM12">
        <v>8</v>
      </c>
      <c r="BN12" s="107">
        <f>$H$33*H47</f>
        <v>3.2030085219517139E-6</v>
      </c>
      <c r="BP12">
        <f>BP9+1</f>
        <v>4</v>
      </c>
      <c r="BQ12">
        <v>2</v>
      </c>
      <c r="BR12" s="107">
        <f>$H$29*H41</f>
        <v>6.6132684579626344E-2</v>
      </c>
    </row>
    <row r="13" spans="1:70" x14ac:dyDescent="0.25">
      <c r="A13" s="7" t="s">
        <v>8</v>
      </c>
      <c r="B13" s="168">
        <v>13</v>
      </c>
      <c r="C13" s="169">
        <v>10.5</v>
      </c>
      <c r="E13" s="192" t="s">
        <v>19</v>
      </c>
      <c r="F13" s="167" t="s">
        <v>21</v>
      </c>
      <c r="G13" s="167"/>
      <c r="H13" s="10"/>
      <c r="I13" s="10"/>
      <c r="J13" s="166" t="s">
        <v>131</v>
      </c>
      <c r="K13" s="166"/>
      <c r="L13" s="10"/>
      <c r="M13" s="10"/>
      <c r="O13" s="67">
        <v>9.7500000000000003E-2</v>
      </c>
      <c r="P13" s="16" t="str">
        <f>P2</f>
        <v>0,4</v>
      </c>
      <c r="Q13" s="16">
        <f t="shared" si="1"/>
        <v>3.9000000000000007E-2</v>
      </c>
      <c r="R13" s="157">
        <f t="shared" si="6"/>
        <v>4.5235184590690224E-2</v>
      </c>
      <c r="S13" s="176">
        <f t="shared" si="2"/>
        <v>0.9547648154093098</v>
      </c>
      <c r="T13" s="177">
        <f>R13*PRODUCT(S5:S12)*PRODUCT(S14:S19)</f>
        <v>3.5139319997873605E-2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3.9885860243580023E-3</v>
      </c>
      <c r="W13" s="186" t="s">
        <v>52</v>
      </c>
      <c r="X13" s="15" t="s">
        <v>53</v>
      </c>
      <c r="Y13" s="69">
        <v>9.7500000000000003E-2</v>
      </c>
      <c r="Z13" s="19" t="str">
        <f>Z2</f>
        <v>0,4</v>
      </c>
      <c r="AA13" s="19">
        <f t="shared" si="3"/>
        <v>3.9000000000000007E-2</v>
      </c>
      <c r="AB13" s="157">
        <f t="shared" si="4"/>
        <v>3.8533675762439809E-2</v>
      </c>
      <c r="AC13" s="176">
        <f t="shared" si="5"/>
        <v>0.96146632423756018</v>
      </c>
      <c r="AD13" s="177">
        <f>AB13*PRODUCT(AC5:AC12)*PRODUCT(AC14:AC19)</f>
        <v>2.9548012545890595E-2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5.0904851681145549E-3</v>
      </c>
      <c r="BH13">
        <v>0</v>
      </c>
      <c r="BI13">
        <v>10</v>
      </c>
      <c r="BJ13" s="107">
        <f t="shared" si="0"/>
        <v>7.5344253375357576E-8</v>
      </c>
      <c r="BL13">
        <f>BH57+1</f>
        <v>9</v>
      </c>
      <c r="BM13">
        <v>9</v>
      </c>
      <c r="BN13" s="107">
        <f>$H$34*H48</f>
        <v>7.4073878423684477E-8</v>
      </c>
      <c r="BP13">
        <f>BL7+1</f>
        <v>4</v>
      </c>
      <c r="BQ13">
        <v>3</v>
      </c>
      <c r="BR13" s="107">
        <f>$H$29*H42</f>
        <v>5.2170207376864064E-2</v>
      </c>
    </row>
    <row r="14" spans="1:70" x14ac:dyDescent="0.25">
      <c r="A14" s="7" t="s">
        <v>9</v>
      </c>
      <c r="B14" s="168">
        <v>11</v>
      </c>
      <c r="C14" s="169">
        <v>9</v>
      </c>
      <c r="E14" s="192" t="s">
        <v>20</v>
      </c>
      <c r="F14" s="167" t="s">
        <v>147</v>
      </c>
      <c r="G14" s="167"/>
      <c r="H14" s="10"/>
      <c r="I14" s="10"/>
      <c r="J14" s="166" t="s">
        <v>131</v>
      </c>
      <c r="K14" s="166"/>
      <c r="L14" s="10"/>
      <c r="M14" s="10"/>
      <c r="O14" s="67">
        <f>COUNTIF(F6:F18,"CAB")*0.071</f>
        <v>7.0999999999999994E-2</v>
      </c>
      <c r="P14" s="144">
        <v>0.95</v>
      </c>
      <c r="Q14" s="16">
        <f t="shared" si="1"/>
        <v>6.7449999999999996E-2</v>
      </c>
      <c r="R14" s="157">
        <f t="shared" si="6"/>
        <v>7.8233671811334726E-2</v>
      </c>
      <c r="S14" s="176">
        <f t="shared" si="2"/>
        <v>0.92176632818866522</v>
      </c>
      <c r="T14" s="177">
        <f>R14*PRODUCT(S5:S13)*PRODUCT(S15:S19)</f>
        <v>6.2948627682954936E-2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1.8024789292647502E-3</v>
      </c>
      <c r="W14" s="186" t="s">
        <v>54</v>
      </c>
      <c r="X14" s="15" t="s">
        <v>55</v>
      </c>
      <c r="Y14" s="69">
        <f>COUNTIF(J6:J18,"CAB")*0.071</f>
        <v>7.0999999999999994E-2</v>
      </c>
      <c r="Z14" s="147">
        <v>0.95</v>
      </c>
      <c r="AA14" s="19">
        <f t="shared" si="3"/>
        <v>6.7449999999999996E-2</v>
      </c>
      <c r="AB14" s="157">
        <f t="shared" si="4"/>
        <v>6.6643498209655511E-2</v>
      </c>
      <c r="AC14" s="176">
        <f t="shared" si="5"/>
        <v>0.93335650179034446</v>
      </c>
      <c r="AD14" s="177">
        <f>AB14*PRODUCT(AC5:AC13)*PRODUCT(AC15:AC19)</f>
        <v>5.2641971060356806E-2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5.3103353143362543E-3</v>
      </c>
      <c r="BH14">
        <v>1</v>
      </c>
      <c r="BI14">
        <v>2</v>
      </c>
      <c r="BJ14" s="107">
        <f t="shared" ref="BJ14:BJ22" si="7">$H$26*H41</f>
        <v>2.1517623110722153E-2</v>
      </c>
      <c r="BL14">
        <f>BP39+1</f>
        <v>10</v>
      </c>
      <c r="BM14">
        <v>10</v>
      </c>
      <c r="BN14" s="107">
        <f>$H$35*H49</f>
        <v>8.9667612544956982E-10</v>
      </c>
      <c r="BP14">
        <f>BP10+1</f>
        <v>5</v>
      </c>
      <c r="BQ14">
        <v>0</v>
      </c>
      <c r="BR14" s="107">
        <f>$H$30*H39</f>
        <v>1.2041528078712954E-2</v>
      </c>
    </row>
    <row r="15" spans="1:70" x14ac:dyDescent="0.25">
      <c r="A15" s="189" t="s">
        <v>71</v>
      </c>
      <c r="B15" s="170">
        <v>9</v>
      </c>
      <c r="C15" s="171">
        <v>8.5</v>
      </c>
      <c r="E15" s="192" t="s">
        <v>20</v>
      </c>
      <c r="F15" s="167" t="s">
        <v>21</v>
      </c>
      <c r="G15" s="167"/>
      <c r="H15" s="10"/>
      <c r="I15" s="10"/>
      <c r="J15" s="166" t="s">
        <v>144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BH15">
        <v>1</v>
      </c>
      <c r="BI15">
        <v>3</v>
      </c>
      <c r="BJ15" s="107">
        <f t="shared" si="7"/>
        <v>1.6974645246586786E-2</v>
      </c>
      <c r="BP15">
        <f>BP11+1</f>
        <v>5</v>
      </c>
      <c r="BQ15">
        <v>1</v>
      </c>
      <c r="BR15" s="107">
        <f>$H$30*H40</f>
        <v>3.395371485074683E-2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21</v>
      </c>
      <c r="G16" s="167"/>
      <c r="H16" s="10"/>
      <c r="I16" s="10"/>
      <c r="J16" s="166" t="s">
        <v>123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BH16">
        <v>1</v>
      </c>
      <c r="BI16">
        <v>4</v>
      </c>
      <c r="BJ16" s="107">
        <f t="shared" si="7"/>
        <v>9.1032882528185848E-3</v>
      </c>
      <c r="BP16">
        <f>BP12+1</f>
        <v>5</v>
      </c>
      <c r="BQ16">
        <v>2</v>
      </c>
      <c r="BR16" s="107">
        <f>$H$30*H41</f>
        <v>4.3997659158589227E-2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 t="s">
        <v>21</v>
      </c>
      <c r="K17" s="166"/>
      <c r="L17" s="10"/>
      <c r="M17" s="10"/>
      <c r="O17" s="67">
        <f>(0.02*2)*IF(COUNTBLANK(F14:F15)&lt;&gt;0,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2.7837036671193978E-2</v>
      </c>
      <c r="S17" s="176">
        <f t="shared" si="2"/>
        <v>0.97216296332880603</v>
      </c>
      <c r="T17" s="177">
        <f>R17*PRODUCT(S5:S16)*PRODUCT(S18:S19)</f>
        <v>2.1237203186276723E-2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(0.02*2)*IF(COUNTBLANK(J14:J15)&lt;&gt;0,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2.3713031238424498E-2</v>
      </c>
      <c r="AC17" s="176">
        <f t="shared" si="5"/>
        <v>0.9762869687615755</v>
      </c>
      <c r="AD17" s="177">
        <f>AB17*PRODUCT(AC5:AC16)*PRODUCT(AC18:AC19)</f>
        <v>1.7907357109944344E-2</v>
      </c>
      <c r="AE17" s="177">
        <f>AB17*AB18*PRODUCT(AC5:AC16)*AC19+AB17*AB19*PRODUCT(AC5:AC16)*AC18</f>
        <v>1.3714789232896225E-3</v>
      </c>
      <c r="BH17">
        <v>1</v>
      </c>
      <c r="BI17">
        <v>5</v>
      </c>
      <c r="BJ17" s="107">
        <f t="shared" si="7"/>
        <v>3.5096451423981905E-3</v>
      </c>
      <c r="BP17">
        <f>BP13+1</f>
        <v>5</v>
      </c>
      <c r="BQ17">
        <v>3</v>
      </c>
      <c r="BR17" s="107">
        <f>$H$30*H42</f>
        <v>3.4708510882186711E-2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123</v>
      </c>
      <c r="G18" s="167"/>
      <c r="H18" s="10"/>
      <c r="I18" s="10"/>
      <c r="J18" s="166" t="s">
        <v>21</v>
      </c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BH18">
        <v>1</v>
      </c>
      <c r="BI18">
        <v>6</v>
      </c>
      <c r="BJ18" s="107">
        <f t="shared" si="7"/>
        <v>1.0029176333452309E-3</v>
      </c>
      <c r="BP18">
        <f>BL8+1</f>
        <v>5</v>
      </c>
      <c r="BQ18">
        <v>4</v>
      </c>
      <c r="BR18" s="107">
        <f>$H$30*H43</f>
        <v>1.8613736829060916E-2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0.12</v>
      </c>
      <c r="Z19" s="146" t="str">
        <f>Z3</f>
        <v>0,6</v>
      </c>
      <c r="AA19" s="19">
        <f t="shared" si="3"/>
        <v>7.1999999999999995E-2</v>
      </c>
      <c r="AB19" s="157">
        <f t="shared" si="4"/>
        <v>7.113909371527348E-2</v>
      </c>
      <c r="AC19" s="178">
        <f t="shared" si="5"/>
        <v>0.92886090628472651</v>
      </c>
      <c r="AD19" s="179">
        <f>AB19*PRODUCT(AC5:AC18)</f>
        <v>5.6465029176412267E-2</v>
      </c>
      <c r="AE19" s="179">
        <v>0</v>
      </c>
      <c r="AF19" s="1" t="s">
        <v>66</v>
      </c>
      <c r="BH19">
        <v>1</v>
      </c>
      <c r="BI19">
        <v>7</v>
      </c>
      <c r="BJ19" s="107">
        <f t="shared" si="7"/>
        <v>2.1575730959824151E-4</v>
      </c>
      <c r="BP19">
        <f>BP15+1</f>
        <v>6</v>
      </c>
      <c r="BQ19">
        <v>1</v>
      </c>
      <c r="BR19" s="107">
        <f>$H$31*H40</f>
        <v>1.640397959711018E-2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0.74167457643763623</v>
      </c>
      <c r="T20" s="181">
        <f>SUM(T5:T19)</f>
        <v>0.22755685359834157</v>
      </c>
      <c r="U20" s="181">
        <f>SUM(U5:U19)</f>
        <v>2.8734963704314866E-2</v>
      </c>
      <c r="V20" s="181">
        <f>1-S20-T20-U20</f>
        <v>2.0336062597073254E-3</v>
      </c>
      <c r="W20" s="21"/>
      <c r="X20" s="22"/>
      <c r="Y20" s="22"/>
      <c r="Z20" s="22"/>
      <c r="AA20" s="22"/>
      <c r="AB20" s="23"/>
      <c r="AC20" s="184">
        <f>PRODUCT(AC5:AC19)</f>
        <v>0.73726210772537948</v>
      </c>
      <c r="AD20" s="181">
        <f>SUM(AD5:AD19)</f>
        <v>0.23089750374896031</v>
      </c>
      <c r="AE20" s="181">
        <f>SUM(AE5:AE19)</f>
        <v>2.9724015318183993E-2</v>
      </c>
      <c r="AF20" s="181">
        <f>1-AC20-AD20-AE20</f>
        <v>2.1163732074762145E-3</v>
      </c>
      <c r="BH20">
        <v>1</v>
      </c>
      <c r="BI20">
        <v>8</v>
      </c>
      <c r="BJ20" s="107">
        <f t="shared" si="7"/>
        <v>3.5096516422140596E-5</v>
      </c>
      <c r="BP20">
        <f>BP16+1</f>
        <v>6</v>
      </c>
      <c r="BQ20">
        <v>2</v>
      </c>
      <c r="BR20" s="107">
        <f>$H$31*H41</f>
        <v>2.125648714229661E-2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0.74167457643763635</v>
      </c>
      <c r="T21" s="183">
        <f>T20*V1</f>
        <v>0.22755685359834157</v>
      </c>
      <c r="U21" s="183">
        <f>U20*V1</f>
        <v>2.8734963704314866E-2</v>
      </c>
      <c r="V21" s="183">
        <f>V20*V1</f>
        <v>2.0336062597073254E-3</v>
      </c>
      <c r="W21" s="21"/>
      <c r="X21" s="22"/>
      <c r="Y21" s="22"/>
      <c r="Z21" s="22"/>
      <c r="AA21" s="22"/>
      <c r="AB21" s="23"/>
      <c r="AC21" s="185">
        <f>1-AD21-AE21-AF21</f>
        <v>0.73726210772537937</v>
      </c>
      <c r="AD21" s="183">
        <f>AD20*V1</f>
        <v>0.23089750374896031</v>
      </c>
      <c r="AE21" s="183">
        <f>AE20*V1</f>
        <v>2.9724015318183993E-2</v>
      </c>
      <c r="AF21" s="183">
        <f>AF20*V1</f>
        <v>2.1163732074762145E-3</v>
      </c>
      <c r="BH21" s="18">
        <v>1</v>
      </c>
      <c r="BI21">
        <v>9</v>
      </c>
      <c r="BJ21" s="107">
        <f t="shared" si="7"/>
        <v>4.288054689969696E-6</v>
      </c>
      <c r="BP21">
        <f>BP17+1</f>
        <v>6</v>
      </c>
      <c r="BQ21">
        <v>3</v>
      </c>
      <c r="BR21" s="107">
        <f>$H$31*H42</f>
        <v>1.6768642455184668E-2</v>
      </c>
    </row>
    <row r="22" spans="1:70" x14ac:dyDescent="0.25">
      <c r="A22" s="26" t="s">
        <v>77</v>
      </c>
      <c r="B22" s="62">
        <f>(B6)/((B6)+(C6))</f>
        <v>0.54</v>
      </c>
      <c r="C22" s="63">
        <f>1-B22</f>
        <v>0.45999999999999996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3.8517906748442255E-7</v>
      </c>
      <c r="BP22">
        <f>BP18+1</f>
        <v>6</v>
      </c>
      <c r="BQ22">
        <v>4</v>
      </c>
      <c r="BR22" s="107">
        <f>$H$31*H43</f>
        <v>8.9928115527888267E-3</v>
      </c>
    </row>
    <row r="23" spans="1:70" ht="15.75" thickBot="1" x14ac:dyDescent="0.3">
      <c r="A23" s="40" t="s">
        <v>67</v>
      </c>
      <c r="B23" s="56">
        <f>((B22^2.8)/((B22^2.8)+(C22^2.8)))*B21</f>
        <v>3.0519589915804435</v>
      </c>
      <c r="C23" s="57">
        <f>B21-B23</f>
        <v>1.9480410084195565</v>
      </c>
      <c r="D23" s="151">
        <f>SUM(D25:D30)</f>
        <v>1</v>
      </c>
      <c r="E23" s="151">
        <f>SUM(E25:E30)</f>
        <v>1</v>
      </c>
      <c r="H23" s="59">
        <f>SUM(H25:H35)</f>
        <v>0.99998292892099783</v>
      </c>
      <c r="J23" s="59">
        <f>SUM(J25:J35)</f>
        <v>1</v>
      </c>
      <c r="K23" s="59"/>
      <c r="L23" s="59">
        <f>SUM(L25:L35)</f>
        <v>1</v>
      </c>
      <c r="N23" s="59">
        <f>SUM(N25:N35)</f>
        <v>1</v>
      </c>
      <c r="O23" s="34"/>
      <c r="P23" s="59">
        <f>SUM(P25:P35)</f>
        <v>1</v>
      </c>
      <c r="R23" s="59">
        <f>SUM(R25:R35)</f>
        <v>1</v>
      </c>
      <c r="T23" s="59">
        <f>SUM(T25:T35)</f>
        <v>1</v>
      </c>
      <c r="V23" s="59">
        <f>SUM(V25:V34)</f>
        <v>0.99259149374528632</v>
      </c>
      <c r="Y23" s="80">
        <f>SUM(Y25:Y35)</f>
        <v>8.0187004034813848E-5</v>
      </c>
      <c r="Z23" s="81"/>
      <c r="AA23" s="80">
        <f>SUM(AA25:AA35)</f>
        <v>1.2566775708587185E-3</v>
      </c>
      <c r="AB23" s="81"/>
      <c r="AC23" s="80">
        <f>SUM(AC25:AC35)</f>
        <v>8.8631305002636503E-3</v>
      </c>
      <c r="AD23" s="81"/>
      <c r="AE23" s="80">
        <f>SUM(AE25:AE35)</f>
        <v>3.7046662639518724E-2</v>
      </c>
      <c r="AF23" s="81"/>
      <c r="AG23" s="80">
        <f>SUM(AG25:AG35)</f>
        <v>0.10163445157200952</v>
      </c>
      <c r="AH23" s="81"/>
      <c r="AI23" s="80">
        <f>SUM(AI25:AI35)</f>
        <v>0.19123474705381099</v>
      </c>
      <c r="AJ23" s="81"/>
      <c r="AK23" s="80">
        <f>SUM(AK25:AK35)</f>
        <v>0.2499627330210481</v>
      </c>
      <c r="AL23" s="81"/>
      <c r="AM23" s="80">
        <f>SUM(AM25:AM35)</f>
        <v>0.22417147856758435</v>
      </c>
      <c r="AN23" s="81"/>
      <c r="AO23" s="80">
        <f>SUM(AO25:AO35)</f>
        <v>0.13208702477427156</v>
      </c>
      <c r="AP23" s="81"/>
      <c r="AQ23" s="80">
        <f>SUM(AQ25:AQ35)</f>
        <v>4.6254401041885856E-2</v>
      </c>
      <c r="AR23" s="81"/>
      <c r="AS23" s="80">
        <f>SUM(AS25:AS35)</f>
        <v>7.4085062547136768E-3</v>
      </c>
      <c r="BH23">
        <f t="shared" ref="BH23:BH30" si="8">BH15+1</f>
        <v>2</v>
      </c>
      <c r="BI23">
        <v>3</v>
      </c>
      <c r="BJ23" s="107">
        <f t="shared" ref="BJ23:BJ30" si="9">$H$27*H42</f>
        <v>3.9532223095844823E-2</v>
      </c>
      <c r="BP23">
        <f>BL9+1</f>
        <v>6</v>
      </c>
      <c r="BQ23">
        <v>5</v>
      </c>
      <c r="BR23" s="107">
        <f>$H$31*H44</f>
        <v>3.4670523997716372E-3</v>
      </c>
    </row>
    <row r="24" spans="1:70" ht="15.75" thickBot="1" x14ac:dyDescent="0.3">
      <c r="A24" s="26" t="s">
        <v>76</v>
      </c>
      <c r="B24" s="64">
        <f>B23/B21</f>
        <v>0.6103917983160887</v>
      </c>
      <c r="C24" s="65">
        <f>C23/B21</f>
        <v>0.3896082016839113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2.1200632878532175E-2</v>
      </c>
      <c r="BP24">
        <f>BH49+1</f>
        <v>7</v>
      </c>
      <c r="BQ24">
        <v>0</v>
      </c>
      <c r="BR24" s="107">
        <f t="shared" ref="BR24:BR30" si="10">$H$32*H39</f>
        <v>2.0637603591481895E-3</v>
      </c>
    </row>
    <row r="25" spans="1:70" x14ac:dyDescent="0.25">
      <c r="A25" s="26" t="s">
        <v>69</v>
      </c>
      <c r="B25" s="117">
        <f>1/(1+EXP(-3.1416*4*((B11/(B11+C8))-(3.1416/6))))</f>
        <v>0.25617624216563017</v>
      </c>
      <c r="C25" s="118">
        <f>1/(1+EXP(-3.1416*4*((C11/(C11+B8))-(3.1416/6))))</f>
        <v>0.58828635588143896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1.4642898846447353E-2</v>
      </c>
      <c r="I25" s="97">
        <v>0</v>
      </c>
      <c r="J25" s="98">
        <f t="shared" ref="J25:J35" si="11">Y25+AA25+AC25+AE25+AG25+AI25+AK25+AM25+AO25+AQ25+AS25</f>
        <v>1.9743023843124277E-2</v>
      </c>
      <c r="K25" s="97">
        <v>0</v>
      </c>
      <c r="L25" s="98">
        <f>S21</f>
        <v>0.74167457643763635</v>
      </c>
      <c r="M25" s="84">
        <v>0</v>
      </c>
      <c r="N25" s="71">
        <f>(1-$B$24)^$B$21</f>
        <v>8.9771907523363351E-3</v>
      </c>
      <c r="O25" s="70">
        <v>0</v>
      </c>
      <c r="P25" s="71">
        <f>N25</f>
        <v>8.9771907523363351E-3</v>
      </c>
      <c r="Q25" s="12">
        <v>0</v>
      </c>
      <c r="R25" s="73">
        <f>P25*N25</f>
        <v>8.0589953803833017E-5</v>
      </c>
      <c r="S25" s="70">
        <v>0</v>
      </c>
      <c r="T25" s="135">
        <f>(1-$B$33)^(INT(C23*2*(1-C31)))</f>
        <v>0.995</v>
      </c>
      <c r="U25" s="140">
        <v>0</v>
      </c>
      <c r="V25" s="86">
        <f>R25*T25</f>
        <v>8.0187004034813848E-5</v>
      </c>
      <c r="W25" s="136">
        <f>B31</f>
        <v>0.53154530578560644</v>
      </c>
      <c r="X25" s="12">
        <v>0</v>
      </c>
      <c r="Y25" s="79">
        <f>V25</f>
        <v>8.0187004034813848E-5</v>
      </c>
      <c r="Z25" s="12">
        <v>0</v>
      </c>
      <c r="AA25" s="78">
        <f>((1-W25)^Z26)*V26</f>
        <v>5.8869650718270782E-4</v>
      </c>
      <c r="AB25" s="12">
        <v>0</v>
      </c>
      <c r="AC25" s="79">
        <f>(((1-$W$25)^AB27))*V27</f>
        <v>1.9450122203675205E-3</v>
      </c>
      <c r="AD25" s="12">
        <v>0</v>
      </c>
      <c r="AE25" s="79">
        <f>(((1-$W$25)^AB28))*V28</f>
        <v>3.8084817266883747E-3</v>
      </c>
      <c r="AF25" s="12">
        <v>0</v>
      </c>
      <c r="AG25" s="79">
        <f>(((1-$W$25)^AB29))*V29</f>
        <v>4.8945337654671753E-3</v>
      </c>
      <c r="AH25" s="12">
        <v>0</v>
      </c>
      <c r="AI25" s="79">
        <f>(((1-$W$25)^AB30))*V30</f>
        <v>4.3142447751202484E-3</v>
      </c>
      <c r="AJ25" s="12">
        <v>0</v>
      </c>
      <c r="AK25" s="79">
        <f>(((1-$W$25)^AB31))*V31</f>
        <v>2.6416838173534359E-3</v>
      </c>
      <c r="AL25" s="12">
        <v>0</v>
      </c>
      <c r="AM25" s="79">
        <f>(((1-$W$25)^AB32))*V32</f>
        <v>1.1098224937786359E-3</v>
      </c>
      <c r="AN25" s="12">
        <v>0</v>
      </c>
      <c r="AO25" s="79">
        <f>(((1-$W$25)^AB33))*V33</f>
        <v>3.0633803315454749E-4</v>
      </c>
      <c r="AP25" s="12">
        <v>0</v>
      </c>
      <c r="AQ25" s="79">
        <f>(((1-$W$25)^AB34))*V34</f>
        <v>5.025293348243874E-5</v>
      </c>
      <c r="AR25" s="12">
        <v>0</v>
      </c>
      <c r="AS25" s="79">
        <f>(((1-$W$25)^AB35))*V35</f>
        <v>3.7705664943768735E-6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8.1736067376389845E-3</v>
      </c>
      <c r="BP25">
        <f>BP19+1</f>
        <v>7</v>
      </c>
      <c r="BQ25">
        <v>1</v>
      </c>
      <c r="BR25" s="107">
        <f t="shared" si="10"/>
        <v>5.8192224688381989E-3</v>
      </c>
    </row>
    <row r="26" spans="1:70" x14ac:dyDescent="0.25">
      <c r="A26" s="40" t="s">
        <v>24</v>
      </c>
      <c r="B26" s="119">
        <f>1/(1+EXP(-3.1416*4*((B10/(B10+C9))-(3.1416/6))))</f>
        <v>0.82849870402811132</v>
      </c>
      <c r="C26" s="120">
        <f>1/(1+EXP(-3.1416*4*((C10/(C10+B9))-(3.1416/6))))</f>
        <v>0.48869216845731994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7.4858238953470158E-2</v>
      </c>
      <c r="I26" s="93">
        <v>1</v>
      </c>
      <c r="J26" s="86">
        <f t="shared" si="11"/>
        <v>9.4873925576884649E-2</v>
      </c>
      <c r="K26" s="93">
        <v>1</v>
      </c>
      <c r="L26" s="86">
        <f>T21</f>
        <v>0.22755685359834157</v>
      </c>
      <c r="M26" s="85">
        <v>1</v>
      </c>
      <c r="N26" s="71">
        <f>(($B$24)^M26)*((1-($B$24))^($B$21-M26))*HLOOKUP($B$21,$AV$24:$BF$34,M26+1)</f>
        <v>7.0321974530591788E-2</v>
      </c>
      <c r="O26" s="72">
        <v>1</v>
      </c>
      <c r="P26" s="71">
        <f t="shared" ref="P26:P30" si="12">N26</f>
        <v>7.0321974530591788E-2</v>
      </c>
      <c r="Q26" s="28">
        <v>1</v>
      </c>
      <c r="R26" s="37">
        <f>N26*P25+P26*N25</f>
        <v>1.2625875588841199E-3</v>
      </c>
      <c r="S26" s="72">
        <v>1</v>
      </c>
      <c r="T26" s="135">
        <f t="shared" ref="T26:T35" si="13">(($B$33)^S26)*((1-($B$33))^(INT($C$23*2*(1-$C$31))-S26))*HLOOKUP(INT($C$23*2*(1-$C$31)),$AV$24:$BF$34,S26+1)</f>
        <v>5.0000000000000001E-3</v>
      </c>
      <c r="U26" s="93">
        <v>1</v>
      </c>
      <c r="V26" s="86">
        <f>R26*T25+T26*R25</f>
        <v>1.2566775708587185E-3</v>
      </c>
      <c r="W26" s="137"/>
      <c r="X26" s="28">
        <v>1</v>
      </c>
      <c r="Y26" s="73"/>
      <c r="Z26" s="28">
        <v>1</v>
      </c>
      <c r="AA26" s="79">
        <f>(1-((1-W25)^Z26))*V26</f>
        <v>6.6798106367601064E-4</v>
      </c>
      <c r="AB26" s="28">
        <v>1</v>
      </c>
      <c r="AC26" s="79">
        <f>((($W$25)^M26)*((1-($W$25))^($U$27-M26))*HLOOKUP($U$27,$AV$24:$BF$34,M26+1))*V27</f>
        <v>4.4139257358315059E-3</v>
      </c>
      <c r="AD26" s="28">
        <v>1</v>
      </c>
      <c r="AE26" s="79">
        <f>((($W$25)^M26)*((1-($W$25))^($U$28-M26))*HLOOKUP($U$28,$AV$24:$BF$34,M26+1))*V28</f>
        <v>1.296420299973546E-2</v>
      </c>
      <c r="AF26" s="28">
        <v>1</v>
      </c>
      <c r="AG26" s="79">
        <f>((($W$25)^M26)*((1-($W$25))^($U$29-M26))*HLOOKUP($U$29,$AV$24:$BF$34,M26+1))*V29</f>
        <v>2.2214882072267537E-2</v>
      </c>
      <c r="AH26" s="28">
        <v>1</v>
      </c>
      <c r="AI26" s="79">
        <f>((($W$25)^M26)*((1-($W$25))^($U$30-M26))*HLOOKUP($U$30,$AV$24:$BF$34,M26+1))*V30</f>
        <v>2.4476396400200565E-2</v>
      </c>
      <c r="AJ26" s="28">
        <v>1</v>
      </c>
      <c r="AK26" s="79">
        <f>((($W$25)^M26)*((1-($W$25))^($U$31-M26))*HLOOKUP($U$31,$AV$24:$BF$34,M26+1))*V31</f>
        <v>1.7984765440408425E-2</v>
      </c>
      <c r="AL26" s="28">
        <v>1</v>
      </c>
      <c r="AM26" s="79">
        <f>((($W$25)^Q26)*((1-($W$25))^($U$32-Q26))*HLOOKUP($U$32,$AV$24:$BF$34,Q26+1))*V32</f>
        <v>8.8150393384109783E-3</v>
      </c>
      <c r="AN26" s="28">
        <v>1</v>
      </c>
      <c r="AO26" s="79">
        <f>((($W$25)^Q26)*((1-($W$25))^($U$33-Q26))*HLOOKUP($U$33,$AV$24:$BF$34,Q26+1))*V33</f>
        <v>2.7807605818525199E-3</v>
      </c>
      <c r="AP26" s="28">
        <v>1</v>
      </c>
      <c r="AQ26" s="79">
        <f>((($W$25)^Q26)*((1-($W$25))^($U$34-Q26))*HLOOKUP($U$34,$AV$24:$BF$34,Q26+1))*V34</f>
        <v>5.1318815035909435E-4</v>
      </c>
      <c r="AR26" s="28">
        <v>1</v>
      </c>
      <c r="AS26" s="79">
        <f>((($W$25)^Q26)*((1-($W$25))^($U$35-Q26))*HLOOKUP($U$35,$AV$24:$BF$34,Q26+1))*V35</f>
        <v>4.278379414256141E-5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2.3356932090308389E-3</v>
      </c>
      <c r="BP26">
        <f>BP20+1</f>
        <v>7</v>
      </c>
      <c r="BQ26">
        <v>2</v>
      </c>
      <c r="BR26" s="107">
        <f t="shared" si="10"/>
        <v>7.5406231064085059E-3</v>
      </c>
    </row>
    <row r="27" spans="1:70" x14ac:dyDescent="0.25">
      <c r="A27" s="26" t="s">
        <v>25</v>
      </c>
      <c r="B27" s="119">
        <f>1/(1+EXP(-3.1416*4*((B12/(B12+C7))-(3.1416/6))))</f>
        <v>0.51109362839484374</v>
      </c>
      <c r="C27" s="120">
        <f>1/(1+EXP(-3.1416*4*((C12/(C12+B7))-(3.1416/6))))</f>
        <v>0.35783179909605456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0.1743372282531615</v>
      </c>
      <c r="I27" s="93">
        <v>2</v>
      </c>
      <c r="J27" s="86">
        <f t="shared" si="11"/>
        <v>0.20518527400219294</v>
      </c>
      <c r="K27" s="93">
        <v>2</v>
      </c>
      <c r="L27" s="86">
        <f>U21</f>
        <v>2.8734963704314866E-2</v>
      </c>
      <c r="M27" s="85">
        <v>2</v>
      </c>
      <c r="N27" s="71">
        <f>(($B$24)^M27)*((1-($B$24))^($B$21-M27))*HLOOKUP($B$21,$AV$24:$BF$34,M27+1)</f>
        <v>0.2203442140557928</v>
      </c>
      <c r="O27" s="72">
        <v>2</v>
      </c>
      <c r="P27" s="71">
        <f t="shared" si="12"/>
        <v>0.2203442140557928</v>
      </c>
      <c r="Q27" s="28">
        <v>2</v>
      </c>
      <c r="R27" s="37">
        <f>P25*N27+P26*N26+P27*N25</f>
        <v>8.9013241833861608E-3</v>
      </c>
      <c r="S27" s="72">
        <v>2</v>
      </c>
      <c r="T27" s="135">
        <f t="shared" si="13"/>
        <v>0</v>
      </c>
      <c r="U27" s="93">
        <v>2</v>
      </c>
      <c r="V27" s="86">
        <f>R27*T25+T26*R26+R25*T27</f>
        <v>8.8631305002636503E-3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2.5041925440646242E-3</v>
      </c>
      <c r="AD27" s="28">
        <v>2</v>
      </c>
      <c r="AE27" s="79">
        <f>((($W$25)^M27)*((1-($W$25))^($U$28-M27))*HLOOKUP($U$28,$AV$24:$BF$34,M27+1))*V28</f>
        <v>1.4710197875842589E-2</v>
      </c>
      <c r="AF27" s="28">
        <v>2</v>
      </c>
      <c r="AG27" s="79">
        <f>((($W$25)^M27)*((1-($W$25))^($U$29-M27))*HLOOKUP($U$29,$AV$24:$BF$34,M27+1))*V29</f>
        <v>3.7810111938030244E-2</v>
      </c>
      <c r="AH27" s="28">
        <v>2</v>
      </c>
      <c r="AI27" s="79">
        <f>((($W$25)^M27)*((1-($W$25))^($U$30-M27))*HLOOKUP($U$30,$AV$24:$BF$34,M27+1))*V30</f>
        <v>5.5545664371632941E-2</v>
      </c>
      <c r="AJ27" s="28">
        <v>2</v>
      </c>
      <c r="AK27" s="79">
        <f>((($W$25)^M27)*((1-($W$25))^($U$31-M27))*HLOOKUP($U$31,$AV$24:$BF$34,M27+1))*V31</f>
        <v>5.101730094484435E-2</v>
      </c>
      <c r="AL27" s="28">
        <v>2</v>
      </c>
      <c r="AM27" s="79">
        <f>((($W$25)^Q27)*((1-($W$25))^($U$32-Q27))*HLOOKUP($U$32,$AV$24:$BF$34,Q27+1))*V32</f>
        <v>3.0006697585807939E-2</v>
      </c>
      <c r="AN27" s="28">
        <v>2</v>
      </c>
      <c r="AO27" s="79">
        <f>((($W$25)^Q27)*((1-($W$25))^($U$33-Q27))*HLOOKUP($U$33,$AV$24:$BF$34,Q27+1))*V33</f>
        <v>1.1043438954041335E-2</v>
      </c>
      <c r="AP27" s="28">
        <v>2</v>
      </c>
      <c r="AQ27" s="79">
        <f>((($W$25)^Q27)*((1-($W$25))^($U$34-Q27))*HLOOKUP($U$34,$AV$24:$BF$34,Q27+1))*V34</f>
        <v>2.3292135241862466E-3</v>
      </c>
      <c r="AR27" s="28">
        <v>2</v>
      </c>
      <c r="AS27" s="79">
        <f>((($W$25)^Q27)*((1-($W$25))^($U$35-Q27))*HLOOKUP($U$35,$AV$24:$BF$34,Q27+1))*V35</f>
        <v>2.1845626374267368E-4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5.0247683964482293E-4</v>
      </c>
      <c r="BP27">
        <f>BP21+1</f>
        <v>7</v>
      </c>
      <c r="BQ27">
        <v>3</v>
      </c>
      <c r="BR27" s="107">
        <f t="shared" si="10"/>
        <v>5.9485846327384543E-3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0.2445269194440999</v>
      </c>
      <c r="I28" s="93">
        <v>3</v>
      </c>
      <c r="J28" s="86">
        <f t="shared" si="11"/>
        <v>0.26301192185874944</v>
      </c>
      <c r="K28" s="93">
        <v>3</v>
      </c>
      <c r="L28" s="86">
        <f>V21</f>
        <v>2.0336062597073254E-3</v>
      </c>
      <c r="M28" s="85">
        <v>3</v>
      </c>
      <c r="N28" s="71">
        <f>(($B$24)^M28)*((1-($B$24))^($B$21-M28))*HLOOKUP($B$21,$AV$24:$BF$34,M28+1)</f>
        <v>0.34520911131942045</v>
      </c>
      <c r="O28" s="72">
        <v>3</v>
      </c>
      <c r="P28" s="71">
        <f t="shared" si="12"/>
        <v>0.34520911131942045</v>
      </c>
      <c r="Q28" s="28">
        <v>3</v>
      </c>
      <c r="R28" s="37">
        <f>P25*N28+P26*N27+P27*N26+P28*N25</f>
        <v>3.718809650110734E-2</v>
      </c>
      <c r="S28" s="72">
        <v>3</v>
      </c>
      <c r="T28" s="135">
        <f t="shared" si="13"/>
        <v>0</v>
      </c>
      <c r="U28" s="93">
        <v>3</v>
      </c>
      <c r="V28" s="86">
        <f>R28*T25+R27*T26+R26*T27+R25*T28</f>
        <v>3.7046662639518731E-2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5.5637800372523053E-3</v>
      </c>
      <c r="AF28" s="28">
        <v>3</v>
      </c>
      <c r="AG28" s="79">
        <f>((($W$25)^M28)*((1-($W$25))^($U$29-M28))*HLOOKUP($U$29,$AV$24:$BF$34,M28+1))*V29</f>
        <v>2.8601538576521434E-2</v>
      </c>
      <c r="AH28" s="28">
        <v>3</v>
      </c>
      <c r="AI28" s="79">
        <f>((($W$25)^M28)*((1-($W$25))^($U$30-M28))*HLOOKUP($U$30,$AV$24:$BF$34,M28+1))*V30</f>
        <v>6.3026451689203983E-2</v>
      </c>
      <c r="AJ28" s="28">
        <v>3</v>
      </c>
      <c r="AK28" s="79">
        <f>((($W$25)^M28)*((1-($W$25))^($U$31-M28))*HLOOKUP($U$31,$AV$24:$BF$34,M28+1))*V31</f>
        <v>7.7184288871480461E-2</v>
      </c>
      <c r="AL28" s="28">
        <v>3</v>
      </c>
      <c r="AM28" s="79">
        <f>((($W$25)^Q28)*((1-($W$25))^($U$32-Q28))*HLOOKUP($U$32,$AV$24:$BF$34,Q28+1))*V32</f>
        <v>5.6746573506653922E-2</v>
      </c>
      <c r="AN28" s="28">
        <v>3</v>
      </c>
      <c r="AO28" s="79">
        <f>((($W$25)^Q28)*((1-($W$25))^($U$33-Q28))*HLOOKUP($U$33,$AV$24:$BF$34,Q28+1))*V33</f>
        <v>2.5061497763811783E-2</v>
      </c>
      <c r="AP28" s="28">
        <v>3</v>
      </c>
      <c r="AQ28" s="79">
        <f>((($W$25)^Q28)*((1-($W$25))^($U$34-Q28))*HLOOKUP($U$34,$AV$24:$BF$34,Q28+1))*V34</f>
        <v>6.1667846159657886E-3</v>
      </c>
      <c r="AR28" s="28">
        <v>3</v>
      </c>
      <c r="AS28" s="79">
        <f>((($W$25)^Q28)*((1-($W$25))^($U$35-Q28))*HLOOKUP($U$35,$AV$24:$BF$34,Q28+1))*V35</f>
        <v>6.6100679785972914E-4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8.1736218750493581E-5</v>
      </c>
      <c r="BP28">
        <f>BP22+1</f>
        <v>7</v>
      </c>
      <c r="BQ28">
        <v>4</v>
      </c>
      <c r="BR28" s="107">
        <f t="shared" si="10"/>
        <v>3.1901509469833425E-3</v>
      </c>
    </row>
    <row r="29" spans="1:70" x14ac:dyDescent="0.25">
      <c r="A29" s="26" t="s">
        <v>27</v>
      </c>
      <c r="B29" s="123">
        <f>1/(1+EXP(-3.1416*4*((B14/(B14+C13))-(3.1416/6))))</f>
        <v>0.46245925406483274</v>
      </c>
      <c r="C29" s="118">
        <f>1/(1+EXP(-3.1416*4*((C14/(C14+B13))-(3.1416/6))))</f>
        <v>0.19170535930287408</v>
      </c>
      <c r="D29" s="153">
        <v>0.04</v>
      </c>
      <c r="E29" s="153">
        <v>0.04</v>
      </c>
      <c r="G29" s="87">
        <v>4</v>
      </c>
      <c r="H29" s="128">
        <f>J29*L25+J28*L26+J27*L27+J26*L28</f>
        <v>0.23007077870182072</v>
      </c>
      <c r="I29" s="93">
        <v>4</v>
      </c>
      <c r="J29" s="86">
        <f t="shared" si="11"/>
        <v>0.22129878913079173</v>
      </c>
      <c r="K29" s="93">
        <v>4</v>
      </c>
      <c r="L29" s="86"/>
      <c r="M29" s="85">
        <v>4</v>
      </c>
      <c r="N29" s="71">
        <f>(($B$24)^M29)*((1-($B$24))^($B$21-M29))*HLOOKUP($B$21,$AV$24:$BF$34,M29+1)</f>
        <v>0.27041629172928833</v>
      </c>
      <c r="O29" s="72">
        <v>4</v>
      </c>
      <c r="P29" s="71">
        <f t="shared" si="12"/>
        <v>0.27041629172928833</v>
      </c>
      <c r="Q29" s="28">
        <v>4</v>
      </c>
      <c r="R29" s="37">
        <f>P25*N29+P26*N28+P27*N27+P28*N26+P29*N25</f>
        <v>0.10195830260251657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0.10163445157200951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8.1133852197231241E-3</v>
      </c>
      <c r="AH29" s="28">
        <v>4</v>
      </c>
      <c r="AI29" s="79">
        <f>((($W$25)^M29)*((1-($W$25))^($U$30-M29))*HLOOKUP($U$30,$AV$24:$BF$34,M29+1))*V30</f>
        <v>3.5757368801589362E-2</v>
      </c>
      <c r="AJ29" s="28">
        <v>4</v>
      </c>
      <c r="AK29" s="79">
        <f>((($W$25)^M29)*((1-($W$25))^($U$31-M29))*HLOOKUP($U$31,$AV$24:$BF$34,M29+1))*V31</f>
        <v>6.5684494578774386E-2</v>
      </c>
      <c r="AL29" s="28">
        <v>4</v>
      </c>
      <c r="AM29" s="79">
        <f>((($W$25)^Q29)*((1-($W$25))^($U$32-Q29))*HLOOKUP($U$32,$AV$24:$BF$34,Q29+1))*V32</f>
        <v>6.4389097044836405E-2</v>
      </c>
      <c r="AN29" s="28">
        <v>4</v>
      </c>
      <c r="AO29" s="79">
        <f>((($W$25)^Q29)*((1-($W$25))^($U$33-Q29))*HLOOKUP($U$33,$AV$24:$BF$34,Q29+1))*V33</f>
        <v>3.5545917398294796E-2</v>
      </c>
      <c r="AP29" s="28">
        <v>4</v>
      </c>
      <c r="AQ29" s="79">
        <f>((($W$25)^Q29)*((1-($W$25))^($U$34-Q29))*HLOOKUP($U$34,$AV$24:$BF$34,Q29+1))*V34</f>
        <v>1.0495973639151951E-2</v>
      </c>
      <c r="AR29" s="28">
        <v>4</v>
      </c>
      <c r="AS29" s="79">
        <f>((($W$25)^Q29)*((1-($W$25))^($U$35-Q29))*HLOOKUP($U$35,$AV$24:$BF$34,Q29+1))*V35</f>
        <v>1.3125524484217186E-3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9.9864434389373513E-6</v>
      </c>
      <c r="BP29">
        <f>BP23+1</f>
        <v>7</v>
      </c>
      <c r="BQ29">
        <v>5</v>
      </c>
      <c r="BR29" s="107">
        <f t="shared" si="10"/>
        <v>1.2299179663052466E-3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0.15306464221161231</v>
      </c>
      <c r="I30" s="93">
        <v>5</v>
      </c>
      <c r="J30" s="86">
        <f t="shared" si="11"/>
        <v>0.12772674832791453</v>
      </c>
      <c r="K30" s="93">
        <v>5</v>
      </c>
      <c r="L30" s="86"/>
      <c r="M30" s="85">
        <v>5</v>
      </c>
      <c r="N30" s="71">
        <f>(($B$24)^M30)*((1-($B$24))^($B$21-M30))*HLOOKUP($B$21,$AV$24:$BF$34,M30+1)</f>
        <v>8.4731217612570311E-2</v>
      </c>
      <c r="O30" s="72">
        <v>5</v>
      </c>
      <c r="P30" s="71">
        <f t="shared" si="12"/>
        <v>8.4731217612570311E-2</v>
      </c>
      <c r="Q30" s="28">
        <v>5</v>
      </c>
      <c r="R30" s="37">
        <f>P25*N30+P26*N29+P27*N28+P28*N27+P29*N26+P30*N25</f>
        <v>0.19168337240281247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0.19123474705381099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8.1146210160638974E-3</v>
      </c>
      <c r="AJ30" s="28">
        <v>5</v>
      </c>
      <c r="AK30" s="79">
        <f>((($W$25)^M30)*((1-($W$25))^($U$31-M30))*HLOOKUP($U$31,$AV$24:$BF$34,M30+1))*V31</f>
        <v>2.9812304316684867E-2</v>
      </c>
      <c r="AL30" s="28">
        <v>5</v>
      </c>
      <c r="AM30" s="79">
        <f>((($W$25)^Q30)*((1-($W$25))^($U$32-Q30))*HLOOKUP($U$32,$AV$24:$BF$34,Q30+1))*V32</f>
        <v>4.3836540908640607E-2</v>
      </c>
      <c r="AN30" s="28">
        <v>5</v>
      </c>
      <c r="AO30" s="79">
        <f>((($W$25)^Q30)*((1-($W$25))^($U$33-Q30))*HLOOKUP($U$33,$AV$24:$BF$34,Q30+1))*V33</f>
        <v>3.2266540634573029E-2</v>
      </c>
      <c r="AP30" s="28">
        <v>5</v>
      </c>
      <c r="AQ30" s="79">
        <f>((($W$25)^Q30)*((1-($W$25))^($U$34-Q30))*HLOOKUP($U$34,$AV$24:$BF$34,Q30+1))*V34</f>
        <v>1.1909551951223181E-2</v>
      </c>
      <c r="AR30" s="28">
        <v>5</v>
      </c>
      <c r="AS30" s="79">
        <f>((($W$25)^Q30)*((1-($W$25))^($U$35-Q30))*HLOOKUP($U$35,$AV$24:$BF$34,Q30+1))*V35</f>
        <v>1.7871895007289663E-3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8.9704288993641619E-7</v>
      </c>
      <c r="BP30">
        <f>BL10+1</f>
        <v>7</v>
      </c>
      <c r="BQ30">
        <v>6</v>
      </c>
      <c r="BR30" s="107">
        <f t="shared" si="10"/>
        <v>3.5146186179174936E-4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0.53154530578560644</v>
      </c>
      <c r="C31" s="61">
        <f>(C25*E25)+(C26*E26)+(C27*E27)+(C28*E28)+(C29*E29)+(C30*E30)/(C25+C26+C27+C28+C29+C30)</f>
        <v>0.51356400516245371</v>
      </c>
      <c r="G31" s="87">
        <v>6</v>
      </c>
      <c r="H31" s="128">
        <f>J31*L25+J30*L26+J29*L27+J28*L28</f>
        <v>7.3949765995134698E-2</v>
      </c>
      <c r="I31" s="93">
        <v>6</v>
      </c>
      <c r="J31" s="86">
        <f t="shared" si="11"/>
        <v>5.1222995728949547E-2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0.25025559412968246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0.2499627330210481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5.6378950515021927E-3</v>
      </c>
      <c r="AL31" s="28">
        <v>6</v>
      </c>
      <c r="AM31" s="79">
        <f>((($W$25)^Q31)*((1-($W$25))^($U$32-Q31))*HLOOKUP($U$32,$AV$24:$BF$34,Q31+1))*V32</f>
        <v>1.6580121713401383E-2</v>
      </c>
      <c r="AN31" s="28">
        <v>6</v>
      </c>
      <c r="AO31" s="79">
        <f>((($W$25)^Q31)*((1-($W$25))^($U$33-Q31))*HLOOKUP($U$33,$AV$24:$BF$34,Q31+1))*V33</f>
        <v>1.8306069316917136E-2</v>
      </c>
      <c r="AP31" s="28">
        <v>6</v>
      </c>
      <c r="AQ31" s="79">
        <f>((($W$25)^Q31)*((1-($W$25))^($U$34-Q31))*HLOOKUP($U$34,$AV$24:$BF$34,Q31+1))*V34</f>
        <v>9.0090055834873405E-3</v>
      </c>
      <c r="AR31" s="28">
        <v>6</v>
      </c>
      <c r="AS31" s="79">
        <f>((($W$25)^Q31)*((1-($W$25))^($U$35-Q31))*HLOOKUP($U$35,$AV$24:$BF$34,Q31+1))*V35</f>
        <v>1.6899040636414926E-3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2.9736192894639312E-2</v>
      </c>
      <c r="BP31">
        <f t="shared" ref="BP31:BP37" si="17">BP24+1</f>
        <v>8</v>
      </c>
      <c r="BQ31">
        <v>0</v>
      </c>
      <c r="BR31" s="107">
        <f t="shared" ref="BR31:BR38" si="18">$H$33*H39</f>
        <v>5.3745289983999451E-4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2.6233276949455868E-2</v>
      </c>
      <c r="I32" s="93">
        <v>7</v>
      </c>
      <c r="J32" s="86">
        <f t="shared" si="11"/>
        <v>1.4099007113882478E-2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0.22404040260998587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0.22417147856758435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2.6875859760544969E-3</v>
      </c>
      <c r="AN32" s="28">
        <v>7</v>
      </c>
      <c r="AO32" s="79">
        <f>((($W$25)^Q32)*((1-($W$25))^($U$33-Q32))*HLOOKUP($U$33,$AV$24:$BF$34,Q32+1))*V33</f>
        <v>5.9347133903198453E-3</v>
      </c>
      <c r="AP32" s="28">
        <v>7</v>
      </c>
      <c r="AQ32" s="79">
        <f>((($W$25)^Q32)*((1-($W$25))^($U$34-Q32))*HLOOKUP($U$34,$AV$24:$BF$34,Q32+1))*V34</f>
        <v>4.3809950523113657E-3</v>
      </c>
      <c r="AR32" s="28">
        <v>7</v>
      </c>
      <c r="AS32" s="79">
        <f>((($W$25)^Q32)*((1-($W$25))^($U$35-Q32))*HLOOKUP($U$35,$AV$24:$BF$34,Q32+1))*V35</f>
        <v>1.0957126951967706E-3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1.1464372218881802E-2</v>
      </c>
      <c r="BP32">
        <f t="shared" si="17"/>
        <v>8</v>
      </c>
      <c r="BQ32">
        <v>1</v>
      </c>
      <c r="BR32" s="107">
        <f t="shared" si="18"/>
        <v>1.5154656774113212E-3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6.8317771035248109E-3</v>
      </c>
      <c r="I33" s="93">
        <v>8</v>
      </c>
      <c r="J33" s="86">
        <f t="shared" si="11"/>
        <v>2.5507340117904152E-3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0.1316249474987152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0.13208702477427156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8.4174870130658021E-4</v>
      </c>
      <c r="AP33" s="28">
        <v>8</v>
      </c>
      <c r="AQ33" s="79">
        <f>((($W$25)^Q33)*((1-($W$25))^($U$34-Q33))*HLOOKUP($U$34,$AV$24:$BF$34,Q33+1))*V34</f>
        <v>1.2427548402686723E-3</v>
      </c>
      <c r="AR33" s="28">
        <v>8</v>
      </c>
      <c r="AS33" s="79">
        <f>((($W$25)^Q33)*((1-($W$25))^($U$35-Q33))*HLOOKUP($U$35,$AV$24:$BF$34,Q33+1))*V35</f>
        <v>4.6623047021516247E-4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3.2760637007572583E-3</v>
      </c>
      <c r="BP33">
        <f t="shared" si="17"/>
        <v>8</v>
      </c>
      <c r="BQ33">
        <v>2</v>
      </c>
      <c r="BR33" s="107">
        <f t="shared" si="18"/>
        <v>1.9637598605743499E-3</v>
      </c>
    </row>
    <row r="34" spans="1:70" x14ac:dyDescent="0.25">
      <c r="A34" s="40" t="s">
        <v>86</v>
      </c>
      <c r="B34" s="56">
        <f>B23*2</f>
        <v>6.103917983160887</v>
      </c>
      <c r="C34" s="57">
        <f>C23*2</f>
        <v>3.896082016839113</v>
      </c>
      <c r="G34" s="87">
        <v>9</v>
      </c>
      <c r="H34" s="128">
        <f>J34*L25+J33*L26+J32*L27+J31*L28</f>
        <v>1.2931365134453679E-3</v>
      </c>
      <c r="I34" s="93">
        <v>9</v>
      </c>
      <c r="J34" s="86">
        <f t="shared" si="11"/>
        <v>2.7424109087488058E-4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4.582540332099725E-2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4.6254401041885843E-2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1.5668075144977079E-4</v>
      </c>
      <c r="AR34" s="28">
        <v>9</v>
      </c>
      <c r="AS34" s="79">
        <f>((($W$25)^Q34)*((1-($W$25))^($U$35-Q34))*HLOOKUP($U$35,$AV$24:$BF$34,Q34+1))*V35</f>
        <v>1.1756033942510981E-4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7.047784051719164E-4</v>
      </c>
      <c r="BP34">
        <f t="shared" si="17"/>
        <v>8</v>
      </c>
      <c r="BQ34">
        <v>3</v>
      </c>
      <c r="BR34" s="107">
        <f t="shared" si="18"/>
        <v>1.5491547003686501E-3</v>
      </c>
    </row>
    <row r="35" spans="1:70" ht="15.75" thickBot="1" x14ac:dyDescent="0.3">
      <c r="G35" s="88">
        <v>10</v>
      </c>
      <c r="H35" s="129">
        <f>J35*L25+J34*L26+J33*L27+J32*L28</f>
        <v>1.7426594882519232E-4</v>
      </c>
      <c r="I35" s="94">
        <v>10</v>
      </c>
      <c r="J35" s="89">
        <f t="shared" si="11"/>
        <v>1.3339314845115212E-5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7.179379238108745E-3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7.408506254713676E-3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1.3339314845115212E-5</v>
      </c>
      <c r="BH35">
        <f t="shared" si="15"/>
        <v>3</v>
      </c>
      <c r="BI35">
        <v>8</v>
      </c>
      <c r="BJ35" s="107">
        <f t="shared" si="16"/>
        <v>1.1464393450745839E-4</v>
      </c>
      <c r="BP35">
        <f t="shared" si="17"/>
        <v>8</v>
      </c>
      <c r="BQ35">
        <v>4</v>
      </c>
      <c r="BR35" s="107">
        <f t="shared" si="18"/>
        <v>8.3079213620091991E-4</v>
      </c>
    </row>
    <row r="36" spans="1:70" x14ac:dyDescent="0.25">
      <c r="A36" s="1"/>
      <c r="B36" s="108">
        <f>SUM(B37:B39)</f>
        <v>0.99980832635979677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1.4007072813960551E-5</v>
      </c>
      <c r="BP36">
        <f t="shared" si="17"/>
        <v>8</v>
      </c>
      <c r="BQ36">
        <v>5</v>
      </c>
      <c r="BR36" s="107">
        <f t="shared" si="18"/>
        <v>3.2030025900337504E-4</v>
      </c>
    </row>
    <row r="37" spans="1:70" ht="15.75" thickBot="1" x14ac:dyDescent="0.3">
      <c r="A37" s="109" t="s">
        <v>104</v>
      </c>
      <c r="B37" s="107">
        <f>SUM(BN4:BN14)</f>
        <v>0.15954217501646925</v>
      </c>
      <c r="G37" s="13"/>
      <c r="H37" s="59">
        <f>SUM(H39:H49)</f>
        <v>0.99999966242635752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0.99999999999999989</v>
      </c>
      <c r="O37" s="13"/>
      <c r="P37" s="74">
        <f>SUM(P39:P49)</f>
        <v>0.99999999999999989</v>
      </c>
      <c r="Q37" s="13"/>
      <c r="R37" s="59">
        <f>SUM(R39:R49)</f>
        <v>0.99999999999999989</v>
      </c>
      <c r="S37" s="13"/>
      <c r="T37" s="59">
        <f>SUM(T39:T49)</f>
        <v>1</v>
      </c>
      <c r="U37" s="13"/>
      <c r="V37" s="59">
        <f>SUM(V39:V48)</f>
        <v>0.99990659320219177</v>
      </c>
      <c r="W37" s="13"/>
      <c r="X37" s="13"/>
      <c r="Y37" s="80">
        <f>SUM(Y39:Y49)</f>
        <v>7.1077649302086106E-3</v>
      </c>
      <c r="Z37" s="81"/>
      <c r="AA37" s="80">
        <f>SUM(AA39:AA49)</f>
        <v>4.5439729746289487E-2</v>
      </c>
      <c r="AB37" s="81"/>
      <c r="AC37" s="80">
        <f>SUM(AC39:AC49)</f>
        <v>0.13076813089494038</v>
      </c>
      <c r="AD37" s="81"/>
      <c r="AE37" s="80">
        <f>SUM(AE39:AE49)</f>
        <v>0.22311641345664651</v>
      </c>
      <c r="AF37" s="81"/>
      <c r="AG37" s="80">
        <f>SUM(AG39:AG49)</f>
        <v>0.24999178720789572</v>
      </c>
      <c r="AH37" s="81"/>
      <c r="AI37" s="80">
        <f>SUM(AI39:AI49)</f>
        <v>0.19226697493475001</v>
      </c>
      <c r="AJ37" s="81"/>
      <c r="AK37" s="80">
        <f>SUM(AK39:AK49)</f>
        <v>0.10285477447931771</v>
      </c>
      <c r="AL37" s="81"/>
      <c r="AM37" s="80">
        <f>SUM(AM39:AM49)</f>
        <v>3.7836422433713914E-2</v>
      </c>
      <c r="AN37" s="81"/>
      <c r="AO37" s="80">
        <f>SUM(AO39:AO49)</f>
        <v>9.1851039924079666E-3</v>
      </c>
      <c r="AP37" s="81"/>
      <c r="AQ37" s="80">
        <f>SUM(AQ39:AQ49)</f>
        <v>1.3394911260214712E-3</v>
      </c>
      <c r="AR37" s="81"/>
      <c r="AS37" s="80">
        <f>SUM(AS39:AS49)</f>
        <v>9.3406797808226512E-5</v>
      </c>
      <c r="BH37">
        <f t="shared" si="15"/>
        <v>3</v>
      </c>
      <c r="BI37">
        <v>10</v>
      </c>
      <c r="BJ37" s="107">
        <f t="shared" si="16"/>
        <v>1.2582001944349876E-6</v>
      </c>
      <c r="BP37">
        <f t="shared" si="17"/>
        <v>8</v>
      </c>
      <c r="BQ37">
        <v>6</v>
      </c>
      <c r="BR37" s="107">
        <f t="shared" si="18"/>
        <v>9.1529133198926522E-5</v>
      </c>
    </row>
    <row r="38" spans="1:70" ht="15.75" thickBot="1" x14ac:dyDescent="0.3">
      <c r="A38" s="110" t="s">
        <v>105</v>
      </c>
      <c r="B38" s="107">
        <f>SUM(BJ4:BJ59)</f>
        <v>0.20631506668572325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1.0786612164100113E-2</v>
      </c>
      <c r="BP38">
        <f>BL11+1</f>
        <v>8</v>
      </c>
      <c r="BQ38">
        <v>7</v>
      </c>
      <c r="BR38" s="107">
        <f t="shared" si="18"/>
        <v>1.9690629491666004E-5</v>
      </c>
    </row>
    <row r="39" spans="1:70" x14ac:dyDescent="0.25">
      <c r="A39" s="111" t="s">
        <v>0</v>
      </c>
      <c r="B39" s="107">
        <f>SUM(BR4:BR47)</f>
        <v>0.6339510846576043</v>
      </c>
      <c r="G39" s="130">
        <v>0</v>
      </c>
      <c r="H39" s="131">
        <f>L39*J39</f>
        <v>7.8669560159200624E-2</v>
      </c>
      <c r="I39" s="97">
        <v>0</v>
      </c>
      <c r="J39" s="98">
        <f t="shared" ref="J39:J49" si="33">Y39+AA39+AC39+AE39+AG39+AI39+AK39+AM39+AO39+AQ39+AS39</f>
        <v>0.10670500943268879</v>
      </c>
      <c r="K39" s="102">
        <v>0</v>
      </c>
      <c r="L39" s="98">
        <f>AC21</f>
        <v>0.73726210772537937</v>
      </c>
      <c r="M39" s="84">
        <v>0</v>
      </c>
      <c r="N39" s="71">
        <f>(1-$C$24)^$B$21</f>
        <v>8.4731217612570311E-2</v>
      </c>
      <c r="O39" s="70">
        <v>0</v>
      </c>
      <c r="P39" s="71">
        <f>N39</f>
        <v>8.4731217612570311E-2</v>
      </c>
      <c r="Q39" s="12">
        <v>0</v>
      </c>
      <c r="R39" s="73">
        <f>P39*N39</f>
        <v>7.179379238108745E-3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7.1077649302086106E-3</v>
      </c>
      <c r="W39" s="136">
        <f>C31</f>
        <v>0.51356400516245371</v>
      </c>
      <c r="X39" s="12">
        <v>0</v>
      </c>
      <c r="Y39" s="79">
        <f>V39</f>
        <v>7.1077649302086106E-3</v>
      </c>
      <c r="Z39" s="12">
        <v>0</v>
      </c>
      <c r="AA39" s="78">
        <f>((1-W39)^Z40)*V40</f>
        <v>2.2103520144285571E-2</v>
      </c>
      <c r="AB39" s="12">
        <v>0</v>
      </c>
      <c r="AC39" s="79">
        <f>(((1-$W$39)^AB41))*V41</f>
        <v>3.0942352134317449E-2</v>
      </c>
      <c r="AD39" s="12">
        <v>0</v>
      </c>
      <c r="AE39" s="79">
        <f>(((1-$W$39)^AB42))*V42</f>
        <v>2.5680804934043198E-2</v>
      </c>
      <c r="AF39" s="12">
        <v>0</v>
      </c>
      <c r="AG39" s="79">
        <f>(((1-$W$39)^AB43))*V43</f>
        <v>1.3996793561448551E-2</v>
      </c>
      <c r="AH39" s="12">
        <v>0</v>
      </c>
      <c r="AI39" s="79">
        <f>(((1-$W$39)^AB44))*V44</f>
        <v>5.2364048106511478E-3</v>
      </c>
      <c r="AJ39" s="12">
        <v>0</v>
      </c>
      <c r="AK39" s="79">
        <f>(((1-$W$39)^AB45))*V45</f>
        <v>1.362632302577893E-3</v>
      </c>
      <c r="AL39" s="12">
        <v>0</v>
      </c>
      <c r="AM39" s="79">
        <f>(((1-$W$39)^AB46))*V46</f>
        <v>2.4383160277457233E-4</v>
      </c>
      <c r="AN39" s="12">
        <v>0</v>
      </c>
      <c r="AO39" s="79">
        <f>(((1-$W$39)^AB47))*V47</f>
        <v>2.8793185120364374E-5</v>
      </c>
      <c r="AP39" s="12">
        <v>0</v>
      </c>
      <c r="AQ39" s="79">
        <f>(((1-$W$39)^AB48))*V48</f>
        <v>2.0425428513872516E-6</v>
      </c>
      <c r="AR39" s="12">
        <v>0</v>
      </c>
      <c r="AS39" s="79">
        <f>(((1-$W$39)^AB49))*V49</f>
        <v>6.9284410071991188E-8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3.0823867099110808E-3</v>
      </c>
      <c r="BP39">
        <f t="shared" ref="BP39:BP46" si="34">BP31+1</f>
        <v>9</v>
      </c>
      <c r="BQ39">
        <v>0</v>
      </c>
      <c r="BR39" s="107">
        <f t="shared" ref="BR39:BR47" si="35">$H$34*H39</f>
        <v>1.0173048073854931E-4</v>
      </c>
    </row>
    <row r="40" spans="1:70" x14ac:dyDescent="0.25">
      <c r="G40" s="91">
        <v>1</v>
      </c>
      <c r="H40" s="132">
        <f>L39*J40+L40*J39</f>
        <v>0.22182598384678365</v>
      </c>
      <c r="I40" s="93">
        <v>1</v>
      </c>
      <c r="J40" s="86">
        <f t="shared" si="33"/>
        <v>0.26745991888778387</v>
      </c>
      <c r="K40" s="95">
        <v>1</v>
      </c>
      <c r="L40" s="86">
        <f>AD21</f>
        <v>0.23089750374896031</v>
      </c>
      <c r="M40" s="85">
        <v>1</v>
      </c>
      <c r="N40" s="71">
        <f>(($C$24)^M26)*((1-($C$24))^($B$21-M26))*HLOOKUP($B$21,$AV$24:$BF$34,M26+1)</f>
        <v>0.27041629172928833</v>
      </c>
      <c r="O40" s="72">
        <v>1</v>
      </c>
      <c r="P40" s="71">
        <f t="shared" ref="P40:P44" si="36">N40</f>
        <v>0.27041629172928833</v>
      </c>
      <c r="Q40" s="28">
        <v>1</v>
      </c>
      <c r="R40" s="37">
        <f>P40*N39+P39*N40</f>
        <v>4.582540332099725E-2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4.5439729746289487E-2</v>
      </c>
      <c r="W40" s="137"/>
      <c r="X40" s="28">
        <v>1</v>
      </c>
      <c r="Y40" s="73"/>
      <c r="Z40" s="28">
        <v>1</v>
      </c>
      <c r="AA40" s="79">
        <f>(1-((1-W39)^Z40))*V40</f>
        <v>2.3336209602003916E-2</v>
      </c>
      <c r="AB40" s="28">
        <v>1</v>
      </c>
      <c r="AC40" s="79">
        <f>((($W$39)^M40)*((1-($W$39))^($U$27-M40))*HLOOKUP($U$27,$AV$24:$BF$34,M40+1))*V41</f>
        <v>6.533594742121869E-2</v>
      </c>
      <c r="AD40" s="28">
        <v>1</v>
      </c>
      <c r="AE40" s="79">
        <f>((($W$39)^M40)*((1-($W$39))^($U$28-M40))*HLOOKUP($U$28,$AV$24:$BF$34,M40+1))*V42</f>
        <v>8.1338987108432625E-2</v>
      </c>
      <c r="AF40" s="28">
        <v>1</v>
      </c>
      <c r="AG40" s="79">
        <f>((($W$39)^M40)*((1-($W$39))^($U$29-M40))*HLOOKUP($U$29,$AV$24:$BF$34,M40+1))*V43</f>
        <v>5.9109518515382084E-2</v>
      </c>
      <c r="AH40" s="28">
        <v>1</v>
      </c>
      <c r="AI40" s="79">
        <f>((($W$39)^M40)*((1-($W$39))^($U$30-M40))*HLOOKUP($U$30,$AV$24:$BF$34,M40+1))*V44</f>
        <v>2.7642167271236355E-2</v>
      </c>
      <c r="AJ40" s="28">
        <v>1</v>
      </c>
      <c r="AK40" s="79">
        <f>((($W$39)^M40)*((1-($W$39))^($U$31-M40))*HLOOKUP($U$31,$AV$24:$BF$34,M40+1))*V45</f>
        <v>8.6317490107945122E-3</v>
      </c>
      <c r="AL40" s="28">
        <v>1</v>
      </c>
      <c r="AM40" s="79">
        <f>((($W$39)^Q40)*((1-($W$39))^($U$32-Q40))*HLOOKUP($U$32,$AV$24:$BF$34,Q40+1))*V46</f>
        <v>1.802008796317328E-3</v>
      </c>
      <c r="AN40" s="28">
        <v>1</v>
      </c>
      <c r="AO40" s="79">
        <f>((($W$39)^Q40)*((1-($W$39))^($U$33-Q40))*HLOOKUP($U$33,$AV$24:$BF$34,Q40+1))*V47</f>
        <v>2.4319159977849444E-4</v>
      </c>
      <c r="AP40" s="28">
        <v>1</v>
      </c>
      <c r="AQ40" s="79">
        <f>((($W$39)^Q40)*((1-($W$39))^($U$34-Q40))*HLOOKUP($U$34,$AV$24:$BF$34,Q40+1))*V48</f>
        <v>1.9408079351574907E-5</v>
      </c>
      <c r="AR40" s="28">
        <v>1</v>
      </c>
      <c r="AS40" s="79">
        <f>((($W$39)^Q40)*((1-($W$39))^($U$35-Q40))*HLOOKUP($U$35,$AV$24:$BF$34,Q40+1))*V49</f>
        <v>7.3148326829252958E-7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6.6311274381877696E-4</v>
      </c>
      <c r="BP40">
        <f t="shared" si="34"/>
        <v>9</v>
      </c>
      <c r="BQ40">
        <v>1</v>
      </c>
      <c r="BR40" s="107">
        <f t="shared" si="35"/>
        <v>2.8685127934321828E-4</v>
      </c>
    </row>
    <row r="41" spans="1:70" x14ac:dyDescent="0.25">
      <c r="G41" s="91">
        <v>2</v>
      </c>
      <c r="H41" s="132">
        <f>L39*J41+J40*L40+J39*L41</f>
        <v>0.28744495477774895</v>
      </c>
      <c r="I41" s="93">
        <v>2</v>
      </c>
      <c r="J41" s="86">
        <f t="shared" si="33"/>
        <v>0.3018158989687843</v>
      </c>
      <c r="K41" s="95">
        <v>2</v>
      </c>
      <c r="L41" s="86">
        <f>AE21</f>
        <v>2.9724015318183993E-2</v>
      </c>
      <c r="M41" s="85">
        <v>2</v>
      </c>
      <c r="N41" s="71">
        <f>(($C$24)^M27)*((1-($C$24))^($B$21-M27))*HLOOKUP($B$21,$AV$24:$BF$34,M27+1)</f>
        <v>0.34520911131942045</v>
      </c>
      <c r="O41" s="72">
        <v>2</v>
      </c>
      <c r="P41" s="71">
        <f t="shared" si="36"/>
        <v>0.34520911131942045</v>
      </c>
      <c r="Q41" s="28">
        <v>2</v>
      </c>
      <c r="R41" s="37">
        <f>P41*N39+P40*N40+P39*N41</f>
        <v>0.1316249474987152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0.13076813089494038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3.4489831339404239E-2</v>
      </c>
      <c r="AD41" s="28">
        <v>2</v>
      </c>
      <c r="AE41" s="79">
        <f>((($W$39)^M41)*((1-($W$39))^($U$28-M41))*HLOOKUP($U$28,$AV$24:$BF$34,M41+1))*V42</f>
        <v>8.5875174614112593E-2</v>
      </c>
      <c r="AF41" s="28">
        <v>2</v>
      </c>
      <c r="AG41" s="79">
        <f>((($W$39)^M41)*((1-($W$39))^($U$29-M41))*HLOOKUP($U$29,$AV$24:$BF$34,M41+1))*V43</f>
        <v>9.3608988831475934E-2</v>
      </c>
      <c r="AH41" s="28">
        <v>2</v>
      </c>
      <c r="AI41" s="79">
        <f>((($W$39)^M41)*((1-($W$39))^($U$30-M41))*HLOOKUP($U$30,$AV$24:$BF$34,M41+1))*V44</f>
        <v>5.8367482200521126E-2</v>
      </c>
      <c r="AJ41" s="28">
        <v>2</v>
      </c>
      <c r="AK41" s="79">
        <f>((($W$39)^M41)*((1-($W$39))^($U$31-M41))*HLOOKUP($U$31,$AV$24:$BF$34,M41+1))*V45</f>
        <v>2.2782830837904691E-2</v>
      </c>
      <c r="AL41" s="28">
        <v>2</v>
      </c>
      <c r="AM41" s="79">
        <f>((($W$39)^Q41)*((1-($W$39))^($U$32-Q41))*HLOOKUP($U$32,$AV$24:$BF$34,Q41+1))*V46</f>
        <v>5.7075146448636168E-3</v>
      </c>
      <c r="AN41" s="28">
        <v>2</v>
      </c>
      <c r="AO41" s="79">
        <f>((($W$39)^Q41)*((1-($W$39))^($U$33-Q41))*HLOOKUP($U$33,$AV$24:$BF$34,Q41+1))*V47</f>
        <v>8.9863946470566133E-4</v>
      </c>
      <c r="AP41" s="28">
        <v>2</v>
      </c>
      <c r="AQ41" s="79">
        <f>((($W$39)^Q41)*((1-($W$39))^($U$34-Q41))*HLOOKUP($U$34,$AV$24:$BF$34,Q41+1))*V48</f>
        <v>8.1961787944037948E-5</v>
      </c>
      <c r="AR41" s="28">
        <v>2</v>
      </c>
      <c r="AS41" s="79">
        <f>((($W$39)^Q41)*((1-($W$39))^($U$35-Q41))*HLOOKUP($U$35,$AV$24:$BF$34,Q41+1))*V49</f>
        <v>3.4752478523837781E-6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1.0786632140761592E-4</v>
      </c>
      <c r="BP41">
        <f t="shared" si="34"/>
        <v>9</v>
      </c>
      <c r="BQ41">
        <v>2</v>
      </c>
      <c r="BR41" s="107">
        <f t="shared" si="35"/>
        <v>3.7170556662875971E-4</v>
      </c>
    </row>
    <row r="42" spans="1:70" ht="15" customHeight="1" x14ac:dyDescent="0.25">
      <c r="G42" s="91">
        <v>3</v>
      </c>
      <c r="H42" s="132">
        <f>J42*L39+J41*L40+L42*J39+L41*J40</f>
        <v>0.22675720780898631</v>
      </c>
      <c r="I42" s="93">
        <v>3</v>
      </c>
      <c r="J42" s="86">
        <f t="shared" si="33"/>
        <v>0.20195376683012536</v>
      </c>
      <c r="K42" s="95">
        <v>3</v>
      </c>
      <c r="L42" s="86">
        <f>AF21</f>
        <v>2.1163732074762145E-3</v>
      </c>
      <c r="M42" s="85">
        <v>3</v>
      </c>
      <c r="N42" s="71">
        <f>(($C$24)^M28)*((1-($C$24))^($B$21-M28))*HLOOKUP($B$21,$AV$24:$BF$34,M28+1)</f>
        <v>0.2203442140557928</v>
      </c>
      <c r="O42" s="72">
        <v>3</v>
      </c>
      <c r="P42" s="71">
        <f t="shared" si="36"/>
        <v>0.2203442140557928</v>
      </c>
      <c r="Q42" s="28">
        <v>3</v>
      </c>
      <c r="R42" s="37">
        <f>P42*N39+P41*N40+P40*N41+P39*N42</f>
        <v>0.22404040260998587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0.22311641345664651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3.0221446800058102E-2</v>
      </c>
      <c r="AF42" s="28">
        <v>3</v>
      </c>
      <c r="AG42" s="79">
        <f>((($W$39)^M42)*((1-($W$39))^($U$29-M42))*HLOOKUP($U$29,$AV$24:$BF$34,M42+1))*V43</f>
        <v>6.5886307391863408E-2</v>
      </c>
      <c r="AH42" s="28">
        <v>3</v>
      </c>
      <c r="AI42" s="79">
        <f>((($W$39)^M42)*((1-($W$39))^($U$30-M42))*HLOOKUP($U$30,$AV$24:$BF$34,M42+1))*V44</f>
        <v>6.1622573675204018E-2</v>
      </c>
      <c r="AJ42" s="28">
        <v>3</v>
      </c>
      <c r="AK42" s="79">
        <f>((($W$39)^M42)*((1-($W$39))^($U$31-M42))*HLOOKUP($U$31,$AV$24:$BF$34,M42+1))*V45</f>
        <v>3.2071206292921255E-2</v>
      </c>
      <c r="AL42" s="28">
        <v>3</v>
      </c>
      <c r="AM42" s="79">
        <f>((($W$39)^Q42)*((1-($W$39))^($U$32-Q42))*HLOOKUP($U$32,$AV$24:$BF$34,Q42+1))*V46</f>
        <v>1.0043027625585269E-2</v>
      </c>
      <c r="AN42" s="28">
        <v>3</v>
      </c>
      <c r="AO42" s="79">
        <f>((($W$39)^Q42)*((1-($W$39))^($U$33-Q42))*HLOOKUP($U$33,$AV$24:$BF$34,Q42+1))*V47</f>
        <v>1.8975112351437386E-3</v>
      </c>
      <c r="AP42" s="28">
        <v>3</v>
      </c>
      <c r="AQ42" s="79">
        <f>((($W$39)^Q42)*((1-($W$39))^($U$34-Q42))*HLOOKUP($U$34,$AV$24:$BF$34,Q42+1))*V48</f>
        <v>2.0190965288668231E-4</v>
      </c>
      <c r="AR42" s="28">
        <v>3</v>
      </c>
      <c r="AS42" s="79">
        <f>((($W$39)^Q42)*((1-($W$39))^($U$35-Q42))*HLOOKUP($U$35,$AV$24:$BF$34,Q42+1))*V49</f>
        <v>9.784156462892135E-6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1.3178991323193413E-5</v>
      </c>
      <c r="BP42">
        <f t="shared" si="34"/>
        <v>9</v>
      </c>
      <c r="BQ42">
        <v>3</v>
      </c>
      <c r="BR42" s="107">
        <f t="shared" si="35"/>
        <v>2.9322802510471928E-4</v>
      </c>
    </row>
    <row r="43" spans="1:70" ht="15" customHeight="1" x14ac:dyDescent="0.25">
      <c r="G43" s="91">
        <v>4</v>
      </c>
      <c r="H43" s="132">
        <f>J43*L39+J42*L40+J41*L41+J40*L42</f>
        <v>0.12160703190569232</v>
      </c>
      <c r="I43" s="93">
        <v>4</v>
      </c>
      <c r="J43" s="86">
        <f t="shared" si="33"/>
        <v>8.8759730326008521E-2</v>
      </c>
      <c r="K43" s="95">
        <v>4</v>
      </c>
      <c r="L43" s="86"/>
      <c r="M43" s="85">
        <v>4</v>
      </c>
      <c r="N43" s="71">
        <f>(($C$24)^M29)*((1-($C$24))^($B$21-M29))*HLOOKUP($B$21,$AV$24:$BF$34,M29+1)</f>
        <v>7.0321974530591788E-2</v>
      </c>
      <c r="O43" s="72">
        <v>4</v>
      </c>
      <c r="P43" s="71">
        <f t="shared" si="36"/>
        <v>7.0321974530591788E-2</v>
      </c>
      <c r="Q43" s="28">
        <v>4</v>
      </c>
      <c r="R43" s="37">
        <f>P43*N39+P42*N40+P41*N41+P40*N42+P39*N43</f>
        <v>0.25025559412968246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0.24999178720789572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1.7390178907725751E-2</v>
      </c>
      <c r="AH43" s="28">
        <v>4</v>
      </c>
      <c r="AI43" s="79">
        <f>((($W$39)^M43)*((1-($W$39))^($U$30-M43))*HLOOKUP($U$30,$AV$24:$BF$34,M43+1))*V44</f>
        <v>3.2529599043780957E-2</v>
      </c>
      <c r="AJ43" s="28">
        <v>4</v>
      </c>
      <c r="AK43" s="79">
        <f>((($W$39)^M43)*((1-($W$39))^($U$31-M43))*HLOOKUP($U$31,$AV$24:$BF$34,M43+1))*V45</f>
        <v>2.5394837135281144E-2</v>
      </c>
      <c r="AL43" s="28">
        <v>4</v>
      </c>
      <c r="AM43" s="79">
        <f>((($W$39)^Q43)*((1-($W$39))^($U$32-Q43))*HLOOKUP($U$32,$AV$24:$BF$34,Q43+1))*V46</f>
        <v>1.0603116434825621E-2</v>
      </c>
      <c r="AN43" s="28">
        <v>4</v>
      </c>
      <c r="AO43" s="79">
        <f>((($W$39)^Q43)*((1-($W$39))^($U$33-Q43))*HLOOKUP($U$33,$AV$24:$BF$34,Q43+1))*V47</f>
        <v>2.5041667354577194E-3</v>
      </c>
      <c r="AP43" s="28">
        <v>4</v>
      </c>
      <c r="AQ43" s="79">
        <f>((($W$39)^Q43)*((1-($W$39))^($U$34-Q43))*HLOOKUP($U$34,$AV$24:$BF$34,Q43+1))*V48</f>
        <v>3.1975490440034856E-4</v>
      </c>
      <c r="AR43" s="28">
        <v>4</v>
      </c>
      <c r="AS43" s="79">
        <f>((($W$39)^Q43)*((1-($W$39))^($U$35-Q43))*HLOOKUP($U$35,$AV$24:$BF$34,Q43+1))*V49</f>
        <v>1.8077164536970457E-5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1.1838168949027115E-6</v>
      </c>
      <c r="BP43">
        <f t="shared" si="34"/>
        <v>9</v>
      </c>
      <c r="BQ43">
        <v>4</v>
      </c>
      <c r="BR43" s="107">
        <f t="shared" si="35"/>
        <v>1.5725449324896658E-4</v>
      </c>
    </row>
    <row r="44" spans="1:70" ht="15" customHeight="1" thickBot="1" x14ac:dyDescent="0.3">
      <c r="G44" s="91">
        <v>5</v>
      </c>
      <c r="H44" s="132">
        <f>J44*L39+J43*L40+J42*L41+J41*L42</f>
        <v>4.6883886015268009E-2</v>
      </c>
      <c r="I44" s="93">
        <v>5</v>
      </c>
      <c r="J44" s="86">
        <f t="shared" si="33"/>
        <v>2.6785391113476411E-2</v>
      </c>
      <c r="K44" s="95">
        <v>5</v>
      </c>
      <c r="L44" s="86"/>
      <c r="M44" s="85">
        <v>5</v>
      </c>
      <c r="N44" s="71">
        <f>(($C$24)^M30)*((1-($C$24))^($B$21-M30))*HLOOKUP($B$21,$AV$24:$BF$34,M30+1)</f>
        <v>8.9771907523363351E-3</v>
      </c>
      <c r="O44" s="72">
        <v>5</v>
      </c>
      <c r="P44" s="71">
        <f t="shared" si="36"/>
        <v>8.9771907523363351E-3</v>
      </c>
      <c r="Q44" s="28">
        <v>5</v>
      </c>
      <c r="R44" s="37">
        <f>P44*N39+P43*N40+P42*N41+P41*N42+P40*N43+P39*N44</f>
        <v>0.19168337240281247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0.19226697493475001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6.8687479333564274E-3</v>
      </c>
      <c r="AJ44" s="28">
        <v>5</v>
      </c>
      <c r="AK44" s="79">
        <f>((($W$39)^M44)*((1-($W$39))^($U$31-M44))*HLOOKUP($U$31,$AV$24:$BF$34,M44+1))*V45</f>
        <v>1.072443191544553E-2</v>
      </c>
      <c r="AL44" s="28">
        <v>5</v>
      </c>
      <c r="AM44" s="79">
        <f>((($W$39)^Q44)*((1-($W$39))^($U$32-Q44))*HLOOKUP($U$32,$AV$24:$BF$34,Q44+1))*V46</f>
        <v>6.7166644754051907E-3</v>
      </c>
      <c r="AN44" s="28">
        <v>5</v>
      </c>
      <c r="AO44" s="79">
        <f>((($W$39)^Q44)*((1-($W$39))^($U$33-Q44))*HLOOKUP($U$33,$AV$24:$BF$34,Q44+1))*V47</f>
        <v>2.1150571288389153E-3</v>
      </c>
      <c r="AP44" s="28">
        <v>5</v>
      </c>
      <c r="AQ44" s="79">
        <f>((($W$39)^Q44)*((1-($W$39))^($U$34-Q44))*HLOOKUP($U$34,$AV$24:$BF$34,Q44+1))*V48</f>
        <v>3.375872902436481E-4</v>
      </c>
      <c r="AR44" s="28">
        <v>5</v>
      </c>
      <c r="AS44" s="79">
        <f>((($W$39)^Q44)*((1-($W$39))^($U$35-Q44))*HLOOKUP($U$35,$AV$24:$BF$34,Q44+1))*V49</f>
        <v>2.2902370186698944E-5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2.0506924937296902E-3</v>
      </c>
      <c r="BP44">
        <f t="shared" si="34"/>
        <v>9</v>
      </c>
      <c r="BQ44">
        <v>5</v>
      </c>
      <c r="BR44" s="107">
        <f t="shared" si="35"/>
        <v>6.0627264898553716E-5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1.3397558470065228E-2</v>
      </c>
      <c r="I45" s="93">
        <v>6</v>
      </c>
      <c r="J45" s="86">
        <f t="shared" si="33"/>
        <v>5.6251004309750517E-3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0.10195830260251657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0.10285477447931769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1.8870869843926872E-3</v>
      </c>
      <c r="AL45" s="28">
        <v>6</v>
      </c>
      <c r="AM45" s="79">
        <f>((($W$39)^Q45)*((1-($W$39))^($U$32-Q45))*HLOOKUP($U$32,$AV$24:$BF$34,Q45+1))*V46</f>
        <v>2.3637485341885937E-3</v>
      </c>
      <c r="AN45" s="28">
        <v>6</v>
      </c>
      <c r="AO45" s="79">
        <f>((($W$39)^Q45)*((1-($W$39))^($U$33-Q45))*HLOOKUP($U$33,$AV$24:$BF$34,Q45+1))*V47</f>
        <v>1.116505790856076E-3</v>
      </c>
      <c r="AP45" s="28">
        <v>6</v>
      </c>
      <c r="AQ45" s="79">
        <f>((($W$39)^Q45)*((1-($W$39))^($U$34-Q45))*HLOOKUP($U$34,$AV$24:$BF$34,Q45+1))*V48</f>
        <v>2.3760944599692367E-4</v>
      </c>
      <c r="AR45" s="28">
        <v>6</v>
      </c>
      <c r="AS45" s="79">
        <f>((($W$39)^Q45)*((1-($W$39))^($U$35-Q45))*HLOOKUP($U$35,$AV$24:$BF$34,Q45+1))*V49</f>
        <v>2.0149675540770705E-5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4.4116473830919576E-4</v>
      </c>
      <c r="BP45">
        <f t="shared" si="34"/>
        <v>9</v>
      </c>
      <c r="BQ45">
        <v>6</v>
      </c>
      <c r="BR45" s="107">
        <f t="shared" si="35"/>
        <v>1.7324872048660607E-5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2.882211933042539E-3</v>
      </c>
      <c r="I46" s="93">
        <v>7</v>
      </c>
      <c r="J46" s="86">
        <f t="shared" si="33"/>
        <v>8.1297029643514031E-4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3.718809650110734E-2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3.7836422433713907E-2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3.565103197537217E-4</v>
      </c>
      <c r="AN46" s="28">
        <v>7</v>
      </c>
      <c r="AO46" s="79">
        <f>((($W$39)^Q46)*((1-($W$39))^($U$33-Q46))*HLOOKUP($U$33,$AV$24:$BF$34,Q46+1))*V47</f>
        <v>3.3679203244148747E-4</v>
      </c>
      <c r="AP46" s="28">
        <v>7</v>
      </c>
      <c r="AQ46" s="79">
        <f>((($W$39)^Q46)*((1-($W$39))^($U$34-Q46))*HLOOKUP($U$34,$AV$24:$BF$34,Q46+1))*V48</f>
        <v>1.075117149861457E-4</v>
      </c>
      <c r="AR46" s="28">
        <v>7</v>
      </c>
      <c r="AS46" s="79">
        <f>((($W$39)^Q46)*((1-($W$39))^($U$35-Q46))*HLOOKUP($U$35,$AV$24:$BF$34,Q46+1))*V49</f>
        <v>1.2156229253785354E-5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7.1762785287642647E-5</v>
      </c>
      <c r="BP46">
        <f t="shared" si="34"/>
        <v>9</v>
      </c>
      <c r="BQ46">
        <v>7</v>
      </c>
      <c r="BR46" s="107">
        <f t="shared" si="35"/>
        <v>3.7270934901052631E-6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4.6883972843597932E-4</v>
      </c>
      <c r="I47" s="93">
        <v>8</v>
      </c>
      <c r="J47" s="86">
        <f t="shared" si="33"/>
        <v>7.7636515272279421E-5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8.9013241833861608E-3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9.1851039924079649E-3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4.4446820065509797E-5</v>
      </c>
      <c r="AP47" s="28">
        <v>8</v>
      </c>
      <c r="AQ47" s="79">
        <f>((($W$39)^Q47)*((1-($W$39))^($U$34-Q47))*HLOOKUP($U$34,$AV$24:$BF$34,Q47+1))*V48</f>
        <v>2.8376881818032874E-5</v>
      </c>
      <c r="AR47" s="28">
        <v>8</v>
      </c>
      <c r="AS47" s="79">
        <f>((($W$39)^Q47)*((1-($W$39))^($U$35-Q47))*HLOOKUP($U$35,$AV$24:$BF$34,Q47+1))*V49</f>
        <v>4.8128133887367482E-6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8.7679000478759144E-6</v>
      </c>
      <c r="BP47">
        <f>BL12+1</f>
        <v>9</v>
      </c>
      <c r="BQ47">
        <v>8</v>
      </c>
      <c r="BR47" s="107">
        <f t="shared" si="35"/>
        <v>6.0627377179437541E-7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5.7282334582236616E-5</v>
      </c>
      <c r="I48" s="93">
        <v>9</v>
      </c>
      <c r="J48" s="86">
        <f t="shared" si="33"/>
        <v>4.457985275134084E-6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1.2625875588841199E-3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1.3394911260214708E-3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3.32882554268981E-6</v>
      </c>
      <c r="AR48" s="28">
        <v>9</v>
      </c>
      <c r="AS48" s="79">
        <f>((($W$39)^Q48)*((1-($W$39))^($U$35-Q48))*HLOOKUP($U$35,$AV$24:$BF$34,Q48+1))*V49</f>
        <v>1.129159732444274E-6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7.8758593544461903E-7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5.1454465516326047E-6</v>
      </c>
      <c r="I49" s="94">
        <v>10</v>
      </c>
      <c r="J49" s="89">
        <f t="shared" si="33"/>
        <v>1.1921317517958602E-7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8.0589953803833017E-5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9.3406797808226472E-5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1.1921317517958602E-7</v>
      </c>
      <c r="BH49">
        <f>BP14+1</f>
        <v>6</v>
      </c>
      <c r="BI49">
        <v>0</v>
      </c>
      <c r="BJ49" s="107">
        <f>$H$31*H39</f>
        <v>5.8175955647130576E-3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2.1313889799688061E-4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3.4670588207063167E-5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4.2360152380114097E-6</v>
      </c>
    </row>
    <row r="53" spans="1:62" x14ac:dyDescent="0.25">
      <c r="BH53">
        <f>BH48+1</f>
        <v>6</v>
      </c>
      <c r="BI53">
        <v>10</v>
      </c>
      <c r="BJ53" s="107">
        <f>$H$31*H49</f>
        <v>3.805045684337039E-7</v>
      </c>
    </row>
    <row r="54" spans="1:62" x14ac:dyDescent="0.25">
      <c r="BH54">
        <f>BH51+1</f>
        <v>7</v>
      </c>
      <c r="BI54">
        <v>8</v>
      </c>
      <c r="BJ54" s="107">
        <f>$H$32*H47</f>
        <v>1.2299202440968725E-5</v>
      </c>
    </row>
    <row r="55" spans="1:62" x14ac:dyDescent="0.25">
      <c r="BH55">
        <f>BH52+1</f>
        <v>7</v>
      </c>
      <c r="BI55">
        <v>9</v>
      </c>
      <c r="BJ55" s="107">
        <f>$H$32*H48</f>
        <v>1.5027033474072066E-6</v>
      </c>
    </row>
    <row r="56" spans="1:62" x14ac:dyDescent="0.25">
      <c r="BH56">
        <f>BH53+1</f>
        <v>7</v>
      </c>
      <c r="BI56">
        <v>10</v>
      </c>
      <c r="BJ56" s="107">
        <f>$H$32*H49</f>
        <v>1.349819244176008E-7</v>
      </c>
    </row>
    <row r="57" spans="1:62" x14ac:dyDescent="0.25">
      <c r="BH57">
        <f>BH55+1</f>
        <v>8</v>
      </c>
      <c r="BI57">
        <v>9</v>
      </c>
      <c r="BJ57" s="107">
        <f>$H$33*H48</f>
        <v>3.9134014183537157E-7</v>
      </c>
    </row>
    <row r="58" spans="1:62" x14ac:dyDescent="0.25">
      <c r="BH58">
        <f>BH56+1</f>
        <v>8</v>
      </c>
      <c r="BI58">
        <v>10</v>
      </c>
      <c r="BJ58" s="107">
        <f>$H$33*H49</f>
        <v>3.5152543938854323E-8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6.6537648138976772E-9</v>
      </c>
    </row>
  </sheetData>
  <mergeCells count="2">
    <mergeCell ref="P1:Q1"/>
    <mergeCell ref="B3:C3"/>
  </mergeCells>
  <conditionalFormatting sqref="V25:V35 V39:V49">
    <cfRule type="cellIs" dxfId="13" priority="14" operator="greaterThan">
      <formula>0.15</formula>
    </cfRule>
  </conditionalFormatting>
  <conditionalFormatting sqref="V35">
    <cfRule type="cellIs" dxfId="12" priority="13" operator="greaterThan">
      <formula>0.15</formula>
    </cfRule>
  </conditionalFormatting>
  <conditionalFormatting sqref="V49">
    <cfRule type="cellIs" dxfId="11" priority="12" operator="greaterThan">
      <formula>0.15</formula>
    </cfRule>
  </conditionalFormatting>
  <conditionalFormatting sqref="V25:V35 V39:V49">
    <cfRule type="cellIs" dxfId="10" priority="11" operator="greaterThan">
      <formula>0.15</formula>
    </cfRule>
  </conditionalFormatting>
  <conditionalFormatting sqref="V35">
    <cfRule type="cellIs" dxfId="9" priority="10" operator="greaterThan">
      <formula>0.15</formula>
    </cfRule>
  </conditionalFormatting>
  <conditionalFormatting sqref="V49">
    <cfRule type="cellIs" dxfId="8" priority="9" operator="greaterThan">
      <formula>0.15</formula>
    </cfRule>
  </conditionalFormatting>
  <conditionalFormatting sqref="H25:H35">
    <cfRule type="cellIs" dxfId="7" priority="8" operator="greaterThan">
      <formula>0.15</formula>
    </cfRule>
  </conditionalFormatting>
  <conditionalFormatting sqref="H35">
    <cfRule type="cellIs" dxfId="6" priority="7" operator="greaterThan">
      <formula>0.15</formula>
    </cfRule>
  </conditionalFormatting>
  <conditionalFormatting sqref="H25:H35">
    <cfRule type="cellIs" dxfId="5" priority="6" operator="greaterThan">
      <formula>0.15</formula>
    </cfRule>
  </conditionalFormatting>
  <conditionalFormatting sqref="H35">
    <cfRule type="cellIs" dxfId="4" priority="5" operator="greaterThan">
      <formula>0.15</formula>
    </cfRule>
  </conditionalFormatting>
  <conditionalFormatting sqref="H39:H49">
    <cfRule type="cellIs" dxfId="3" priority="4" operator="greaterThan">
      <formula>0.15</formula>
    </cfRule>
  </conditionalFormatting>
  <conditionalFormatting sqref="H49">
    <cfRule type="cellIs" dxfId="2" priority="3" operator="greaterThan">
      <formula>0.15</formula>
    </cfRule>
  </conditionalFormatting>
  <conditionalFormatting sqref="H39:H49">
    <cfRule type="cellIs" dxfId="1" priority="2" operator="greaterThan">
      <formula>0.15</formula>
    </cfRule>
  </conditionalFormatting>
  <conditionalFormatting sqref="H49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B15" sqref="B1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6" t="s">
        <v>135</v>
      </c>
      <c r="Q1" s="196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197" t="s">
        <v>23</v>
      </c>
      <c r="C3" s="197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COUNTIF(F14:F18,"RAP")*0.0785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COUNTIF(J14:J18,"RAP")*0.0785</f>
        <v>0</v>
      </c>
      <c r="Z10" s="146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9.7500000000000003E-2</v>
      </c>
      <c r="P13" s="16" t="str">
        <f>P2</f>
        <v>0,4</v>
      </c>
      <c r="Q13" s="16">
        <f t="shared" si="1"/>
        <v>3.9000000000000007E-2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9.7500000000000003E-2</v>
      </c>
      <c r="Z13" s="19" t="str">
        <f>Z2</f>
        <v>0,4</v>
      </c>
      <c r="AA13" s="19">
        <f t="shared" si="3"/>
        <v>3.9000000000000007E-2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COUNTIF(F6:F18,"CAB")*0.071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COUNTIF(J6:J18,"CAB")*0.071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</v>
      </c>
      <c r="Z17" s="146" t="str">
        <f>Z3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L27" sqref="L27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6" t="s">
        <v>135</v>
      </c>
      <c r="Q1" s="196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2</v>
      </c>
    </row>
    <row r="2" spans="1:70" x14ac:dyDescent="0.25">
      <c r="A2" s="193" t="s">
        <v>143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197" t="s">
        <v>23</v>
      </c>
      <c r="C3" s="197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2.9317195208663181E-2</v>
      </c>
      <c r="BL4">
        <v>0</v>
      </c>
      <c r="BM4">
        <v>0</v>
      </c>
      <c r="BN4" s="107">
        <f>H25*H39</f>
        <v>9.3720531479785079E-3</v>
      </c>
      <c r="BP4">
        <v>1</v>
      </c>
      <c r="BQ4">
        <v>0</v>
      </c>
      <c r="BR4" s="107">
        <f>$H$26*H39</f>
        <v>1.9271525728729741E-2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147</v>
      </c>
      <c r="G5" s="167">
        <v>12</v>
      </c>
      <c r="H5" s="10"/>
      <c r="I5" s="10"/>
      <c r="J5" s="166" t="s">
        <v>147</v>
      </c>
      <c r="K5" s="166">
        <v>12</v>
      </c>
      <c r="L5" s="10"/>
      <c r="M5" s="10"/>
      <c r="O5" s="67">
        <f>COUNTIF(F5:F10,"IMP")/(COUNTIF(J5:J10,"IMP")+COUNTIF(F5:F10,"IMP"))*AI5</f>
        <v>8.5000000000000006E-3</v>
      </c>
      <c r="P5" s="16" t="str">
        <f>P3</f>
        <v>0,6</v>
      </c>
      <c r="Q5" s="16">
        <f>P5*O5</f>
        <v>5.1000000000000004E-3</v>
      </c>
      <c r="R5" s="157">
        <f>IF($M$2="SI",Q5*$B$22/0.5*$S$1,Q5*$B$22/0.5*$S$2)</f>
        <v>5.1889213093234384E-3</v>
      </c>
      <c r="S5" s="176">
        <f>(1-R5)</f>
        <v>0.99481107869067653</v>
      </c>
      <c r="T5" s="177">
        <f>R5*PRODUCT(S6:S19)</f>
        <v>4.4419444441535574E-3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7.0228681795235265E-4</v>
      </c>
      <c r="V5" s="18"/>
      <c r="W5" s="186" t="s">
        <v>36</v>
      </c>
      <c r="X5" s="15" t="s">
        <v>37</v>
      </c>
      <c r="Y5" s="69">
        <f>COUNTIF(J5:J10,"IMP")/(COUNTIF(J5:J10,"IMP")+COUNTIF(F5:F10,"IMP"))*AI5</f>
        <v>8.5000000000000006E-3</v>
      </c>
      <c r="Z5" s="146" t="str">
        <f>Z3</f>
        <v>0,6</v>
      </c>
      <c r="AA5" s="19">
        <f>Z5*Y5</f>
        <v>5.1000000000000004E-3</v>
      </c>
      <c r="AB5" s="157">
        <f>IF($M$2="SI",AA5*$C$22/0.5*$S$1,AA5*$C$22/0.5*$S$2)</f>
        <v>5.7654681214704892E-3</v>
      </c>
      <c r="AC5" s="176">
        <f>(1-AB5)</f>
        <v>0.9942345318785295</v>
      </c>
      <c r="AD5" s="177">
        <f>AB5*PRODUCT(AC6:AC19)</f>
        <v>4.5420509731022166E-3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1.1076108644243548E-3</v>
      </c>
      <c r="AF5" s="18"/>
      <c r="AI5" s="194">
        <v>1.7000000000000001E-2</v>
      </c>
      <c r="BH5">
        <v>0</v>
      </c>
      <c r="BI5">
        <v>2</v>
      </c>
      <c r="BJ5" s="107">
        <f t="shared" si="0"/>
        <v>4.192975626613446E-2</v>
      </c>
      <c r="BL5">
        <v>1</v>
      </c>
      <c r="BM5">
        <v>1</v>
      </c>
      <c r="BN5" s="107">
        <f>$H$26*H40</f>
        <v>6.0284237918540699E-2</v>
      </c>
      <c r="BP5">
        <f>BP4+1</f>
        <v>2</v>
      </c>
      <c r="BQ5">
        <v>0</v>
      </c>
      <c r="BR5" s="107">
        <f>$H$27*H39</f>
        <v>1.8118727761260087E-2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144</v>
      </c>
      <c r="K6" s="166"/>
      <c r="L6" s="10"/>
      <c r="M6" s="10"/>
      <c r="O6" s="67">
        <f>COUNTIF(F11:F18,"IMP")/(COUNTIF(J11:J18,"IMP")+COUNTIF(F11:F18,"IMP"))*AI6</f>
        <v>5.6666666666666671E-3</v>
      </c>
      <c r="P6" s="16" t="str">
        <f>P3</f>
        <v>0,6</v>
      </c>
      <c r="Q6" s="16">
        <f t="shared" ref="Q6:Q19" si="1">P6*O6</f>
        <v>3.4000000000000002E-3</v>
      </c>
      <c r="R6" s="157">
        <f>IF($M$2="SI",Q6*$B$22/0.5*$S$1,Q6*$B$22/0.5*$S$2)</f>
        <v>3.4592808728822924E-3</v>
      </c>
      <c r="S6" s="176">
        <f t="shared" ref="S6:S19" si="2">(1-R6)</f>
        <v>0.99654071912711772</v>
      </c>
      <c r="T6" s="177">
        <f>R6*S5*PRODUCT(S7:S19)</f>
        <v>2.9561565384189034E-3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4.5711692467521642E-4</v>
      </c>
      <c r="V6" s="18"/>
      <c r="W6" s="186" t="s">
        <v>38</v>
      </c>
      <c r="X6" s="15" t="s">
        <v>39</v>
      </c>
      <c r="Y6" s="69">
        <f>COUNTIF(J11:J18,"IMP")/(COUNTIF(J11:J18,"IMP")+COUNTIF(F11:F18,"IMP"))*AI6</f>
        <v>1.1333333333333334E-2</v>
      </c>
      <c r="Z6" s="146" t="str">
        <f>Z3</f>
        <v>0,6</v>
      </c>
      <c r="AA6" s="19">
        <f t="shared" ref="AA6:AA19" si="3">Z6*Y6</f>
        <v>6.8000000000000005E-3</v>
      </c>
      <c r="AB6" s="157">
        <f t="shared" ref="AB6:AB19" si="4">IF($M$2="SI",AA6*$C$22/0.5*$S$1,AA6*$C$22/0.5*$S$2)</f>
        <v>7.6872908286273181E-3</v>
      </c>
      <c r="AC6" s="176">
        <f t="shared" ref="AC6:AC19" si="5">(1-AB6)</f>
        <v>0.99231270917137271</v>
      </c>
      <c r="AD6" s="177">
        <f>AB6*AC5*PRODUCT(AC7:AC19)</f>
        <v>6.0677968161624608E-3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1.4326683787327999E-3</v>
      </c>
      <c r="AF6" s="18"/>
      <c r="AI6" s="194">
        <v>1.7000000000000001E-2</v>
      </c>
      <c r="BH6">
        <v>0</v>
      </c>
      <c r="BI6">
        <v>3</v>
      </c>
      <c r="BJ6" s="107">
        <f t="shared" si="0"/>
        <v>3.6281138625549325E-2</v>
      </c>
      <c r="BL6">
        <f>BH14+1</f>
        <v>2</v>
      </c>
      <c r="BM6">
        <v>2</v>
      </c>
      <c r="BN6" s="107">
        <f>$H$27*H41</f>
        <v>8.1061622985561591E-2</v>
      </c>
      <c r="BP6">
        <f>BL5+1</f>
        <v>2</v>
      </c>
      <c r="BQ6">
        <v>1</v>
      </c>
      <c r="BR6" s="107">
        <f>$H$27*H40</f>
        <v>5.6678112076654311E-2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2.1180521384177382E-2</v>
      </c>
      <c r="BL7">
        <f>BH23+1</f>
        <v>3</v>
      </c>
      <c r="BM7">
        <v>3</v>
      </c>
      <c r="BN7" s="107">
        <f>$H$28*H42</f>
        <v>3.9897012499499791E-2</v>
      </c>
      <c r="BP7">
        <f>BP5+1</f>
        <v>3</v>
      </c>
      <c r="BQ7">
        <v>0</v>
      </c>
      <c r="BR7" s="107">
        <f>$H$28*H39</f>
        <v>1.030609665947918E-2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144</v>
      </c>
      <c r="K8" s="166"/>
      <c r="L8" s="10"/>
      <c r="M8" s="10"/>
      <c r="O8" s="67">
        <f>COUNTIF(F6:F18,"IMP")/(COUNTIF(F6:F18,"IMP")+COUNTIF(J6:J18,"IMP"))*AI8</f>
        <v>5.6666666666666671E-3</v>
      </c>
      <c r="P8" s="16" t="str">
        <f>P3</f>
        <v>0,6</v>
      </c>
      <c r="Q8" s="16">
        <f t="shared" si="1"/>
        <v>3.4000000000000002E-3</v>
      </c>
      <c r="R8" s="157">
        <f t="shared" si="6"/>
        <v>3.4592808728822924E-3</v>
      </c>
      <c r="S8" s="176">
        <f t="shared" si="2"/>
        <v>0.99654071912711772</v>
      </c>
      <c r="T8" s="177">
        <f>R8*PRODUCT(S5:S7)*PRODUCT(S9:S19)</f>
        <v>2.9561565384189034E-3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4.4685525089277868E-4</v>
      </c>
      <c r="W8" s="186" t="s">
        <v>42</v>
      </c>
      <c r="X8" s="15" t="s">
        <v>43</v>
      </c>
      <c r="Y8" s="69">
        <f>COUNTIF(J6:J18,"IMP")/(COUNTIF(F6:F18,"IMP")+COUNTIF(J6:J18,"IMP"))*AI8</f>
        <v>1.1333333333333334E-2</v>
      </c>
      <c r="Z8" s="146" t="str">
        <f>Z3</f>
        <v>0,6</v>
      </c>
      <c r="AA8" s="19">
        <f t="shared" si="3"/>
        <v>6.8000000000000005E-3</v>
      </c>
      <c r="AB8" s="157">
        <f t="shared" si="4"/>
        <v>7.6872908286273181E-3</v>
      </c>
      <c r="AC8" s="176">
        <f t="shared" si="5"/>
        <v>0.99231270917137271</v>
      </c>
      <c r="AD8" s="177">
        <f>AB8*PRODUCT(AC5:AC7)*PRODUCT(AC9:AC19)</f>
        <v>6.0677968161624608E-3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1.385662109052136E-3</v>
      </c>
      <c r="AI8" s="194">
        <v>1.7000000000000001E-2</v>
      </c>
      <c r="BH8">
        <v>0</v>
      </c>
      <c r="BI8">
        <v>5</v>
      </c>
      <c r="BJ8" s="107">
        <f t="shared" si="0"/>
        <v>8.8077573321128505E-3</v>
      </c>
      <c r="BL8">
        <f>BH31+1</f>
        <v>4</v>
      </c>
      <c r="BM8">
        <v>4</v>
      </c>
      <c r="BN8" s="107">
        <f>$H$29*H43</f>
        <v>8.937530004965959E-3</v>
      </c>
      <c r="BP8">
        <f>BP6+1</f>
        <v>3</v>
      </c>
      <c r="BQ8">
        <v>1</v>
      </c>
      <c r="BR8" s="107">
        <f>$H$28*H40</f>
        <v>3.2239024132131977E-2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COUNTIF(J6:J13,"IMP")/(COUNTIF(J6:J13,"IMP")+COUNTIF(F6:F13,"IMP"))*AI9</f>
        <v>1.2500000000000001E-2</v>
      </c>
      <c r="P9" s="144">
        <v>0.5</v>
      </c>
      <c r="Q9" s="16">
        <f t="shared" si="1"/>
        <v>6.2500000000000003E-3</v>
      </c>
      <c r="R9" s="157">
        <f t="shared" si="6"/>
        <v>6.358972192798332E-3</v>
      </c>
      <c r="S9" s="176">
        <f t="shared" si="2"/>
        <v>0.99364102780720165</v>
      </c>
      <c r="T9" s="177">
        <f>R9*PRODUCT(S5:S8)*PRODUCT(S10:S19)</f>
        <v>5.4499693703103196E-3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7.8894422414386273E-4</v>
      </c>
      <c r="W9" s="187" t="s">
        <v>44</v>
      </c>
      <c r="X9" s="15" t="s">
        <v>45</v>
      </c>
      <c r="Y9" s="69">
        <f>COUNTIF(F6:F13,"IMP")/(COUNTIF(J6:J13,"IMP")+COUNTIF(F6:F13,"IMP"))*AI9</f>
        <v>1.2500000000000001E-2</v>
      </c>
      <c r="Z9" s="146">
        <v>0.5</v>
      </c>
      <c r="AA9" s="19">
        <f t="shared" si="3"/>
        <v>6.2500000000000003E-3</v>
      </c>
      <c r="AB9" s="157">
        <f t="shared" si="4"/>
        <v>7.0655246586648138E-3</v>
      </c>
      <c r="AC9" s="176">
        <f t="shared" si="5"/>
        <v>0.99293447534133517</v>
      </c>
      <c r="AD9" s="177">
        <f>AB9*PRODUCT(AC5:AC8)*PRODUCT(AC10:AC19)</f>
        <v>5.5735268559100621E-3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1.2331288785530461E-3</v>
      </c>
      <c r="AI9" s="194">
        <v>2.5000000000000001E-2</v>
      </c>
      <c r="BH9">
        <v>0</v>
      </c>
      <c r="BI9">
        <v>6</v>
      </c>
      <c r="BJ9" s="107">
        <f t="shared" si="0"/>
        <v>2.6850080355688569E-3</v>
      </c>
      <c r="BL9">
        <f>BH38+1</f>
        <v>5</v>
      </c>
      <c r="BM9">
        <v>5</v>
      </c>
      <c r="BN9" s="107">
        <f>$H$30*H44</f>
        <v>1.0156249939345626E-3</v>
      </c>
      <c r="BP9">
        <f>BL6+1</f>
        <v>3</v>
      </c>
      <c r="BQ9">
        <v>2</v>
      </c>
      <c r="BR9" s="107">
        <f>$H$28*H41</f>
        <v>4.6108586257899396E-2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16</v>
      </c>
      <c r="K10" s="166"/>
      <c r="L10" s="10"/>
      <c r="M10" s="10"/>
      <c r="O10" s="67">
        <f>COUNTIF(F11:F18,"RAP")/(COUNTIF(F11:F18,"RAP")+COUNTIF(J11:J18,"RAP"))*AI10</f>
        <v>5.2333333333333329E-2</v>
      </c>
      <c r="P10" s="16" t="str">
        <f>R3</f>
        <v>0,72</v>
      </c>
      <c r="Q10" s="16">
        <f t="shared" si="1"/>
        <v>3.7679999999999998E-2</v>
      </c>
      <c r="R10" s="157">
        <f t="shared" si="6"/>
        <v>3.8336971555942574E-2</v>
      </c>
      <c r="S10" s="176">
        <f t="shared" si="2"/>
        <v>0.96166302844405738</v>
      </c>
      <c r="T10" s="177">
        <f>R10*PRODUCT(S5:S9)*PRODUCT(S11:S19)</f>
        <v>3.3949355494948943E-2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3.5611494140798923E-3</v>
      </c>
      <c r="W10" s="186" t="s">
        <v>46</v>
      </c>
      <c r="X10" s="15" t="s">
        <v>47</v>
      </c>
      <c r="Y10" s="69">
        <f>COUNTIF(J11:J18,"RAP")/(COUNTIF(F11:F18,"RAP")+COUNTIF(J11:J18,"RAP"))*AI10</f>
        <v>2.6166666666666664E-2</v>
      </c>
      <c r="Z10" s="146" t="str">
        <f>AB3</f>
        <v>0,72</v>
      </c>
      <c r="AA10" s="19">
        <f t="shared" si="3"/>
        <v>1.8839999999999999E-2</v>
      </c>
      <c r="AB10" s="157">
        <f t="shared" si="4"/>
        <v>2.1298317531079212E-2</v>
      </c>
      <c r="AC10" s="176">
        <f t="shared" si="5"/>
        <v>0.97870168246892075</v>
      </c>
      <c r="AD10" s="177">
        <f>AB10*PRODUCT(AC5:AC9)*PRODUCT(AC11:AC19)</f>
        <v>1.7045165966841861E-2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3.4002667243520036E-3</v>
      </c>
      <c r="AI10" s="194">
        <v>7.85E-2</v>
      </c>
      <c r="BH10">
        <v>0</v>
      </c>
      <c r="BI10">
        <v>7</v>
      </c>
      <c r="BJ10" s="107">
        <f t="shared" si="0"/>
        <v>6.0831879812157084E-4</v>
      </c>
      <c r="BL10">
        <f>BH44+1</f>
        <v>6</v>
      </c>
      <c r="BM10">
        <v>6</v>
      </c>
      <c r="BN10" s="107">
        <f>$H$31*H45</f>
        <v>6.1992647170295813E-5</v>
      </c>
      <c r="BP10">
        <f>BP7+1</f>
        <v>4</v>
      </c>
      <c r="BQ10">
        <v>0</v>
      </c>
      <c r="BR10" s="107">
        <f>$H$29*H39</f>
        <v>3.9547188050227883E-3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147</v>
      </c>
      <c r="G11" s="167"/>
      <c r="H11" s="10"/>
      <c r="I11" s="10"/>
      <c r="J11" s="166" t="s">
        <v>147</v>
      </c>
      <c r="K11" s="166"/>
      <c r="L11" s="10"/>
      <c r="M11" s="10"/>
      <c r="O11" s="67">
        <f>COUNTIF(F11:F18,"RAP")/(COUNTIF(F11:F18,"RAP")+COUNTIF(J11:J18,"RAP"))*AI11</f>
        <v>5.0666666666666665E-2</v>
      </c>
      <c r="P11" s="16" t="str">
        <f>R3</f>
        <v>0,72</v>
      </c>
      <c r="Q11" s="16">
        <f t="shared" si="1"/>
        <v>3.6479999999999999E-2</v>
      </c>
      <c r="R11" s="157">
        <f t="shared" si="6"/>
        <v>3.7116048894925292E-2</v>
      </c>
      <c r="S11" s="176">
        <f t="shared" si="2"/>
        <v>0.96288395110507474</v>
      </c>
      <c r="T11" s="177">
        <f>R11*PRODUCT(S5:S10)*PRODUCT(S12:S19)</f>
        <v>3.2826489479575657E-2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2.1780107827147109E-3</v>
      </c>
      <c r="W11" s="186" t="s">
        <v>48</v>
      </c>
      <c r="X11" s="15" t="s">
        <v>49</v>
      </c>
      <c r="Y11" s="69">
        <f>COUNTIF(J11:J18,"RAP")/(COUNTIF(F11:F18,"RAP")+COUNTIF(J11:J18,"RAP"))*AI11</f>
        <v>2.5333333333333333E-2</v>
      </c>
      <c r="Z11" s="146" t="str">
        <f>AB3</f>
        <v>0,72</v>
      </c>
      <c r="AA11" s="19">
        <f t="shared" si="3"/>
        <v>1.8239999999999999E-2</v>
      </c>
      <c r="AB11" s="157">
        <f t="shared" si="4"/>
        <v>2.062002716384739E-2</v>
      </c>
      <c r="AC11" s="176">
        <f t="shared" si="5"/>
        <v>0.97937997283615263</v>
      </c>
      <c r="AD11" s="177">
        <f>AB11*PRODUCT(AC5:AC10)*PRODUCT(AC12:AC19)</f>
        <v>1.6490897250379666E-2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2.9424959807417147E-3</v>
      </c>
      <c r="AI11" s="194">
        <v>7.5999999999999998E-2</v>
      </c>
      <c r="BH11">
        <v>0</v>
      </c>
      <c r="BI11">
        <v>8</v>
      </c>
      <c r="BJ11" s="107">
        <f t="shared" si="0"/>
        <v>1.027241813696114E-4</v>
      </c>
      <c r="BL11">
        <f>BH50+1</f>
        <v>7</v>
      </c>
      <c r="BM11">
        <v>7</v>
      </c>
      <c r="BN11" s="107">
        <f>$H$32*H46</f>
        <v>2.0882433172301872E-6</v>
      </c>
      <c r="BP11">
        <f>BP8+1</f>
        <v>4</v>
      </c>
      <c r="BQ11">
        <v>1</v>
      </c>
      <c r="BR11" s="107">
        <f>$H$29*H40</f>
        <v>1.2370956648622086E-2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 t="s">
        <v>131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1.2838162837568788E-5</v>
      </c>
      <c r="BL12">
        <f>BH54+1</f>
        <v>8</v>
      </c>
      <c r="BM12">
        <v>8</v>
      </c>
      <c r="BN12" s="107">
        <f>$H$33*H47</f>
        <v>3.9021485560951991E-8</v>
      </c>
      <c r="BP12">
        <f>BP9+1</f>
        <v>4</v>
      </c>
      <c r="BQ12">
        <v>2</v>
      </c>
      <c r="BR12" s="107">
        <f>$H$29*H41</f>
        <v>1.7693070341952815E-2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16</v>
      </c>
      <c r="K13" s="166"/>
      <c r="L13" s="10"/>
      <c r="M13" s="10"/>
      <c r="O13" s="67">
        <f>AI13</f>
        <v>9.7500000000000003E-2</v>
      </c>
      <c r="P13" s="16" t="str">
        <f>P2</f>
        <v>0,4</v>
      </c>
      <c r="Q13" s="16">
        <f t="shared" si="1"/>
        <v>3.9000000000000007E-2</v>
      </c>
      <c r="R13" s="157">
        <f t="shared" si="6"/>
        <v>3.9679986483061598E-2</v>
      </c>
      <c r="S13" s="176">
        <f t="shared" si="2"/>
        <v>0.96032001351693841</v>
      </c>
      <c r="T13" s="177">
        <f>R13*PRODUCT(S5:S12)*PRODUCT(S14:S19)</f>
        <v>3.5187805819058213E-2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8.8073805122243075E-4</v>
      </c>
      <c r="W13" s="186" t="s">
        <v>52</v>
      </c>
      <c r="X13" s="15" t="s">
        <v>53</v>
      </c>
      <c r="Y13" s="69">
        <f>AI13</f>
        <v>9.7500000000000003E-2</v>
      </c>
      <c r="Z13" s="19" t="str">
        <f>Z2</f>
        <v>0,4</v>
      </c>
      <c r="AA13" s="19">
        <f t="shared" si="3"/>
        <v>3.9000000000000007E-2</v>
      </c>
      <c r="AB13" s="157">
        <f t="shared" si="4"/>
        <v>4.4088873870068448E-2</v>
      </c>
      <c r="AC13" s="176">
        <f t="shared" si="5"/>
        <v>0.95591112612993157</v>
      </c>
      <c r="AD13" s="177">
        <f>AB13*PRODUCT(AC5:AC12)*PRODUCT(AC14:AC19)</f>
        <v>3.6125823954080913E-2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4.7797778021797062E-3</v>
      </c>
      <c r="AI13" s="194">
        <v>9.7500000000000003E-2</v>
      </c>
      <c r="BH13">
        <v>0</v>
      </c>
      <c r="BI13">
        <v>10</v>
      </c>
      <c r="BJ13" s="107">
        <f t="shared" si="0"/>
        <v>1.1644956370558273E-6</v>
      </c>
      <c r="BL13">
        <f>BH57+1</f>
        <v>9</v>
      </c>
      <c r="BM13">
        <v>9</v>
      </c>
      <c r="BN13" s="107">
        <f>$H$34*H48</f>
        <v>3.9845812774462483E-10</v>
      </c>
      <c r="BP13">
        <f>BL7+1</f>
        <v>4</v>
      </c>
      <c r="BQ13">
        <v>3</v>
      </c>
      <c r="BR13" s="107">
        <f>$H$29*H42</f>
        <v>1.5309527050755856E-2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144</v>
      </c>
      <c r="K14" s="166"/>
      <c r="L14" s="10"/>
      <c r="M14" s="10"/>
      <c r="O14" s="67">
        <f>IF(COUNTIF(F6:F18,"CAB")&gt;0,AI14,0)</f>
        <v>0</v>
      </c>
      <c r="P14" s="144">
        <v>0.95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7.0000000000000007E-2</v>
      </c>
      <c r="Z14" s="146">
        <v>0.95</v>
      </c>
      <c r="AA14" s="19">
        <f t="shared" si="3"/>
        <v>6.6500000000000004E-2</v>
      </c>
      <c r="AB14" s="157">
        <f t="shared" si="4"/>
        <v>7.5177182368193624E-2</v>
      </c>
      <c r="AC14" s="176">
        <f t="shared" si="5"/>
        <v>0.9248228176318064</v>
      </c>
      <c r="AD14" s="177">
        <f>AB14*PRODUCT(AC5:AC13)*PRODUCT(AC15:AC19)</f>
        <v>6.3669843108742491E-2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3.2484971750386415E-3</v>
      </c>
      <c r="AI14" s="194">
        <v>7.0000000000000007E-2</v>
      </c>
      <c r="BH14">
        <v>1</v>
      </c>
      <c r="BI14">
        <v>2</v>
      </c>
      <c r="BJ14" s="107">
        <f t="shared" ref="BJ14:BJ22" si="7">$H$26*H41</f>
        <v>8.6219141518256173E-2</v>
      </c>
      <c r="BL14">
        <f>BP39+1</f>
        <v>10</v>
      </c>
      <c r="BM14">
        <v>10</v>
      </c>
      <c r="BN14" s="107">
        <f>$H$35*H49</f>
        <v>2.1352538033368559E-12</v>
      </c>
      <c r="BP14">
        <f>BP10+1</f>
        <v>5</v>
      </c>
      <c r="BQ14">
        <v>0</v>
      </c>
      <c r="BR14" s="107">
        <f>$H$30*H39</f>
        <v>1.0806941043738686E-3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123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7.4604025974894905E-2</v>
      </c>
      <c r="BP15">
        <f>BP11+1</f>
        <v>5</v>
      </c>
      <c r="BQ15">
        <v>1</v>
      </c>
      <c r="BR15" s="107">
        <f>$H$30*H40</f>
        <v>3.3805740875054607E-3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21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4.3552992749633181E-2</v>
      </c>
      <c r="BP16">
        <f>BP12+1</f>
        <v>5</v>
      </c>
      <c r="BQ16">
        <v>2</v>
      </c>
      <c r="BR16" s="107">
        <f>$H$30*H41</f>
        <v>4.8349320772277694E-3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2.4418453220345592E-2</v>
      </c>
      <c r="S17" s="176">
        <f t="shared" si="2"/>
        <v>0.97558154677965436</v>
      </c>
      <c r="T17" s="177">
        <f>R17*PRODUCT(S5:S16)*PRODUCT(S18:S19)</f>
        <v>2.1315288945873343E-2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2.7131614689272884E-2</v>
      </c>
      <c r="AC17" s="176">
        <f t="shared" si="5"/>
        <v>0.97286838531072717</v>
      </c>
      <c r="AD17" s="177">
        <f>AB17*PRODUCT(AC5:AC16)*PRODUCT(AC18:AC19)</f>
        <v>2.1843781403989519E-2</v>
      </c>
      <c r="AE17" s="177">
        <f>AB17*AB18*PRODUCT(AC5:AC16)*AC19+AB17*AB19*PRODUCT(AC5:AC16)*AC18</f>
        <v>5.0530568291576523E-4</v>
      </c>
      <c r="AI17" s="194">
        <v>0.02</v>
      </c>
      <c r="BH17">
        <v>1</v>
      </c>
      <c r="BI17">
        <v>5</v>
      </c>
      <c r="BJ17" s="107">
        <f t="shared" si="7"/>
        <v>1.8111177919945154E-2</v>
      </c>
      <c r="BP17">
        <f>BP13+1</f>
        <v>5</v>
      </c>
      <c r="BQ17">
        <v>3</v>
      </c>
      <c r="BR17" s="107">
        <f>$H$30*H42</f>
        <v>4.1835883763697264E-3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147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44">
        <f>P14</f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0.04</v>
      </c>
      <c r="Z18" s="146">
        <v>0.5</v>
      </c>
      <c r="AA18" s="19">
        <f t="shared" si="3"/>
        <v>0.02</v>
      </c>
      <c r="AB18" s="157">
        <f t="shared" si="4"/>
        <v>2.2609678907727405E-2</v>
      </c>
      <c r="AC18" s="176">
        <f t="shared" si="5"/>
        <v>0.97739032109227264</v>
      </c>
      <c r="AD18" s="177">
        <f>AB18*PRODUCT(AC5:AC17)*PRODUCT(AC19:AC19)</f>
        <v>1.8118933556171973E-2</v>
      </c>
      <c r="AE18" s="177">
        <f>AB18*AB19*PRODUCT(AC5:AC17)</f>
        <v>0</v>
      </c>
      <c r="AI18" s="194">
        <v>0.02</v>
      </c>
      <c r="BH18">
        <v>1</v>
      </c>
      <c r="BI18">
        <v>6</v>
      </c>
      <c r="BJ18" s="107">
        <f t="shared" si="7"/>
        <v>5.5211169444202542E-3</v>
      </c>
      <c r="BP18">
        <f>BL8+1</f>
        <v>5</v>
      </c>
      <c r="BQ18">
        <v>4</v>
      </c>
      <c r="BR18" s="107">
        <f>$H$30*H43</f>
        <v>2.4423319230090258E-3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46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1.2508712001700962E-3</v>
      </c>
      <c r="BP19">
        <f>BP15+1</f>
        <v>6</v>
      </c>
      <c r="BQ19">
        <v>1</v>
      </c>
      <c r="BR19" s="107">
        <f>$H$31*H40</f>
        <v>6.7688830518091575E-4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0.8516019574304583</v>
      </c>
      <c r="T20" s="181">
        <f>SUM(T5:T19)</f>
        <v>0.13908316663075784</v>
      </c>
      <c r="U20" s="181">
        <f>SUM(U5:U19)</f>
        <v>9.0151014656812446E-3</v>
      </c>
      <c r="V20" s="181">
        <f>1-S20-T20-U20</f>
        <v>2.9977447310261182E-4</v>
      </c>
      <c r="W20" s="21"/>
      <c r="X20" s="22"/>
      <c r="Y20" s="22"/>
      <c r="Z20" s="22"/>
      <c r="AA20" s="22"/>
      <c r="AB20" s="23"/>
      <c r="AC20" s="184">
        <f>PRODUCT(AC5:AC19)</f>
        <v>0.78326058315953828</v>
      </c>
      <c r="AD20" s="181">
        <f>SUM(AD5:AD19)</f>
        <v>0.19554561670154361</v>
      </c>
      <c r="AE20" s="181">
        <f>SUM(AE5:AE19)</f>
        <v>2.0035413595990169E-2</v>
      </c>
      <c r="AF20" s="181">
        <f>1-AC20-AD20-AE20</f>
        <v>1.158386542927943E-3</v>
      </c>
      <c r="BH20">
        <v>1</v>
      </c>
      <c r="BI20">
        <v>8</v>
      </c>
      <c r="BJ20" s="107">
        <f t="shared" si="7"/>
        <v>2.1122924432563257E-4</v>
      </c>
      <c r="BP20">
        <f>BP16+1</f>
        <v>6</v>
      </c>
      <c r="BQ20">
        <v>2</v>
      </c>
      <c r="BR20" s="107">
        <f>$H$31*H41</f>
        <v>9.6809266553731844E-4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0.8516019574304583</v>
      </c>
      <c r="T21" s="183">
        <f>T20*V1</f>
        <v>0.13908316663075784</v>
      </c>
      <c r="U21" s="183">
        <f>U20*V1</f>
        <v>9.0151014656812446E-3</v>
      </c>
      <c r="V21" s="183">
        <f>V20*V1</f>
        <v>2.9977447310261182E-4</v>
      </c>
      <c r="W21" s="21"/>
      <c r="X21" s="22"/>
      <c r="Y21" s="22"/>
      <c r="Z21" s="22"/>
      <c r="AA21" s="22"/>
      <c r="AB21" s="23"/>
      <c r="AC21" s="185">
        <f>1-AD21-AE21-AF21</f>
        <v>0.78326058315953828</v>
      </c>
      <c r="AD21" s="183">
        <f>AD20*V1</f>
        <v>0.19554561670154361</v>
      </c>
      <c r="AE21" s="183">
        <f>AE20*V1</f>
        <v>2.0035413595990169E-2</v>
      </c>
      <c r="AF21" s="183">
        <f>AF20*V1</f>
        <v>1.158386542927943E-3</v>
      </c>
      <c r="BH21" s="18">
        <v>1</v>
      </c>
      <c r="BI21">
        <v>9</v>
      </c>
      <c r="BJ21" s="107">
        <f t="shared" si="7"/>
        <v>2.6398803072002836E-5</v>
      </c>
      <c r="BP21">
        <f>BP17+1</f>
        <v>6</v>
      </c>
      <c r="BQ21">
        <v>3</v>
      </c>
      <c r="BR21" s="107">
        <f>$H$31*H42</f>
        <v>8.3767489555157078E-4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2.3945241534780899E-6</v>
      </c>
      <c r="BP22">
        <f>BP18+1</f>
        <v>6</v>
      </c>
      <c r="BQ22">
        <v>4</v>
      </c>
      <c r="BR22" s="107">
        <f>$H$31*H43</f>
        <v>4.890251990527203E-4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0.99999998842821092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7.0141308766121985E-2</v>
      </c>
      <c r="BP23">
        <f>BL9+1</f>
        <v>6</v>
      </c>
      <c r="BQ23">
        <v>5</v>
      </c>
      <c r="BR23" s="107">
        <f>$H$31*H44</f>
        <v>2.0335737748940357E-4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4.0947708548177947E-2</v>
      </c>
      <c r="BP24">
        <f>BH49+1</f>
        <v>7</v>
      </c>
      <c r="BQ24">
        <v>0</v>
      </c>
      <c r="BR24" s="107">
        <f t="shared" ref="BR24:BR30" si="10">$H$32*H39</f>
        <v>3.2172484913216544E-5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0.15029855219678598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0.8516019574304583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1.7027790471100424E-2</v>
      </c>
      <c r="BP25">
        <f>BP19+1</f>
        <v>7</v>
      </c>
      <c r="BQ25">
        <v>1</v>
      </c>
      <c r="BR25" s="107">
        <f t="shared" si="10"/>
        <v>1.0064038323896874E-4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0.3090552699518081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0.13908316663075784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5.1908508055954761E-3</v>
      </c>
      <c r="BP26">
        <f>BP20+1</f>
        <v>7</v>
      </c>
      <c r="BQ26">
        <v>2</v>
      </c>
      <c r="BR26" s="107">
        <f t="shared" si="10"/>
        <v>1.4393691857989785E-4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0.2905679798404136</v>
      </c>
      <c r="I27" s="93">
        <v>2</v>
      </c>
      <c r="J27" s="86">
        <f t="shared" si="11"/>
        <v>0.2847705100733125</v>
      </c>
      <c r="K27" s="93">
        <v>2</v>
      </c>
      <c r="L27" s="86">
        <f>U21</f>
        <v>9.0151014656812446E-3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1.1760456883024657E-3</v>
      </c>
      <c r="BP27">
        <f>BP21+1</f>
        <v>7</v>
      </c>
      <c r="BQ27">
        <v>3</v>
      </c>
      <c r="BR27" s="107">
        <f t="shared" si="10"/>
        <v>1.2454628314998117E-4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0.16527770193599048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2.9977447310261182E-4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1.9859378167693699E-4</v>
      </c>
      <c r="BP28">
        <f>BP22+1</f>
        <v>7</v>
      </c>
      <c r="BQ28">
        <v>4</v>
      </c>
      <c r="BR28" s="107">
        <f t="shared" si="10"/>
        <v>7.2708721763222955E-5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6.3421376442848537E-2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2.481966050937386E-5</v>
      </c>
      <c r="BP29">
        <f>BP23+1</f>
        <v>7</v>
      </c>
      <c r="BQ29">
        <v>5</v>
      </c>
      <c r="BR29" s="107">
        <f t="shared" si="10"/>
        <v>3.023536416327234E-5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1.7330968645864878E-2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2.251286787841213E-6</v>
      </c>
      <c r="BP30">
        <f>BL10+1</f>
        <v>7</v>
      </c>
      <c r="BQ30">
        <v>6</v>
      </c>
      <c r="BR30" s="107">
        <f t="shared" si="10"/>
        <v>9.2171244819323914E-6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3.4701591180033909E-3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2.3291427954671946E-2</v>
      </c>
      <c r="BP31">
        <f t="shared" ref="BP31:BP37" si="17">BP24+1</f>
        <v>8</v>
      </c>
      <c r="BQ31">
        <v>0</v>
      </c>
      <c r="BR31" s="107">
        <f t="shared" ref="BR31:BR38" si="18">$H$33*H39</f>
        <v>3.5601299685655651E-6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5.1594648757112181E-4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9.6855616357202148E-3</v>
      </c>
      <c r="BP32">
        <f t="shared" si="17"/>
        <v>8</v>
      </c>
      <c r="BQ32">
        <v>1</v>
      </c>
      <c r="BR32" s="107">
        <f t="shared" si="18"/>
        <v>1.1136623278663456E-5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5.7093400075650171E-5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2.9526030112216784E-3</v>
      </c>
      <c r="BP33">
        <f t="shared" si="17"/>
        <v>8</v>
      </c>
      <c r="BQ33">
        <v>2</v>
      </c>
      <c r="BR33" s="107">
        <f t="shared" si="18"/>
        <v>1.5927713970541537E-5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4.6648169577509635E-6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6.6894545242430462E-4</v>
      </c>
      <c r="BP34">
        <f t="shared" si="17"/>
        <v>8</v>
      </c>
      <c r="BQ34">
        <v>3</v>
      </c>
      <c r="BR34" s="107">
        <f t="shared" si="18"/>
        <v>1.3781992790166795E-5</v>
      </c>
    </row>
    <row r="35" spans="1:70" ht="15.75" thickBot="1" x14ac:dyDescent="0.3">
      <c r="G35" s="88">
        <v>10</v>
      </c>
      <c r="H35" s="129">
        <f>J35*L25+J34*L26+J33*L27+J32*L28</f>
        <v>2.7559189146092497E-7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1.1296194395669183E-4</v>
      </c>
      <c r="BP35">
        <f t="shared" si="17"/>
        <v>8</v>
      </c>
      <c r="BQ35">
        <v>4</v>
      </c>
      <c r="BR35" s="107">
        <f t="shared" si="18"/>
        <v>8.0457726539801102E-6</v>
      </c>
    </row>
    <row r="36" spans="1:70" x14ac:dyDescent="0.25">
      <c r="A36" s="1"/>
      <c r="B36" s="108">
        <f>SUM(B37:B39)</f>
        <v>0.99999920346153481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1.4117647973715998E-5</v>
      </c>
      <c r="BP36">
        <f t="shared" si="17"/>
        <v>8</v>
      </c>
      <c r="BQ36">
        <v>5</v>
      </c>
      <c r="BR36" s="107">
        <f t="shared" si="18"/>
        <v>3.3457728353441423E-6</v>
      </c>
    </row>
    <row r="37" spans="1:70" ht="15.75" thickBot="1" x14ac:dyDescent="0.3">
      <c r="A37" s="109" t="s">
        <v>104</v>
      </c>
      <c r="B37" s="107">
        <f>SUM(BN4:BN14)</f>
        <v>0.20063220186304762</v>
      </c>
      <c r="G37" s="13"/>
      <c r="H37" s="59">
        <f>SUM(H39:H49)</f>
        <v>0.99999949062293336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1.2805523406178898E-6</v>
      </c>
      <c r="BP37">
        <f t="shared" si="17"/>
        <v>8</v>
      </c>
      <c r="BQ37">
        <v>6</v>
      </c>
      <c r="BR37" s="107">
        <f t="shared" si="18"/>
        <v>1.0199448746542645E-6</v>
      </c>
    </row>
    <row r="38" spans="1:70" ht="15.75" thickBot="1" x14ac:dyDescent="0.3">
      <c r="A38" s="110" t="s">
        <v>105</v>
      </c>
      <c r="B38" s="107">
        <f>SUM(BJ4:BJ59)</f>
        <v>0.54764432643404404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3.7166032886718232E-3</v>
      </c>
      <c r="BP38">
        <f>BL11+1</f>
        <v>8</v>
      </c>
      <c r="BQ38">
        <v>7</v>
      </c>
      <c r="BR38" s="107">
        <f t="shared" si="18"/>
        <v>2.3107999383267654E-7</v>
      </c>
    </row>
    <row r="39" spans="1:70" x14ac:dyDescent="0.25">
      <c r="A39" s="111" t="s">
        <v>0</v>
      </c>
      <c r="B39" s="107">
        <f>SUM(BR4:BR47)</f>
        <v>0.25172267516444313</v>
      </c>
      <c r="G39" s="130">
        <v>0</v>
      </c>
      <c r="H39" s="131">
        <f>L39*J39</f>
        <v>6.2356243696264448E-2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0.78326058315953828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1.1329909895135184E-3</v>
      </c>
      <c r="BP39">
        <f t="shared" ref="BP39:BP46" si="34">BP31+1</f>
        <v>9</v>
      </c>
      <c r="BQ39">
        <v>0</v>
      </c>
      <c r="BR39" s="107">
        <f t="shared" ref="BR39:BR47" si="35">$H$34*H39</f>
        <v>2.9088046301598601E-7</v>
      </c>
    </row>
    <row r="40" spans="1:70" x14ac:dyDescent="0.25">
      <c r="G40" s="91">
        <v>1</v>
      </c>
      <c r="H40" s="132">
        <f>L39*J40+L40*J39</f>
        <v>0.19505973131582904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0.19554561670154361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2.5669186382059071E-4</v>
      </c>
      <c r="BP40">
        <f t="shared" si="34"/>
        <v>9</v>
      </c>
      <c r="BQ40">
        <v>1</v>
      </c>
      <c r="BR40" s="107">
        <f t="shared" si="35"/>
        <v>9.09917942416426E-7</v>
      </c>
    </row>
    <row r="41" spans="1:70" x14ac:dyDescent="0.25">
      <c r="G41" s="91">
        <v>2</v>
      </c>
      <c r="H41" s="132">
        <f>L39*J41+J40*L40+J39*L41</f>
        <v>0.27897644823109014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2.0035413595990169E-2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4.3346451986414341E-5</v>
      </c>
      <c r="BP41">
        <f t="shared" si="34"/>
        <v>9</v>
      </c>
      <c r="BQ41">
        <v>2</v>
      </c>
      <c r="BR41" s="107">
        <f t="shared" si="35"/>
        <v>1.3013740665215232E-6</v>
      </c>
    </row>
    <row r="42" spans="1:70" ht="15" customHeight="1" x14ac:dyDescent="0.25">
      <c r="G42" s="91">
        <v>3</v>
      </c>
      <c r="H42" s="132">
        <f>J42*L39+J41*L40+L42*J39+L41*J40</f>
        <v>0.24139379984210632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1.158386542927943E-3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5.417310720930883E-6</v>
      </c>
      <c r="BP42">
        <f t="shared" si="34"/>
        <v>9</v>
      </c>
      <c r="BQ42">
        <v>3</v>
      </c>
      <c r="BR42" s="107">
        <f t="shared" si="35"/>
        <v>1.1260578909993994E-6</v>
      </c>
    </row>
    <row r="43" spans="1:70" ht="15" customHeight="1" x14ac:dyDescent="0.25">
      <c r="G43" s="91">
        <v>4</v>
      </c>
      <c r="H43" s="132">
        <f>J43*L39+J42*L40+J41*L41+J40*L42</f>
        <v>0.14092299010602385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4.9138142107367325E-7</v>
      </c>
      <c r="BP43">
        <f t="shared" si="34"/>
        <v>9</v>
      </c>
      <c r="BQ43">
        <v>4</v>
      </c>
      <c r="BR43" s="107">
        <f t="shared" si="35"/>
        <v>6.5737995398355133E-7</v>
      </c>
    </row>
    <row r="44" spans="1:70" ht="15" customHeight="1" thickBot="1" x14ac:dyDescent="0.3">
      <c r="G44" s="91">
        <v>5</v>
      </c>
      <c r="H44" s="132">
        <f>J44*L39+J43*L40+J42*L41+J41*L42</f>
        <v>5.8601744350676443E-2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3.0960903746705682E-4</v>
      </c>
      <c r="BP44">
        <f t="shared" si="34"/>
        <v>9</v>
      </c>
      <c r="BQ44">
        <v>5</v>
      </c>
      <c r="BR44" s="107">
        <f t="shared" si="35"/>
        <v>2.7336641080082218E-7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1.7864497004957004E-2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7.0145412998599729E-5</v>
      </c>
      <c r="BP45">
        <f t="shared" si="34"/>
        <v>9</v>
      </c>
      <c r="BQ45">
        <v>6</v>
      </c>
      <c r="BR45" s="107">
        <f t="shared" si="35"/>
        <v>8.333460857041473E-8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4.0474029139355829E-3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1.1845154464015806E-5</v>
      </c>
      <c r="BP46">
        <f t="shared" si="34"/>
        <v>9</v>
      </c>
      <c r="BQ46">
        <v>7</v>
      </c>
      <c r="BR46" s="107">
        <f t="shared" si="35"/>
        <v>1.8880393747777372E-8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6.8346753756559522E-4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1.4803721949170597E-6</v>
      </c>
      <c r="BP47">
        <f>BL12+1</f>
        <v>9</v>
      </c>
      <c r="BQ47">
        <v>8</v>
      </c>
      <c r="BR47" s="107">
        <f t="shared" si="35"/>
        <v>3.1882509593082824E-9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8.5417741221883322E-5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1.3427832190716581E-7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7.7478832632476224E-6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2.1638608762703353E-4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1.4045132126027057E-5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2.3717411073425755E-6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2.964131535403725E-7</v>
      </c>
    </row>
    <row r="53" spans="1:62" x14ac:dyDescent="0.25">
      <c r="BH53">
        <f>BH48+1</f>
        <v>6</v>
      </c>
      <c r="BI53">
        <v>10</v>
      </c>
      <c r="BJ53" s="107">
        <f>$H$31*H49</f>
        <v>2.6886387751184602E-8</v>
      </c>
    </row>
    <row r="54" spans="1:62" x14ac:dyDescent="0.25">
      <c r="BH54">
        <f>BH51+1</f>
        <v>7</v>
      </c>
      <c r="BI54">
        <v>8</v>
      </c>
      <c r="BJ54" s="107">
        <f>$H$32*H47</f>
        <v>3.5263267537585262E-7</v>
      </c>
    </row>
    <row r="55" spans="1:62" x14ac:dyDescent="0.25">
      <c r="BH55">
        <f>BH52+1</f>
        <v>7</v>
      </c>
      <c r="BI55">
        <v>9</v>
      </c>
      <c r="BJ55" s="107">
        <f>$H$32*H48</f>
        <v>4.4070983559689721E-8</v>
      </c>
    </row>
    <row r="56" spans="1:62" x14ac:dyDescent="0.25">
      <c r="BH56">
        <f>BH53+1</f>
        <v>7</v>
      </c>
      <c r="BI56">
        <v>10</v>
      </c>
      <c r="BJ56" s="107">
        <f>$H$32*H49</f>
        <v>3.9974931557836917E-9</v>
      </c>
    </row>
    <row r="57" spans="1:62" x14ac:dyDescent="0.25">
      <c r="BH57">
        <f>BH55+1</f>
        <v>8</v>
      </c>
      <c r="BI57">
        <v>9</v>
      </c>
      <c r="BJ57" s="107">
        <f>$H$33*H48</f>
        <v>4.8767892731393398E-9</v>
      </c>
    </row>
    <row r="58" spans="1:62" x14ac:dyDescent="0.25">
      <c r="BH58">
        <f>BH56+1</f>
        <v>8</v>
      </c>
      <c r="BI58">
        <v>10</v>
      </c>
      <c r="BJ58" s="107">
        <f>$H$33*H49</f>
        <v>4.4235299888803051E-10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3.6142457233072381E-11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6" t="s">
        <v>135</v>
      </c>
      <c r="Q1" s="196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198" t="s">
        <v>130</v>
      </c>
      <c r="C3" s="198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27" priority="14" operator="greaterThan">
      <formula>0.15</formula>
    </cfRule>
  </conditionalFormatting>
  <conditionalFormatting sqref="V34">
    <cfRule type="cellIs" dxfId="26" priority="13" operator="greaterThan">
      <formula>0.15</formula>
    </cfRule>
  </conditionalFormatting>
  <conditionalFormatting sqref="V48">
    <cfRule type="cellIs" dxfId="25" priority="12" operator="greaterThan">
      <formula>0.15</formula>
    </cfRule>
  </conditionalFormatting>
  <conditionalFormatting sqref="V24:V34 V38:V48">
    <cfRule type="cellIs" dxfId="24" priority="11" operator="greaterThan">
      <formula>0.15</formula>
    </cfRule>
  </conditionalFormatting>
  <conditionalFormatting sqref="V34">
    <cfRule type="cellIs" dxfId="23" priority="10" operator="greaterThan">
      <formula>0.15</formula>
    </cfRule>
  </conditionalFormatting>
  <conditionalFormatting sqref="V48">
    <cfRule type="cellIs" dxfId="22" priority="9" operator="greaterThan">
      <formula>0.15</formula>
    </cfRule>
  </conditionalFormatting>
  <conditionalFormatting sqref="H24:H34">
    <cfRule type="cellIs" dxfId="21" priority="8" operator="greaterThan">
      <formula>0.15</formula>
    </cfRule>
  </conditionalFormatting>
  <conditionalFormatting sqref="H34">
    <cfRule type="cellIs" dxfId="20" priority="7" operator="greaterThan">
      <formula>0.15</formula>
    </cfRule>
  </conditionalFormatting>
  <conditionalFormatting sqref="H24:H34">
    <cfRule type="cellIs" dxfId="19" priority="6" operator="greaterThan">
      <formula>0.15</formula>
    </cfRule>
  </conditionalFormatting>
  <conditionalFormatting sqref="H34">
    <cfRule type="cellIs" dxfId="18" priority="5" operator="greaterThan">
      <formula>0.15</formula>
    </cfRule>
  </conditionalFormatting>
  <conditionalFormatting sqref="H38:H48">
    <cfRule type="cellIs" dxfId="17" priority="4" operator="greaterThan">
      <formula>0.15</formula>
    </cfRule>
  </conditionalFormatting>
  <conditionalFormatting sqref="H48">
    <cfRule type="cellIs" dxfId="16" priority="3" operator="greaterThan">
      <formula>0.15</formula>
    </cfRule>
  </conditionalFormatting>
  <conditionalFormatting sqref="H38:H48">
    <cfRule type="cellIs" dxfId="15" priority="2" operator="greaterThan">
      <formula>0.15</formula>
    </cfRule>
  </conditionalFormatting>
  <conditionalFormatting sqref="H48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OBIWAN-Agricola</vt:lpstr>
      <vt:lpstr>SIMULADOR</vt:lpstr>
      <vt:lpstr>SIMULADOR&gt;22-12-17</vt:lpstr>
      <vt:lpstr>SIMULADOR_sinJC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2017-11-13T11:32:41Z</dcterms:modified>
</cp:coreProperties>
</file>