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0D75328D-4042-4E06-8A35-451A843A56A5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Plantilla" sheetId="1" r:id="rId1"/>
    <sheet name="Juvenils" sheetId="3" r:id="rId2"/>
    <sheet name="Economia" sheetId="5" r:id="rId3"/>
    <sheet name="Ahch-To" sheetId="4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" i="5" l="1"/>
  <c r="R18" i="5" l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Q18" i="5"/>
  <c r="AD15" i="5"/>
  <c r="AE15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Q15" i="5"/>
  <c r="X5" i="3" l="1"/>
  <c r="E5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Q7" i="5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Q11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/>
  <c r="M11" i="5" l="1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3" i="1"/>
  <c r="V23" i="1"/>
  <c r="AR6" i="1"/>
  <c r="Z6" i="1"/>
  <c r="AR5" i="1"/>
  <c r="Z5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9" i="3"/>
  <c r="C5" i="3" s="1"/>
  <c r="X26" i="3"/>
  <c r="E26" i="3"/>
  <c r="X25" i="3"/>
  <c r="E25" i="3"/>
  <c r="X10" i="3"/>
  <c r="E10" i="3"/>
  <c r="X24" i="3"/>
  <c r="E24" i="3"/>
  <c r="X11" i="3"/>
  <c r="E11" i="3"/>
  <c r="X22" i="3"/>
  <c r="E22" i="3"/>
  <c r="X23" i="3"/>
  <c r="E23" i="3"/>
  <c r="X21" i="3"/>
  <c r="E21" i="3"/>
  <c r="X20" i="3"/>
  <c r="E20" i="3"/>
  <c r="X19" i="3"/>
  <c r="E19" i="3"/>
  <c r="X18" i="3"/>
  <c r="E18" i="3"/>
  <c r="X17" i="3"/>
  <c r="E17" i="3"/>
  <c r="X16" i="3"/>
  <c r="E16" i="3"/>
  <c r="X15" i="3"/>
  <c r="E15" i="3"/>
  <c r="X9" i="3"/>
  <c r="E9" i="3"/>
  <c r="X4" i="3"/>
  <c r="E4" i="3"/>
  <c r="AI8" i="3"/>
  <c r="AI14" i="3" s="1"/>
  <c r="Y8" i="3"/>
  <c r="Y14" i="3" s="1"/>
  <c r="X8" i="3"/>
  <c r="X14" i="3" s="1"/>
  <c r="W8" i="3"/>
  <c r="W14" i="3" s="1"/>
  <c r="V8" i="3"/>
  <c r="V14" i="3" s="1"/>
  <c r="F8" i="3"/>
  <c r="F14" i="3" s="1"/>
  <c r="AY22" i="1"/>
  <c r="AQ22" i="1"/>
  <c r="AP22" i="1"/>
  <c r="Y22" i="1"/>
  <c r="W22" i="1"/>
  <c r="U22" i="1"/>
  <c r="T22" i="1"/>
  <c r="Q22" i="1"/>
  <c r="O22" i="1"/>
  <c r="N22" i="1"/>
  <c r="M22" i="1"/>
  <c r="AI22" i="1" s="1"/>
  <c r="J22" i="1"/>
  <c r="AY21" i="1"/>
  <c r="AQ21" i="1"/>
  <c r="AP21" i="1"/>
  <c r="Y21" i="1"/>
  <c r="W21" i="1"/>
  <c r="U21" i="1"/>
  <c r="T21" i="1"/>
  <c r="Q21" i="1"/>
  <c r="O21" i="1"/>
  <c r="N21" i="1"/>
  <c r="M21" i="1"/>
  <c r="AO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K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M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J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O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L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I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O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K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M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O8" i="1" s="1"/>
  <c r="J8" i="1"/>
  <c r="AY7" i="1"/>
  <c r="AQ7" i="1"/>
  <c r="AP7" i="1"/>
  <c r="Y7" i="1"/>
  <c r="W7" i="1"/>
  <c r="U7" i="1"/>
  <c r="T7" i="1"/>
  <c r="Q7" i="1"/>
  <c r="O7" i="1"/>
  <c r="N7" i="1"/>
  <c r="M7" i="1"/>
  <c r="AL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T2" i="1" s="1"/>
  <c r="Q4" i="1"/>
  <c r="O4" i="1"/>
  <c r="N4" i="1"/>
  <c r="M4" i="1"/>
  <c r="AK4" i="1" s="1"/>
  <c r="J4" i="1"/>
  <c r="D1" i="1"/>
  <c r="W23" i="1" l="1"/>
  <c r="J8" i="4"/>
  <c r="K8" i="4"/>
  <c r="AN8" i="1"/>
  <c r="I12" i="4"/>
  <c r="U2" i="1"/>
  <c r="AN20" i="1"/>
  <c r="B17" i="4"/>
  <c r="I10" i="4"/>
  <c r="C9" i="4"/>
  <c r="C25" i="3"/>
  <c r="C26" i="3"/>
  <c r="AM17" i="1"/>
  <c r="AM7" i="1"/>
  <c r="AN12" i="1"/>
  <c r="AL12" i="1"/>
  <c r="AL4" i="1"/>
  <c r="AN16" i="1"/>
  <c r="AN4" i="1"/>
  <c r="Y23" i="1"/>
  <c r="AL18" i="1"/>
  <c r="AL8" i="1"/>
  <c r="AN18" i="1"/>
  <c r="AL16" i="1"/>
  <c r="AL20" i="1"/>
  <c r="F15" i="1"/>
  <c r="C15" i="1" s="1"/>
  <c r="F22" i="1"/>
  <c r="C22" i="1" s="1"/>
  <c r="AL10" i="1"/>
  <c r="AI9" i="1"/>
  <c r="AJ5" i="1"/>
  <c r="AO7" i="1"/>
  <c r="AJ8" i="1"/>
  <c r="AJ12" i="1"/>
  <c r="AK17" i="1"/>
  <c r="AK7" i="1"/>
  <c r="AJ16" i="1"/>
  <c r="AJ20" i="1"/>
  <c r="AK15" i="1"/>
  <c r="AJ14" i="1"/>
  <c r="AN5" i="1"/>
  <c r="AJ10" i="1"/>
  <c r="AL14" i="1"/>
  <c r="AO15" i="1"/>
  <c r="AL5" i="1"/>
  <c r="AI11" i="1"/>
  <c r="AM15" i="1"/>
  <c r="AN14" i="1"/>
  <c r="AJ22" i="1"/>
  <c r="AJ4" i="1"/>
  <c r="AN10" i="1"/>
  <c r="AJ18" i="1"/>
  <c r="AL22" i="1"/>
  <c r="F8" i="1"/>
  <c r="C8" i="1" s="1"/>
  <c r="C15" i="3"/>
  <c r="C19" i="3"/>
  <c r="C17" i="3"/>
  <c r="C20" i="3"/>
  <c r="C22" i="3"/>
  <c r="C10" i="3"/>
  <c r="C4" i="3"/>
  <c r="C21" i="3"/>
  <c r="C16" i="3"/>
  <c r="C11" i="3"/>
  <c r="F6" i="1"/>
  <c r="C6" i="1" s="1"/>
  <c r="C9" i="3"/>
  <c r="C23" i="3"/>
  <c r="C18" i="3"/>
  <c r="A30" i="3"/>
  <c r="AK9" i="1"/>
  <c r="AN6" i="1"/>
  <c r="AL6" i="1"/>
  <c r="AK6" i="1"/>
  <c r="AJ6" i="1"/>
  <c r="AI6" i="1"/>
  <c r="AO11" i="1"/>
  <c r="AN21" i="1"/>
  <c r="AM21" i="1"/>
  <c r="AL21" i="1"/>
  <c r="AK21" i="1"/>
  <c r="AJ21" i="1"/>
  <c r="AI21" i="1"/>
  <c r="AN13" i="1"/>
  <c r="AL13" i="1"/>
  <c r="AK13" i="1"/>
  <c r="AJ13" i="1"/>
  <c r="AM13" i="1"/>
  <c r="AO6" i="1"/>
  <c r="AJ9" i="1"/>
  <c r="AO9" i="1"/>
  <c r="AN9" i="1"/>
  <c r="AL9" i="1"/>
  <c r="AN11" i="1"/>
  <c r="AM11" i="1"/>
  <c r="AL11" i="1"/>
  <c r="AJ11" i="1"/>
  <c r="AI13" i="1"/>
  <c r="AO19" i="1"/>
  <c r="AN19" i="1"/>
  <c r="AM19" i="1"/>
  <c r="AL19" i="1"/>
  <c r="AJ19" i="1"/>
  <c r="AI19" i="1"/>
  <c r="F16" i="1"/>
  <c r="C16" i="1" s="1"/>
  <c r="F19" i="1"/>
  <c r="C19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F7" i="1"/>
  <c r="C7" i="1" s="1"/>
  <c r="F21" i="1"/>
  <c r="C21" i="1" s="1"/>
  <c r="B13" i="4"/>
  <c r="B10" i="4" s="1"/>
  <c r="AM4" i="1"/>
  <c r="AK5" i="1"/>
  <c r="AN7" i="1"/>
  <c r="AI8" i="1"/>
  <c r="AO10" i="1"/>
  <c r="AM12" i="1"/>
  <c r="AK14" i="1"/>
  <c r="AN15" i="1"/>
  <c r="AI16" i="1"/>
  <c r="AL17" i="1"/>
  <c r="AO18" i="1"/>
  <c r="AM20" i="1"/>
  <c r="AK22" i="1"/>
  <c r="AO4" i="1"/>
  <c r="AM5" i="1"/>
  <c r="AK8" i="1"/>
  <c r="AI10" i="1"/>
  <c r="AO12" i="1"/>
  <c r="AM14" i="1"/>
  <c r="AK16" i="1"/>
  <c r="AN17" i="1"/>
  <c r="AI18" i="1"/>
  <c r="AO20" i="1"/>
  <c r="AM22" i="1"/>
  <c r="AI15" i="1"/>
  <c r="AO17" i="1"/>
  <c r="AN22" i="1"/>
  <c r="AI7" i="1"/>
  <c r="AI4" i="1"/>
  <c r="AO5" i="1"/>
  <c r="AJ7" i="1"/>
  <c r="AM8" i="1"/>
  <c r="AK10" i="1"/>
  <c r="AI12" i="1"/>
  <c r="AO14" i="1"/>
  <c r="AJ15" i="1"/>
  <c r="AM16" i="1"/>
  <c r="AK18" i="1"/>
  <c r="AI20" i="1"/>
  <c r="AO22" i="1"/>
  <c r="B30" i="4"/>
  <c r="C30" i="4" s="1"/>
  <c r="AI17" i="1"/>
  <c r="C20" i="4"/>
  <c r="C24" i="4" s="1"/>
  <c r="C18" i="4"/>
  <c r="C21" i="4"/>
  <c r="C25" i="4" s="1"/>
  <c r="B22" i="4"/>
  <c r="B26" i="4" s="1"/>
  <c r="C24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<sst xmlns="http://schemas.openxmlformats.org/spreadsheetml/2006/main" count="499" uniqueCount="289">
  <si>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</si>
  <si>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</si>
  <si>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</si>
  <si>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</si>
  <si>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</si>
  <si>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</si>
  <si>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</si>
  <si>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</si>
  <si>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</si>
  <si>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</si>
  <si>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</si>
  <si>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</si>
  <si>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</si>
  <si>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</si>
  <si>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</si>
  <si>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</si>
  <si>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</si>
  <si>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</si>
  <si>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</si>
  <si>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</si>
  <si>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</si>
  <si>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</si>
  <si>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</si>
  <si>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</si>
  <si>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</si>
  <si>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</si>
  <si>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</si>
  <si>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</si>
  <si>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</si>
  <si>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</si>
  <si>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</si>
  <si>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</si>
  <si>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</si>
  <si>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</si>
  <si>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</si>
  <si>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</si>
  <si>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</si>
  <si>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</si>
  <si>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</si>
  <si>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</si>
  <si>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</si>
  <si>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</si>
  <si>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</si>
  <si>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</si>
  <si>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</si>
  <si>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</si>
  <si>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</si>
  <si>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</si>
  <si>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</si>
  <si>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</si>
  <si>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</si>
  <si>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</si>
  <si>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</si>
  <si>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</si>
  <si>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</si>
  <si>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</si>
  <si>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</si>
  <si>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</si>
  <si>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</si>
  <si>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</si>
  <si>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</si>
  <si>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</si>
  <si>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</si>
  <si>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</si>
  <si>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</si>
  <si>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</si>
  <si>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</si>
  <si>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</si>
  <si>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</si>
  <si>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</si>
  <si>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</si>
  <si>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</si>
  <si>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</si>
  <si>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</si>
  <si>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</si>
  <si>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</si>
  <si>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</si>
  <si>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</si>
  <si>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</si>
  <si>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</si>
  <si>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</si>
  <si>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</si>
  <si>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</si>
  <si>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</si>
  <si>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</si>
  <si>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</si>
  <si>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</si>
  <si>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</si>
  <si>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</si>
  <si>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</si>
  <si>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</si>
  <si>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</si>
  <si>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</si>
  <si>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</si>
  <si>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</si>
  <si>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</si>
  <si>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</si>
  <si>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</si>
  <si>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</si>
  <si>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</si>
  <si>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</si>
  <si>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</si>
  <si>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</si>
  <si>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</si>
  <si>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</si>
  <si>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</si>
  <si>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</si>
  <si>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</si>
  <si>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</si>
  <si>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</si>
  <si>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</si>
  <si>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</si>
  <si>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</si>
  <si>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</si>
  <si>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</si>
  <si>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</si>
  <si>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</si>
  <si>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</si>
  <si>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</si>
  <si>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</si>
  <si>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</si>
  <si>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</si>
  <si>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</si>
  <si>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</si>
  <si>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</si>
  <si>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</si>
  <si>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</si>
  <si>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</si>
  <si>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</si>
  <si>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</si>
  <si>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</si>
  <si>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</si>
  <si>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</si>
  <si>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</si>
  <si>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</si>
  <si>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</si>
  <si>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</si>
  <si>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</si>
  <si>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</si>
  <si>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</si>
  <si>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</si>
  <si>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</si>
  <si>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</si>
  <si>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</si>
  <si>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</si>
  <si>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</si>
  <si>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</si>
  <si>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</si>
  <si>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</si>
  <si>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</si>
  <si>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</si>
  <si>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</si>
  <si>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</si>
  <si>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</si>
  <si>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</si>
  <si>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</si>
  <si>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</si>
  <si>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</si>
  <si>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</si>
  <si>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</si>
  <si>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</si>
  <si>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</si>
  <si>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</si>
  <si>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</si>
  <si>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</si>
  <si>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</si>
  <si>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</si>
  <si>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</si>
  <si>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</si>
  <si>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</si>
  <si>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</si>
  <si>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</si>
  <si>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</si>
  <si>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</si>
  <si>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</si>
  <si>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</si>
  <si>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</si>
  <si>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</si>
  <si>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</si>
  <si>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</si>
  <si>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</si>
  <si>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</si>
  <si>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</si>
  <si>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</si>
  <si>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</si>
  <si>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</si>
  <si>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</si>
  <si>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</si>
  <si>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</si>
  <si>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</si>
  <si>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</si>
  <si>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</si>
  <si>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</si>
  <si>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</si>
  <si>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</si>
  <si>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</si>
  <si>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</si>
  <si>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</si>
  <si>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</si>
  <si>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</si>
  <si>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</si>
  <si>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</si>
  <si>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</si>
  <si>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</si>
  <si>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</si>
  <si>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</si>
  <si>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</si>
  <si>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</si>
  <si>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</si>
  <si>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</si>
  <si>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</si>
  <si>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</si>
  <si>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</si>
  <si>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</si>
  <si>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</si>
  <si>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</si>
  <si>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</si>
  <si>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</si>
  <si>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</si>
  <si>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</si>
  <si>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</si>
  <si>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</si>
  <si>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</si>
  <si>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</si>
  <si>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</si>
  <si>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</si>
  <si>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</si>
  <si>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</si>
  <si>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</si>
  <si>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</si>
  <si>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</si>
  <si>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</si>
  <si>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</si>
  <si>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</si>
  <si>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</si>
  <si>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</si>
  <si>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</si>
  <si>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</si>
  <si>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</si>
  <si>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</si>
  <si>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</si>
  <si>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</si>
  <si>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</si>
  <si>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</si>
  <si>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</si>
  <si>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</si>
  <si>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</si>
  <si>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</si>
  <si>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</si>
  <si>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</si>
  <si>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</si>
  <si>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</si>
  <si>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</si>
  <si>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</si>
  <si>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</si>
  <si>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</si>
  <si>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</si>
  <si>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</si>
  <si>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</si>
  <si>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</si>
  <si>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</si>
  <si>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</si>
  <si>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</si>
  <si>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</si>
  <si>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</si>
  <si>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</si>
  <si>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</si>
  <si>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</si>
  <si>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</si>
  <si>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</si>
  <si>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</si>
  <si>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</si>
  <si>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</si>
  <si>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</si>
  <si>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</si>
  <si>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</si>
  <si>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</si>
  <si>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</si>
  <si>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</si>
  <si>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</si>
  <si>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</si>
  <si>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</si>
  <si>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</si>
  <si>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</si>
  <si>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</si>
  <si>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</si>
  <si>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</si>
  <si>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Tugores &gt; Aloy</t>
  </si>
  <si>
    <t>Malintencionat - no Infame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</si>
</sst>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353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14" fontId="2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2" fillId="13" borderId="4" xfId="0" applyFont="1" applyFill="1" applyBorder="1"/>
    <xf numFmtId="169" fontId="22" fillId="13" borderId="4" xfId="0" applyNumberFormat="1" applyFont="1" applyFill="1" applyBorder="1"/>
    <xf numFmtId="169" fontId="22" fillId="13" borderId="1" xfId="0" applyNumberFormat="1" applyFont="1" applyFill="1" applyBorder="1"/>
    <xf numFmtId="0" fontId="23" fillId="0" borderId="0" xfId="0" applyFont="1"/>
    <xf numFmtId="169" fontId="2" fillId="14" borderId="1" xfId="0" applyNumberFormat="1" applyFont="1" applyFill="1" applyBorder="1"/>
    <xf numFmtId="169" fontId="25" fillId="14" borderId="1" xfId="0" applyNumberFormat="1" applyFont="1" applyFill="1" applyBorder="1"/>
    <xf numFmtId="0" fontId="25" fillId="0" borderId="0" xfId="0" applyFont="1"/>
    <xf numFmtId="0" fontId="22" fillId="13" borderId="1" xfId="0" applyFont="1" applyFill="1" applyBorder="1"/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171" fontId="2" fillId="0" borderId="0" xfId="0" applyNumberFormat="1" applyFont="1"/>
    <xf numFmtId="170" fontId="25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167" fontId="2" fillId="17" borderId="1" xfId="1" applyNumberFormat="1" applyFont="1" applyFill="1" applyBorder="1" applyAlignment="1" applyProtection="1">
      <alignment horizontal="center" wrapText="1"/>
    </xf>
    <xf numFmtId="170" fontId="25" fillId="0" borderId="3" xfId="3" applyNumberFormat="1" applyFont="1" applyBorder="1" applyAlignment="1" applyProtection="1">
      <alignment horizontal="center"/>
    </xf>
    <xf numFmtId="0" fontId="2" fillId="17" borderId="1" xfId="0" applyFont="1" applyFill="1" applyBorder="1" applyAlignment="1">
      <alignment horizontal="right"/>
    </xf>
    <xf numFmtId="173" fontId="2" fillId="17" borderId="1" xfId="2" applyNumberFormat="1" applyFont="1" applyFill="1" applyBorder="1" applyAlignment="1" applyProtection="1">
      <alignment horizontal="center" wrapText="1"/>
    </xf>
    <xf numFmtId="166" fontId="2" fillId="17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6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7" fillId="18" borderId="0" xfId="4" applyFont="1" applyFill="1" applyBorder="1" applyAlignment="1">
      <alignment horizontal="center"/>
    </xf>
    <xf numFmtId="0" fontId="27" fillId="18" borderId="0" xfId="4" applyFont="1" applyFill="1" applyBorder="1" applyAlignment="1">
      <alignment horizontal="left"/>
    </xf>
    <xf numFmtId="0" fontId="28" fillId="18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4" fillId="18" borderId="0" xfId="4" applyFont="1" applyFill="1" applyBorder="1" applyAlignment="1">
      <alignment horizontal="center"/>
    </xf>
    <xf numFmtId="0" fontId="30" fillId="18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4" fillId="19" borderId="0" xfId="4" applyFont="1" applyFill="1" applyBorder="1" applyAlignment="1">
      <alignment horizontal="left"/>
    </xf>
    <xf numFmtId="0" fontId="27" fillId="6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0" fillId="6" borderId="0" xfId="4" applyFont="1" applyFill="1" applyBorder="1" applyAlignment="1">
      <alignment horizontal="center"/>
    </xf>
    <xf numFmtId="0" fontId="4" fillId="16" borderId="0" xfId="4" applyFont="1" applyFill="1" applyBorder="1" applyAlignment="1">
      <alignment horizontal="left"/>
    </xf>
    <xf numFmtId="0" fontId="27" fillId="13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left"/>
    </xf>
    <xf numFmtId="0" fontId="30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1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2" fontId="37" fillId="0" borderId="0" xfId="4" applyNumberFormat="1" applyBorder="1" applyAlignment="1">
      <alignment horizontal="center"/>
    </xf>
    <xf numFmtId="2" fontId="11" fillId="20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2" fontId="33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2" fillId="0" borderId="4" xfId="4" applyFont="1" applyBorder="1"/>
    <xf numFmtId="0" fontId="37" fillId="0" borderId="0" xfId="4"/>
    <xf numFmtId="1" fontId="37" fillId="0" borderId="0" xfId="4" applyNumberFormat="1"/>
    <xf numFmtId="0" fontId="32" fillId="0" borderId="0" xfId="4" applyFont="1" applyAlignment="1">
      <alignment horizontal="center"/>
    </xf>
    <xf numFmtId="14" fontId="2" fillId="0" borderId="1" xfId="4" applyNumberFormat="1" applyFont="1" applyBorder="1"/>
    <xf numFmtId="14" fontId="37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3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4" borderId="0" xfId="0" applyFont="1" applyFill="1" applyAlignment="1">
      <alignment horizontal="center" wrapText="1"/>
    </xf>
    <xf numFmtId="0" fontId="35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4" borderId="3" xfId="0" applyFont="1" applyFill="1" applyBorder="1" applyAlignment="1">
      <alignment horizontal="center" wrapText="1"/>
    </xf>
    <xf numFmtId="0" fontId="36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29" fillId="25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7" fillId="22" borderId="0" xfId="0" applyFont="1" applyFill="1" applyBorder="1" applyAlignment="1">
      <alignment horizontal="right" wrapText="1"/>
    </xf>
    <xf numFmtId="171" fontId="21" fillId="22" borderId="0" xfId="0" applyNumberFormat="1" applyFont="1" applyFill="1"/>
    <xf numFmtId="0" fontId="7" fillId="0" borderId="0" xfId="0" applyFont="1" applyBorder="1"/>
    <xf numFmtId="0" fontId="21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1" fillId="0" borderId="5" xfId="4" applyNumberFormat="1" applyFont="1" applyBorder="1" applyAlignment="1">
      <alignment horizontal="center"/>
    </xf>
    <xf numFmtId="2" fontId="37" fillId="0" borderId="5" xfId="4" applyNumberFormat="1" applyBorder="1" applyAlignment="1">
      <alignment horizontal="center"/>
    </xf>
    <xf numFmtId="2" fontId="11" fillId="20" borderId="5" xfId="4" applyNumberFormat="1" applyFont="1" applyFill="1" applyBorder="1" applyAlignment="1">
      <alignment horizontal="center"/>
    </xf>
    <xf numFmtId="2" fontId="33" fillId="11" borderId="5" xfId="4" applyNumberFormat="1" applyFont="1" applyFill="1" applyBorder="1" applyAlignment="1">
      <alignment horizontal="center"/>
    </xf>
    <xf numFmtId="2" fontId="3" fillId="20" borderId="5" xfId="4" applyNumberFormat="1" applyFont="1" applyFill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7" fillId="0" borderId="5" xfId="4" applyBorder="1" applyAlignment="1">
      <alignment horizontal="center"/>
    </xf>
    <xf numFmtId="0" fontId="37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2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7" borderId="1" xfId="4" applyFont="1" applyFill="1" applyBorder="1" applyAlignment="1">
      <alignment horizontal="right"/>
    </xf>
    <xf numFmtId="0" fontId="39" fillId="30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41" borderId="1" xfId="0" applyFont="1" applyFill="1" applyBorder="1"/>
    <xf numFmtId="0" fontId="25" fillId="41" borderId="1" xfId="0" applyFont="1" applyFill="1" applyBorder="1" applyAlignment="1">
      <alignment wrapText="1"/>
    </xf>
    <xf numFmtId="0" fontId="25" fillId="41" borderId="1" xfId="0" applyFont="1" applyFill="1" applyBorder="1"/>
    <xf numFmtId="169" fontId="0" fillId="41" borderId="1" xfId="0" applyNumberFormat="1" applyFill="1" applyBorder="1"/>
    <xf numFmtId="169" fontId="25" fillId="41" borderId="1" xfId="0" applyNumberFormat="1" applyFont="1" applyFill="1" applyBorder="1"/>
    <xf numFmtId="0" fontId="48" fillId="30" borderId="1" xfId="4" applyFont="1" applyFill="1" applyBorder="1" applyAlignment="1">
      <alignment horizontal="right"/>
    </xf>
    <xf numFmtId="14" fontId="21" fillId="37" borderId="0" xfId="0" applyNumberFormat="1" applyFont="1" applyFill="1" applyAlignment="1">
      <alignment horizontal="center"/>
    </xf>
    <xf numFmtId="0" fontId="2" fillId="42" borderId="1" xfId="0" applyFont="1" applyFill="1" applyBorder="1" applyAlignment="1">
      <alignment horizontal="center" wrapText="1"/>
    </xf>
    <xf numFmtId="1" fontId="2" fillId="42" borderId="1" xfId="0" applyNumberFormat="1" applyFont="1" applyFill="1" applyBorder="1" applyAlignment="1">
      <alignment horizontal="center" wrapText="1"/>
    </xf>
    <xf numFmtId="0" fontId="22" fillId="43" borderId="4" xfId="0" applyFont="1" applyFill="1" applyBorder="1"/>
    <xf numFmtId="169" fontId="22" fillId="43" borderId="4" xfId="0" applyNumberFormat="1" applyFont="1" applyFill="1" applyBorder="1"/>
    <xf numFmtId="169" fontId="22" fillId="43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1" fillId="0" borderId="0" xfId="3" applyNumberFormat="1" applyFont="1" applyBorder="1"/>
    <xf numFmtId="174" fontId="0" fillId="35" borderId="0" xfId="0" applyNumberFormat="1" applyFill="1" applyBorder="1"/>
    <xf numFmtId="170" fontId="1" fillId="0" borderId="2" xfId="3" applyNumberFormat="1" applyFont="1" applyBorder="1"/>
    <xf numFmtId="169" fontId="2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4" fillId="28" borderId="12" xfId="0" applyFont="1" applyFill="1" applyBorder="1" applyAlignment="1">
      <alignment horizontal="right"/>
    </xf>
    <xf numFmtId="174" fontId="44" fillId="28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50" fillId="0" borderId="0" xfId="0" applyFont="1"/>
    <xf numFmtId="0" fontId="51" fillId="0" borderId="0" xfId="0" applyFont="1"/>
    <xf numFmtId="170" fontId="50" fillId="0" borderId="1" xfId="0" applyNumberFormat="1" applyFont="1" applyBorder="1"/>
    <xf numFmtId="0" fontId="0" fillId="0" borderId="5" xfId="0" applyBorder="1"/>
    <xf numFmtId="169" fontId="50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4" fillId="37" borderId="12" xfId="0" applyFont="1" applyFill="1" applyBorder="1" applyAlignment="1">
      <alignment horizontal="right"/>
    </xf>
    <xf numFmtId="174" fontId="44" fillId="37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1" fillId="0" borderId="2" xfId="3" applyNumberFormat="1" applyFont="1" applyFill="1" applyBorder="1"/>
    <xf numFmtId="174" fontId="0" fillId="39" borderId="0" xfId="0" applyNumberFormat="1" applyFill="1" applyBorder="1"/>
    <xf numFmtId="174" fontId="44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1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2" fillId="45" borderId="1" xfId="0" applyNumberFormat="1" applyFont="1" applyFill="1" applyBorder="1"/>
    <xf numFmtId="169" fontId="50" fillId="40" borderId="1" xfId="0" applyNumberFormat="1" applyFont="1" applyFill="1" applyBorder="1"/>
    <xf numFmtId="169" fontId="2" fillId="46" borderId="1" xfId="0" applyNumberFormat="1" applyFont="1" applyFill="1" applyBorder="1"/>
    <xf numFmtId="0" fontId="50" fillId="40" borderId="1" xfId="0" applyFont="1" applyFill="1" applyBorder="1"/>
    <xf numFmtId="0" fontId="50" fillId="40" borderId="1" xfId="0" applyFont="1" applyFill="1" applyBorder="1" applyAlignment="1">
      <alignment wrapText="1"/>
    </xf>
    <xf numFmtId="170" fontId="2" fillId="45" borderId="1" xfId="3" applyNumberFormat="1" applyFont="1" applyFill="1" applyBorder="1" applyAlignment="1" applyProtection="1"/>
    <xf numFmtId="170" fontId="2" fillId="46" borderId="1" xfId="3" applyNumberFormat="1" applyFont="1" applyFill="1" applyBorder="1" applyAlignment="1" applyProtection="1"/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2" fontId="11" fillId="11" borderId="0" xfId="4" applyNumberFormat="1" applyFont="1" applyFill="1" applyBorder="1" applyAlignment="1">
      <alignment horizontal="center"/>
    </xf>
    <xf numFmtId="2" fontId="11" fillId="11" borderId="5" xfId="4" applyNumberFormat="1" applyFont="1" applyFill="1" applyBorder="1" applyAlignment="1">
      <alignment horizontal="center"/>
    </xf>
    <xf numFmtId="2" fontId="3" fillId="47" borderId="5" xfId="4" applyNumberFormat="1" applyFont="1" applyFill="1" applyBorder="1" applyAlignment="1">
      <alignment horizontal="center"/>
    </xf>
    <xf numFmtId="2" fontId="31" fillId="0" borderId="12" xfId="4" applyNumberFormat="1" applyFont="1" applyBorder="1" applyAlignment="1">
      <alignment horizontal="center"/>
    </xf>
    <xf numFmtId="2" fontId="37" fillId="0" borderId="12" xfId="4" applyNumberFormat="1" applyBorder="1" applyAlignment="1">
      <alignment horizontal="center"/>
    </xf>
    <xf numFmtId="0" fontId="0" fillId="0" borderId="0" xfId="4" applyFont="1" applyAlignment="1">
      <alignment horizontal="center"/>
    </xf>
    <xf numFmtId="0" fontId="52" fillId="7" borderId="0" xfId="4" applyFont="1" applyFill="1" applyBorder="1" applyAlignment="1">
      <alignment horizontal="right"/>
    </xf>
    <xf numFmtId="0" fontId="53" fillId="7" borderId="0" xfId="4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2" fillId="41" borderId="7" xfId="0" applyFont="1" applyFill="1" applyBorder="1" applyAlignment="1">
      <alignment horizontal="left" vertical="top" wrapText="1"/>
    </xf>
    <xf numFmtId="0" fontId="2" fillId="41" borderId="2" xfId="0" applyFont="1" applyFill="1" applyBorder="1" applyAlignment="1">
      <alignment horizontal="left" vertical="top" wrapText="1"/>
    </xf>
    <xf numFmtId="0" fontId="2" fillId="41" borderId="4" xfId="0" applyFont="1" applyFill="1" applyBorder="1" applyAlignment="1">
      <alignment horizontal="left" vertical="top" wrapText="1"/>
    </xf>
    <xf numFmtId="0" fontId="2" fillId="17" borderId="5" xfId="0" applyFont="1" applyFill="1" applyBorder="1" applyAlignment="1">
      <alignment horizontal="center" vertical="top" wrapText="1"/>
    </xf>
    <xf numFmtId="169" fontId="24" fillId="45" borderId="1" xfId="0" applyNumberFormat="1" applyFont="1" applyFill="1" applyBorder="1" applyAlignment="1">
      <alignment horizontal="center"/>
    </xf>
    <xf numFmtId="169" fontId="25" fillId="46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2" fillId="31" borderId="6" xfId="0" applyFont="1" applyFill="1" applyBorder="1" applyAlignment="1">
      <alignment horizontal="center"/>
    </xf>
    <xf numFmtId="0" fontId="42" fillId="31" borderId="13" xfId="0" applyFont="1" applyFill="1" applyBorder="1" applyAlignment="1">
      <alignment horizontal="center"/>
    </xf>
    <xf numFmtId="0" fontId="42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2" borderId="14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43" fillId="33" borderId="18" xfId="0" applyFont="1" applyFill="1" applyBorder="1" applyAlignment="1">
      <alignment horizontal="center"/>
    </xf>
    <xf numFmtId="0" fontId="43" fillId="33" borderId="15" xfId="0" applyFont="1" applyFill="1" applyBorder="1" applyAlignment="1">
      <alignment horizontal="center"/>
    </xf>
    <xf numFmtId="0" fontId="2" fillId="40" borderId="7" xfId="0" applyFont="1" applyFill="1" applyBorder="1" applyAlignment="1">
      <alignment horizontal="left" vertical="top" wrapText="1"/>
    </xf>
    <xf numFmtId="0" fontId="2" fillId="40" borderId="2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11" fillId="48" borderId="1" xfId="4" applyFont="1" applyFill="1" applyBorder="1" applyAlignment="1">
      <alignment horizontal="right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5" sqref="D15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43649</v>
      </c>
      <c r="E1" s="324">
        <v>43637</v>
      </c>
      <c r="F1" s="324"/>
      <c r="G1" s="324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AVERAGE(L4:L22)</f>
        <v>2.4789473684210526</v>
      </c>
      <c r="M2" s="11"/>
      <c r="N2" s="11"/>
      <c r="O2" s="7"/>
      <c r="P2" s="12">
        <f>AVERAGE(P4:P22)</f>
        <v>5.3</v>
      </c>
      <c r="Q2" s="11"/>
      <c r="R2" s="11"/>
      <c r="S2" s="12">
        <f>AVERAGE(S4:S22)</f>
        <v>4.6842105263157894</v>
      </c>
      <c r="T2" s="13">
        <f>AVERAGE(T4:T22)</f>
        <v>0.81607684527628344</v>
      </c>
      <c r="U2" s="13">
        <f>AVERAGE(U4:U22)</f>
        <v>0.89886708891549372</v>
      </c>
      <c r="V2" s="14">
        <f>AVERAGE(V4:V22)</f>
        <v>1056.3157894736842</v>
      </c>
      <c r="W2" s="14"/>
      <c r="X2" s="14">
        <f>AVERAGE(X4:X22)</f>
        <v>410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17.616071428571427</v>
      </c>
      <c r="D4" s="218" t="s">
        <v>54</v>
      </c>
      <c r="E4" s="27">
        <v>18</v>
      </c>
      <c r="F4" s="28">
        <f ca="1">$D$1-43606</f>
        <v>43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5</v>
      </c>
      <c r="T4" s="31">
        <f t="shared" ref="T4:T22" si="6">(S4/7)^0.5</f>
        <v>0.84515425472851657</v>
      </c>
      <c r="U4" s="31">
        <f t="shared" ref="U4:U22" si="7">IF(S4=7,1,((S4+0.99)/7)^0.5)</f>
        <v>0.92504826128926143</v>
      </c>
      <c r="V4" s="39">
        <v>860</v>
      </c>
      <c r="W4" s="40">
        <f t="shared" ref="W4:W22" si="8">V4-AZ4</f>
        <v>-20</v>
      </c>
      <c r="X4" s="41">
        <v>370</v>
      </c>
      <c r="Y4" s="42">
        <f t="shared" ref="Y4:Y23" si="9">V4/X4</f>
        <v>2.3243243243243241</v>
      </c>
      <c r="Z4" s="45">
        <v>1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329</v>
      </c>
      <c r="AH4" s="46">
        <v>1757</v>
      </c>
      <c r="AI4" s="43">
        <f t="shared" ref="AI4:AI22" si="10">(AB4+R4+M4)*(S4/7)^0.5</f>
        <v>3.2972622670649021</v>
      </c>
      <c r="AJ4" s="43">
        <f t="shared" ref="AJ4:AJ22" si="11">(AB4+R4+M4)*(IF(S4=7, (S4/7)^0.5, ((S4+1)/7)^0.5))</f>
        <v>3.6119698433641405</v>
      </c>
      <c r="AK4" s="42">
        <f t="shared" ref="AK4:AK22" si="12">(((AA4+R4+M4)+(AD4+R4+M4)*2)/8)*(S4/7)^0.5</f>
        <v>1.8703390411957257</v>
      </c>
      <c r="AL4" s="42">
        <f t="shared" ref="AL4:AL22" si="13">(1.66*(AE4+M4+R4)+0.55*(AF4+M4+R4)-7.6)*(S4/7)^0.5</f>
        <v>0.39049089162873901</v>
      </c>
      <c r="AM4" s="42">
        <f t="shared" ref="AM4:AM22" si="14">((AF4+M4+R4)*0.7+(AE4+M4+R4)*0.3)*(S4/7)^0.5</f>
        <v>4.2269319472662703</v>
      </c>
      <c r="AN4" s="42">
        <f t="shared" ref="AN4:AN22" si="15">(0.5*(AE4+R4+M4)+ 0.3*(AF4+R4+M4))/10</f>
        <v>0.32210986620415805</v>
      </c>
      <c r="AO4" s="42">
        <f t="shared" ref="AO4:AO22" si="16">(0.4*(AA4+R4+M4)+0.3*(AF4+R4+M4))/10</f>
        <v>0.4930961329286383</v>
      </c>
      <c r="AP4" s="44">
        <f t="shared" ref="AP4:AP22" si="17">(AF4+R4+(LOG(L4)*4/3))*(S4/7)^0.5</f>
        <v>4.6483484010068414</v>
      </c>
      <c r="AQ4" s="44">
        <f t="shared" ref="AQ4:AQ22" si="18">(AF4+R4+(LOG(L4)*4/3))*(IF(S4=7, (S4/7)^0.5, ((S4+1)/7)^0.5))</f>
        <v>5.092010548749033</v>
      </c>
      <c r="AR4" s="47">
        <v>-2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16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8.8035714285714288</v>
      </c>
      <c r="D5" s="352" t="s">
        <v>62</v>
      </c>
      <c r="E5" s="50">
        <v>27</v>
      </c>
      <c r="F5" s="51">
        <f ca="1">$D$1-43627</f>
        <v>22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2310</v>
      </c>
      <c r="W5" s="40">
        <f t="shared" si="8"/>
        <v>490</v>
      </c>
      <c r="X5" s="39">
        <v>890</v>
      </c>
      <c r="Y5" s="42">
        <f>V5/X5</f>
        <v>2.595505617977528</v>
      </c>
      <c r="Z5" s="45">
        <f>5+1/3*80/90</f>
        <v>5.2962962962962958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</f>
        <v>6.3888888888888893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9.3888888888888893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14.696428571428571</v>
      </c>
      <c r="D6" s="352" t="s">
        <v>59</v>
      </c>
      <c r="E6" s="50">
        <v>21</v>
      </c>
      <c r="F6" s="51">
        <f ca="1">$D$1-43615</f>
        <v>34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4</v>
      </c>
      <c r="T6" s="31">
        <f t="shared" si="6"/>
        <v>0.7559289460184544</v>
      </c>
      <c r="U6" s="31">
        <f t="shared" si="7"/>
        <v>0.84430867747355465</v>
      </c>
      <c r="V6" s="39">
        <v>2030</v>
      </c>
      <c r="W6" s="40">
        <f t="shared" si="8"/>
        <v>220</v>
      </c>
      <c r="X6" s="39">
        <v>990</v>
      </c>
      <c r="Y6" s="42">
        <f t="shared" si="9"/>
        <v>2.0505050505050506</v>
      </c>
      <c r="Z6" s="45">
        <f>5+1/3*10/90</f>
        <v>5.0370370370370372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1.6147864419653308</v>
      </c>
      <c r="AJ6" s="43">
        <f t="shared" si="11"/>
        <v>1.8053861266897495</v>
      </c>
      <c r="AK6" s="42">
        <f t="shared" si="12"/>
        <v>0.79452715224161274</v>
      </c>
      <c r="AL6" s="42">
        <f t="shared" si="13"/>
        <v>-0.51333827175627267</v>
      </c>
      <c r="AM6" s="42">
        <f t="shared" si="14"/>
        <v>3.7313874908170028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4.4610189195577838</v>
      </c>
      <c r="AQ6" s="44">
        <f t="shared" si="18"/>
        <v>4.9875707765219355</v>
      </c>
      <c r="AR6" s="47">
        <f>5.5+1*10/90</f>
        <v>5.6111111111111107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7.6111111111111107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17.741071428571427</v>
      </c>
      <c r="D7" s="352" t="s">
        <v>64</v>
      </c>
      <c r="E7" s="50">
        <v>18</v>
      </c>
      <c r="F7" s="51">
        <f ca="1">$D$1-43620</f>
        <v>29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4.5999999999999996</v>
      </c>
      <c r="Q7" s="37">
        <f t="shared" si="5"/>
        <v>65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5">
        <v>2</v>
      </c>
      <c r="AA7" s="34">
        <v>0</v>
      </c>
      <c r="AB7" s="45">
        <v>0</v>
      </c>
      <c r="AC7" s="34">
        <v>0</v>
      </c>
      <c r="AD7" s="45">
        <v>1</v>
      </c>
      <c r="AE7" s="34">
        <v>0</v>
      </c>
      <c r="AF7" s="45">
        <v>1</v>
      </c>
      <c r="AG7" s="46">
        <v>53</v>
      </c>
      <c r="AH7" s="46">
        <v>1435</v>
      </c>
      <c r="AI7" s="43">
        <f t="shared" si="10"/>
        <v>1.3143756540609242</v>
      </c>
      <c r="AJ7" s="43">
        <f t="shared" si="11"/>
        <v>1.4398263895295496</v>
      </c>
      <c r="AK7" s="42">
        <f t="shared" si="12"/>
        <v>0.70417943395497562</v>
      </c>
      <c r="AL7" s="42">
        <f t="shared" si="13"/>
        <v>-3.0535673003613995</v>
      </c>
      <c r="AM7" s="42">
        <f t="shared" si="14"/>
        <v>1.9059836323708859</v>
      </c>
      <c r="AN7" s="42">
        <f t="shared" si="15"/>
        <v>0.15441521975021066</v>
      </c>
      <c r="AO7" s="42">
        <f t="shared" si="16"/>
        <v>0.13886331728143433</v>
      </c>
      <c r="AP7" s="44">
        <f t="shared" si="17"/>
        <v>0.98601329718326935</v>
      </c>
      <c r="AQ7" s="44">
        <f t="shared" si="18"/>
        <v>1.0801234497346435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3.9017857142857144</v>
      </c>
      <c r="D8" s="217" t="s">
        <v>67</v>
      </c>
      <c r="E8" s="27">
        <v>32</v>
      </c>
      <c r="F8" s="28">
        <f ca="1">$D$1-43526-112</f>
        <v>11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4</v>
      </c>
      <c r="T8" s="31">
        <f t="shared" si="6"/>
        <v>0.7559289460184544</v>
      </c>
      <c r="U8" s="31">
        <f t="shared" si="7"/>
        <v>0.84430867747355465</v>
      </c>
      <c r="V8" s="39">
        <v>490</v>
      </c>
      <c r="W8" s="40">
        <f t="shared" si="8"/>
        <v>30</v>
      </c>
      <c r="X8" s="41">
        <v>310</v>
      </c>
      <c r="Y8" s="42">
        <f t="shared" si="9"/>
        <v>1.5806451612903225</v>
      </c>
      <c r="Z8" s="45">
        <v>1</v>
      </c>
      <c r="AA8" s="34">
        <v>5</v>
      </c>
      <c r="AB8" s="45">
        <v>4</v>
      </c>
      <c r="AC8" s="34">
        <v>4.95</v>
      </c>
      <c r="AD8" s="45">
        <v>4</v>
      </c>
      <c r="AE8" s="34">
        <v>2</v>
      </c>
      <c r="AF8" s="45">
        <v>5</v>
      </c>
      <c r="AG8" s="46">
        <v>443</v>
      </c>
      <c r="AH8" s="46">
        <v>-53</v>
      </c>
      <c r="AI8" s="43">
        <f t="shared" si="10"/>
        <v>4.8621047480031541</v>
      </c>
      <c r="AJ8" s="43">
        <f t="shared" si="11"/>
        <v>5.4359983651297696</v>
      </c>
      <c r="AK8" s="42">
        <f t="shared" si="12"/>
        <v>1.9177803987534896</v>
      </c>
      <c r="AL8" s="42">
        <f t="shared" si="13"/>
        <v>2.9062683228755994</v>
      </c>
      <c r="AM8" s="42">
        <f t="shared" si="14"/>
        <v>4.9376976426049994</v>
      </c>
      <c r="AN8" s="42">
        <f t="shared" si="15"/>
        <v>0.44455680046250867</v>
      </c>
      <c r="AO8" s="42">
        <f t="shared" si="16"/>
        <v>0.52023720040469512</v>
      </c>
      <c r="AP8" s="44">
        <f t="shared" si="17"/>
        <v>5.5203575820325224</v>
      </c>
      <c r="AQ8" s="44">
        <f t="shared" si="18"/>
        <v>6.171947406765546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460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9.3571428571428577</v>
      </c>
      <c r="D9" s="198" t="s">
        <v>69</v>
      </c>
      <c r="E9" s="27">
        <v>26</v>
      </c>
      <c r="F9" s="28">
        <f ca="1">$D$1-43577</f>
        <v>72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4.7</v>
      </c>
      <c r="Q9" s="37">
        <f t="shared" si="5"/>
        <v>66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1100</v>
      </c>
      <c r="W9" s="40">
        <f t="shared" si="8"/>
        <v>50</v>
      </c>
      <c r="X9" s="41">
        <v>390</v>
      </c>
      <c r="Y9" s="42">
        <f t="shared" si="9"/>
        <v>2.8205128205128207</v>
      </c>
      <c r="Z9" s="45">
        <v>0</v>
      </c>
      <c r="AA9" s="34">
        <v>6</v>
      </c>
      <c r="AB9" s="45">
        <v>2</v>
      </c>
      <c r="AC9" s="34">
        <v>5</v>
      </c>
      <c r="AD9" s="45">
        <v>3</v>
      </c>
      <c r="AE9" s="34">
        <v>1</v>
      </c>
      <c r="AF9" s="45">
        <v>4</v>
      </c>
      <c r="AG9" s="46">
        <v>375</v>
      </c>
      <c r="AH9" s="46">
        <v>575</v>
      </c>
      <c r="AI9" s="43">
        <f t="shared" si="10"/>
        <v>3.252570743977159</v>
      </c>
      <c r="AJ9" s="43">
        <f t="shared" si="11"/>
        <v>3.6364846425799962</v>
      </c>
      <c r="AK9" s="42">
        <f t="shared" si="12"/>
        <v>1.7866607385052755</v>
      </c>
      <c r="AL9" s="42">
        <f t="shared" si="13"/>
        <v>1.0198011446789335</v>
      </c>
      <c r="AM9" s="42">
        <f t="shared" si="14"/>
        <v>4.0840925845974594</v>
      </c>
      <c r="AN9" s="42">
        <f t="shared" si="15"/>
        <v>0.35421973240831595</v>
      </c>
      <c r="AO9" s="42">
        <f t="shared" si="16"/>
        <v>0.52119226585727652</v>
      </c>
      <c r="AP9" s="44">
        <f t="shared" si="17"/>
        <v>4.6385022260391482</v>
      </c>
      <c r="AQ9" s="44">
        <f t="shared" si="18"/>
        <v>5.1860031456038156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7.3303571428571432</v>
      </c>
      <c r="D10" s="264" t="s">
        <v>71</v>
      </c>
      <c r="E10" s="50">
        <v>28</v>
      </c>
      <c r="F10" s="28">
        <f ca="1">$D$1-43574</f>
        <v>75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6.2</v>
      </c>
      <c r="Q10" s="37">
        <f t="shared" si="5"/>
        <v>81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620</v>
      </c>
      <c r="W10" s="40">
        <f t="shared" si="8"/>
        <v>-30</v>
      </c>
      <c r="X10" s="39">
        <v>300</v>
      </c>
      <c r="Y10" s="42">
        <f t="shared" si="9"/>
        <v>2.0666666666666669</v>
      </c>
      <c r="Z10" s="45">
        <v>0</v>
      </c>
      <c r="AA10" s="34">
        <v>5</v>
      </c>
      <c r="AB10" s="45">
        <v>5</v>
      </c>
      <c r="AC10" s="34">
        <v>2</v>
      </c>
      <c r="AD10" s="45">
        <v>1</v>
      </c>
      <c r="AE10" s="34">
        <v>1</v>
      </c>
      <c r="AF10" s="45">
        <v>3</v>
      </c>
      <c r="AG10" s="46">
        <v>315</v>
      </c>
      <c r="AH10" s="46">
        <v>241</v>
      </c>
      <c r="AI10" s="43">
        <f t="shared" si="10"/>
        <v>6.8806579540581092</v>
      </c>
      <c r="AJ10" s="43">
        <f t="shared" si="11"/>
        <v>7.4319600057813586</v>
      </c>
      <c r="AK10" s="42">
        <f t="shared" si="12"/>
        <v>1.6544266329992394</v>
      </c>
      <c r="AL10" s="42">
        <f t="shared" si="13"/>
        <v>1.0041737479574835</v>
      </c>
      <c r="AM10" s="42">
        <f t="shared" si="14"/>
        <v>4.4735256946494752</v>
      </c>
      <c r="AN10" s="42">
        <f t="shared" si="15"/>
        <v>0.33455680046250869</v>
      </c>
      <c r="AO10" s="42">
        <f t="shared" si="16"/>
        <v>0.46023720040469512</v>
      </c>
      <c r="AP10" s="44">
        <f t="shared" si="17"/>
        <v>4.9093894372969018</v>
      </c>
      <c r="AQ10" s="44">
        <f t="shared" si="18"/>
        <v>5.3027466551039497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5.0803571428571432</v>
      </c>
      <c r="D11" s="264" t="s">
        <v>73</v>
      </c>
      <c r="E11" s="50">
        <v>30</v>
      </c>
      <c r="F11" s="51">
        <f ca="1">$D$1-43546</f>
        <v>103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5.9</v>
      </c>
      <c r="Q11" s="37">
        <f t="shared" si="5"/>
        <v>78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330</v>
      </c>
      <c r="W11" s="40">
        <f t="shared" si="8"/>
        <v>-20</v>
      </c>
      <c r="X11" s="39">
        <v>280</v>
      </c>
      <c r="Y11" s="42">
        <f t="shared" si="9"/>
        <v>1.1785714285714286</v>
      </c>
      <c r="Z11" s="45">
        <v>0</v>
      </c>
      <c r="AA11" s="34">
        <v>5</v>
      </c>
      <c r="AB11" s="45">
        <v>4</v>
      </c>
      <c r="AC11" s="34">
        <v>3</v>
      </c>
      <c r="AD11" s="45">
        <v>2</v>
      </c>
      <c r="AE11" s="34">
        <v>0</v>
      </c>
      <c r="AF11" s="45">
        <v>6</v>
      </c>
      <c r="AG11" s="46">
        <v>324</v>
      </c>
      <c r="AH11" s="46">
        <v>-33</v>
      </c>
      <c r="AI11" s="43">
        <f t="shared" si="10"/>
        <v>6.0525813064401275</v>
      </c>
      <c r="AJ11" s="43">
        <f t="shared" si="11"/>
        <v>6.5375350005115251</v>
      </c>
      <c r="AK11" s="42">
        <f t="shared" si="12"/>
        <v>1.9225354525003409</v>
      </c>
      <c r="AL11" s="42">
        <f t="shared" si="13"/>
        <v>1.2109285762213573</v>
      </c>
      <c r="AM11" s="42">
        <f t="shared" si="14"/>
        <v>6.237745326394637</v>
      </c>
      <c r="AN11" s="42">
        <f t="shared" si="15"/>
        <v>0.38300280004092202</v>
      </c>
      <c r="AO11" s="42">
        <f t="shared" si="16"/>
        <v>0.55762745003580672</v>
      </c>
      <c r="AP11" s="44">
        <f t="shared" si="17"/>
        <v>7.8064780538306602</v>
      </c>
      <c r="AQ11" s="44">
        <f t="shared" si="18"/>
        <v>8.4319600057813577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10.767857142857142</v>
      </c>
      <c r="D12" s="198" t="s">
        <v>76</v>
      </c>
      <c r="E12" s="27">
        <v>25</v>
      </c>
      <c r="F12" s="28">
        <f ca="1">$D$1-43623</f>
        <v>26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860</v>
      </c>
      <c r="W12" s="40">
        <f t="shared" si="8"/>
        <v>20</v>
      </c>
      <c r="X12" s="41">
        <v>330</v>
      </c>
      <c r="Y12" s="42">
        <f t="shared" si="9"/>
        <v>2.606060606060606</v>
      </c>
      <c r="Z12" s="45">
        <v>1</v>
      </c>
      <c r="AA12" s="34">
        <v>4</v>
      </c>
      <c r="AB12" s="45">
        <v>5</v>
      </c>
      <c r="AC12" s="34">
        <v>2</v>
      </c>
      <c r="AD12" s="45">
        <v>4</v>
      </c>
      <c r="AE12" s="34">
        <v>2</v>
      </c>
      <c r="AF12" s="45">
        <v>5</v>
      </c>
      <c r="AG12" s="46">
        <v>381</v>
      </c>
      <c r="AH12" s="46">
        <v>779</v>
      </c>
      <c r="AI12" s="43">
        <f t="shared" si="10"/>
        <v>5.3944311720576028</v>
      </c>
      <c r="AJ12" s="43">
        <f t="shared" si="11"/>
        <v>6.0311574003323321</v>
      </c>
      <c r="AK12" s="42">
        <f t="shared" si="12"/>
        <v>1.7394383347646807</v>
      </c>
      <c r="AL12" s="42">
        <f t="shared" si="13"/>
        <v>2.4121067493351451</v>
      </c>
      <c r="AM12" s="42">
        <f t="shared" si="14"/>
        <v>4.7140951206409936</v>
      </c>
      <c r="AN12" s="42">
        <f t="shared" si="15"/>
        <v>0.42089293383676391</v>
      </c>
      <c r="AO12" s="42">
        <f t="shared" si="16"/>
        <v>0.45953131710716849</v>
      </c>
      <c r="AP12" s="44">
        <f t="shared" si="17"/>
        <v>5.2169478655762385</v>
      </c>
      <c r="AQ12" s="44">
        <f t="shared" si="18"/>
        <v>5.8327250312504519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41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14.107142857142858</v>
      </c>
      <c r="D13" s="217" t="s">
        <v>79</v>
      </c>
      <c r="E13" s="50">
        <v>21</v>
      </c>
      <c r="F13" s="28">
        <f ca="1">$D$1-43549</f>
        <v>100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760</v>
      </c>
      <c r="W13" s="40">
        <f t="shared" si="8"/>
        <v>-20</v>
      </c>
      <c r="X13" s="39">
        <v>310</v>
      </c>
      <c r="Y13" s="42">
        <f t="shared" si="9"/>
        <v>2.4516129032258065</v>
      </c>
      <c r="Z13" s="45">
        <v>0</v>
      </c>
      <c r="AA13" s="34">
        <v>4</v>
      </c>
      <c r="AB13" s="45">
        <v>5</v>
      </c>
      <c r="AC13" s="34">
        <v>3</v>
      </c>
      <c r="AD13" s="45">
        <v>3</v>
      </c>
      <c r="AE13" s="34">
        <v>1</v>
      </c>
      <c r="AF13" s="45">
        <v>4</v>
      </c>
      <c r="AG13" s="46">
        <v>338</v>
      </c>
      <c r="AH13" s="46">
        <v>1229</v>
      </c>
      <c r="AI13" s="43">
        <f t="shared" si="10"/>
        <v>6.0311574003323321</v>
      </c>
      <c r="AJ13" s="43">
        <f t="shared" si="11"/>
        <v>6.6068019120524681</v>
      </c>
      <c r="AK13" s="42">
        <f t="shared" si="12"/>
        <v>1.7334626159193018</v>
      </c>
      <c r="AL13" s="42">
        <f t="shared" si="13"/>
        <v>0.82902642729969456</v>
      </c>
      <c r="AM13" s="42">
        <f t="shared" si="14"/>
        <v>4.4253643163481513</v>
      </c>
      <c r="AN13" s="42">
        <f t="shared" si="15"/>
        <v>0.340892933836764</v>
      </c>
      <c r="AO13" s="42">
        <f t="shared" si="16"/>
        <v>0.42953131710716852</v>
      </c>
      <c r="AP13" s="44">
        <f t="shared" si="17"/>
        <v>4.9875707765219355</v>
      </c>
      <c r="AQ13" s="44">
        <f t="shared" si="18"/>
        <v>5.4636100429092433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16.419642857142858</v>
      </c>
      <c r="D14" s="217" t="s">
        <v>81</v>
      </c>
      <c r="E14" s="50">
        <v>19</v>
      </c>
      <c r="F14" s="28">
        <f ca="1">$D$1-43584</f>
        <v>65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4.9000000000000004</v>
      </c>
      <c r="Q14" s="37">
        <f t="shared" si="5"/>
        <v>68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950</v>
      </c>
      <c r="W14" s="40">
        <f t="shared" si="8"/>
        <v>-10</v>
      </c>
      <c r="X14" s="39">
        <v>330</v>
      </c>
      <c r="Y14" s="42">
        <f t="shared" si="9"/>
        <v>2.8787878787878789</v>
      </c>
      <c r="Z14" s="45">
        <v>0</v>
      </c>
      <c r="AA14" s="34">
        <v>3</v>
      </c>
      <c r="AB14" s="45">
        <v>5</v>
      </c>
      <c r="AC14" s="34">
        <v>1</v>
      </c>
      <c r="AD14" s="45">
        <v>5</v>
      </c>
      <c r="AE14" s="34">
        <v>2</v>
      </c>
      <c r="AF14" s="45">
        <v>5</v>
      </c>
      <c r="AG14" s="46">
        <v>354</v>
      </c>
      <c r="AH14" s="46">
        <v>1602</v>
      </c>
      <c r="AI14" s="43">
        <f t="shared" si="10"/>
        <v>5.8327250312504519</v>
      </c>
      <c r="AJ14" s="43">
        <f t="shared" si="11"/>
        <v>6.3894301426817952</v>
      </c>
      <c r="AK14" s="42">
        <f t="shared" si="12"/>
        <v>1.9759833230367903</v>
      </c>
      <c r="AL14" s="42">
        <f t="shared" si="13"/>
        <v>2.2582817945787612</v>
      </c>
      <c r="AM14" s="42">
        <f t="shared" si="14"/>
        <v>5.0720862019947868</v>
      </c>
      <c r="AN14" s="42">
        <f t="shared" si="15"/>
        <v>0.40210986620415801</v>
      </c>
      <c r="AO14" s="42">
        <f t="shared" si="16"/>
        <v>0.40309613292863827</v>
      </c>
      <c r="AP14" s="44">
        <f t="shared" si="17"/>
        <v>5.4935026557353579</v>
      </c>
      <c r="AQ14" s="44">
        <f t="shared" si="18"/>
        <v>6.017830648521584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12.866071428571429</v>
      </c>
      <c r="D15" s="217" t="s">
        <v>83</v>
      </c>
      <c r="E15" s="50">
        <v>23</v>
      </c>
      <c r="F15" s="28">
        <f ca="1">$D$1-43634</f>
        <v>15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5.8</v>
      </c>
      <c r="Q15" s="37">
        <f t="shared" si="5"/>
        <v>77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1380</v>
      </c>
      <c r="W15" s="40">
        <f t="shared" si="8"/>
        <v>10</v>
      </c>
      <c r="X15" s="39">
        <v>430</v>
      </c>
      <c r="Y15" s="42">
        <f t="shared" si="9"/>
        <v>3.2093023255813953</v>
      </c>
      <c r="Z15" s="45">
        <v>0</v>
      </c>
      <c r="AA15" s="34">
        <v>5</v>
      </c>
      <c r="AB15" s="45">
        <v>6</v>
      </c>
      <c r="AC15" s="34">
        <v>2</v>
      </c>
      <c r="AD15" s="45">
        <v>3</v>
      </c>
      <c r="AE15" s="34">
        <v>1</v>
      </c>
      <c r="AF15" s="45">
        <v>4</v>
      </c>
      <c r="AG15" s="46">
        <v>394</v>
      </c>
      <c r="AH15" s="46">
        <v>1098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0.82902642729969456</v>
      </c>
      <c r="AM15" s="42">
        <f t="shared" si="14"/>
        <v>4.4253643163481513</v>
      </c>
      <c r="AN15" s="42">
        <f t="shared" si="15"/>
        <v>0.340892933836764</v>
      </c>
      <c r="AO15" s="42">
        <f t="shared" si="16"/>
        <v>0.46953131710716856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11.883928571428571</v>
      </c>
      <c r="D16" s="217" t="s">
        <v>85</v>
      </c>
      <c r="E16" s="50">
        <v>24</v>
      </c>
      <c r="F16" s="28">
        <f ca="1">$D$1-43636</f>
        <v>13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990</v>
      </c>
      <c r="W16" s="40">
        <f t="shared" si="8"/>
        <v>40</v>
      </c>
      <c r="X16" s="39">
        <v>410</v>
      </c>
      <c r="Y16" s="42">
        <f t="shared" si="9"/>
        <v>2.4146341463414633</v>
      </c>
      <c r="Z16" s="45">
        <v>0</v>
      </c>
      <c r="AA16" s="34">
        <v>3</v>
      </c>
      <c r="AB16" s="45">
        <v>6</v>
      </c>
      <c r="AC16" s="34">
        <v>2</v>
      </c>
      <c r="AD16" s="45">
        <v>4</v>
      </c>
      <c r="AE16" s="34">
        <v>3</v>
      </c>
      <c r="AF16" s="45">
        <v>4</v>
      </c>
      <c r="AG16" s="46">
        <v>391</v>
      </c>
      <c r="AH16" s="46">
        <v>950</v>
      </c>
      <c r="AI16" s="43">
        <f t="shared" si="10"/>
        <v>6.1503601180760574</v>
      </c>
      <c r="AJ16" s="43">
        <f t="shared" si="11"/>
        <v>6.8763116550608494</v>
      </c>
      <c r="AK16" s="42">
        <f t="shared" si="12"/>
        <v>1.644947216512374</v>
      </c>
      <c r="AL16" s="42">
        <f t="shared" si="13"/>
        <v>3.2511878794156304</v>
      </c>
      <c r="AM16" s="42">
        <f t="shared" si="14"/>
        <v>4.4117235422336121</v>
      </c>
      <c r="AN16" s="42">
        <f t="shared" si="15"/>
        <v>0.44089293383676403</v>
      </c>
      <c r="AO16" s="42">
        <f t="shared" si="16"/>
        <v>0.38953131710716848</v>
      </c>
      <c r="AP16" s="44">
        <f t="shared" si="17"/>
        <v>4.4610189195577838</v>
      </c>
      <c r="AQ16" s="44">
        <f t="shared" si="18"/>
        <v>4.9875707765219355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8.8482142857142865</v>
      </c>
      <c r="D17" s="217" t="s">
        <v>87</v>
      </c>
      <c r="E17" s="50">
        <v>27</v>
      </c>
      <c r="F17" s="28">
        <f ca="1">$D$1-43632</f>
        <v>17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4</v>
      </c>
      <c r="T17" s="31">
        <f t="shared" si="6"/>
        <v>0.7559289460184544</v>
      </c>
      <c r="U17" s="31">
        <f t="shared" si="7"/>
        <v>0.84430867747355465</v>
      </c>
      <c r="V17" s="39">
        <v>1300</v>
      </c>
      <c r="W17" s="40">
        <f t="shared" si="8"/>
        <v>110</v>
      </c>
      <c r="X17" s="39">
        <v>330</v>
      </c>
      <c r="Y17" s="42">
        <f t="shared" si="9"/>
        <v>3.9393939393939394</v>
      </c>
      <c r="Z17" s="45">
        <v>0</v>
      </c>
      <c r="AA17" s="34">
        <v>5</v>
      </c>
      <c r="AB17" s="45">
        <v>5</v>
      </c>
      <c r="AC17" s="34">
        <v>5</v>
      </c>
      <c r="AD17" s="45">
        <v>3</v>
      </c>
      <c r="AE17" s="34">
        <v>2</v>
      </c>
      <c r="AF17" s="45">
        <v>2</v>
      </c>
      <c r="AG17" s="46">
        <v>423</v>
      </c>
      <c r="AH17" s="46">
        <v>552</v>
      </c>
      <c r="AI17" s="43">
        <f t="shared" si="10"/>
        <v>5.6180336940216087</v>
      </c>
      <c r="AJ17" s="43">
        <f t="shared" si="11"/>
        <v>6.2811526198582861</v>
      </c>
      <c r="AK17" s="42">
        <f t="shared" si="12"/>
        <v>1.7287981622488759</v>
      </c>
      <c r="AL17" s="42">
        <f t="shared" si="13"/>
        <v>1.6589855619451492</v>
      </c>
      <c r="AM17" s="42">
        <f t="shared" si="14"/>
        <v>3.3502468559662448</v>
      </c>
      <c r="AN17" s="42">
        <f t="shared" si="15"/>
        <v>0.3545568004625087</v>
      </c>
      <c r="AO17" s="42">
        <f t="shared" si="16"/>
        <v>0.43023720040469515</v>
      </c>
      <c r="AP17" s="44">
        <f t="shared" si="17"/>
        <v>3.252570743977159</v>
      </c>
      <c r="AQ17" s="44">
        <f t="shared" si="18"/>
        <v>3.6364846425799962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15.098214285714286</v>
      </c>
      <c r="D18" s="217" t="s">
        <v>91</v>
      </c>
      <c r="E18" s="50">
        <v>20</v>
      </c>
      <c r="F18" s="28">
        <f ca="1">$D$1-43548</f>
        <v>101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5.8</v>
      </c>
      <c r="Q18" s="37">
        <f t="shared" si="5"/>
        <v>77</v>
      </c>
      <c r="R18" s="38">
        <v>1.5</v>
      </c>
      <c r="S18" s="37">
        <v>4</v>
      </c>
      <c r="T18" s="31">
        <f t="shared" si="6"/>
        <v>0.7559289460184544</v>
      </c>
      <c r="U18" s="31">
        <f t="shared" si="7"/>
        <v>0.84430867747355465</v>
      </c>
      <c r="V18" s="39">
        <v>1330</v>
      </c>
      <c r="W18" s="40">
        <f t="shared" si="8"/>
        <v>100</v>
      </c>
      <c r="X18" s="39">
        <v>330</v>
      </c>
      <c r="Y18" s="42">
        <f t="shared" si="9"/>
        <v>4.0303030303030303</v>
      </c>
      <c r="Z18" s="45">
        <v>0</v>
      </c>
      <c r="AA18" s="34">
        <v>4</v>
      </c>
      <c r="AB18" s="45">
        <v>5</v>
      </c>
      <c r="AC18" s="34">
        <v>5</v>
      </c>
      <c r="AD18" s="45">
        <v>4</v>
      </c>
      <c r="AE18" s="34">
        <v>1</v>
      </c>
      <c r="AF18" s="45">
        <v>4</v>
      </c>
      <c r="AG18" s="46">
        <v>402</v>
      </c>
      <c r="AH18" s="46">
        <v>1445</v>
      </c>
      <c r="AI18" s="43">
        <f t="shared" si="10"/>
        <v>5.2169478655762385</v>
      </c>
      <c r="AJ18" s="43">
        <f t="shared" si="11"/>
        <v>5.8327250312504519</v>
      </c>
      <c r="AK18" s="42">
        <f t="shared" si="12"/>
        <v>1.6728820948341687</v>
      </c>
      <c r="AL18" s="42">
        <f t="shared" si="13"/>
        <v>0.34926567131054559</v>
      </c>
      <c r="AM18" s="42">
        <f t="shared" si="14"/>
        <v>3.7806828681411746</v>
      </c>
      <c r="AN18" s="42">
        <f t="shared" si="15"/>
        <v>0.32210986620415805</v>
      </c>
      <c r="AO18" s="42">
        <f t="shared" si="16"/>
        <v>0.41309613292863823</v>
      </c>
      <c r="AP18" s="44">
        <f t="shared" si="17"/>
        <v>4.1576092031014991</v>
      </c>
      <c r="AQ18" s="44">
        <f t="shared" si="18"/>
        <v>4.6483484010068414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13.258928571428571</v>
      </c>
      <c r="D19" s="217" t="s">
        <v>93</v>
      </c>
      <c r="E19" s="50">
        <v>22</v>
      </c>
      <c r="F19" s="28">
        <f ca="1">$D$1-43566</f>
        <v>83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2250</v>
      </c>
      <c r="W19" s="40">
        <f t="shared" si="8"/>
        <v>-60</v>
      </c>
      <c r="X19" s="39">
        <v>370</v>
      </c>
      <c r="Y19" s="42">
        <f t="shared" si="9"/>
        <v>6.0810810810810807</v>
      </c>
      <c r="Z19" s="45">
        <v>0</v>
      </c>
      <c r="AA19" s="34">
        <v>3</v>
      </c>
      <c r="AB19" s="45">
        <v>5</v>
      </c>
      <c r="AC19" s="34">
        <v>6</v>
      </c>
      <c r="AD19" s="45">
        <v>5</v>
      </c>
      <c r="AE19" s="34">
        <v>2</v>
      </c>
      <c r="AF19" s="45">
        <v>4</v>
      </c>
      <c r="AG19" s="46">
        <v>441</v>
      </c>
      <c r="AH19" s="46">
        <v>1204</v>
      </c>
      <c r="AI19" s="43">
        <f t="shared" si="10"/>
        <v>6.0311574003323321</v>
      </c>
      <c r="AJ19" s="43">
        <f t="shared" si="11"/>
        <v>6.6068019120524681</v>
      </c>
      <c r="AK19" s="42">
        <f t="shared" si="12"/>
        <v>2.0503954614424957</v>
      </c>
      <c r="AL19" s="42">
        <f t="shared" si="13"/>
        <v>2.2319824901490319</v>
      </c>
      <c r="AM19" s="42">
        <f t="shared" si="14"/>
        <v>4.6789105927667061</v>
      </c>
      <c r="AN19" s="42">
        <f t="shared" si="15"/>
        <v>0.39089293383676399</v>
      </c>
      <c r="AO19" s="42">
        <f t="shared" si="16"/>
        <v>0.38953131710716848</v>
      </c>
      <c r="AP19" s="44">
        <f t="shared" si="17"/>
        <v>4.9875707765219355</v>
      </c>
      <c r="AQ19" s="44">
        <f t="shared" si="18"/>
        <v>5.4636100429092433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17.848214285714285</v>
      </c>
      <c r="D20" s="217" t="s">
        <v>96</v>
      </c>
      <c r="E20" s="50">
        <v>18</v>
      </c>
      <c r="F20" s="28">
        <f ca="1">$D$1-43632</f>
        <v>17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5</v>
      </c>
      <c r="T20" s="31">
        <f t="shared" si="6"/>
        <v>0.84515425472851657</v>
      </c>
      <c r="U20" s="31">
        <f t="shared" si="7"/>
        <v>0.92504826128926143</v>
      </c>
      <c r="V20" s="39">
        <v>1280</v>
      </c>
      <c r="W20" s="40">
        <f t="shared" si="8"/>
        <v>20</v>
      </c>
      <c r="X20" s="39">
        <v>410</v>
      </c>
      <c r="Y20" s="42">
        <f t="shared" si="9"/>
        <v>3.1219512195121952</v>
      </c>
      <c r="Z20" s="45">
        <v>0</v>
      </c>
      <c r="AA20" s="34">
        <v>1</v>
      </c>
      <c r="AB20" s="45">
        <v>3</v>
      </c>
      <c r="AC20" s="34">
        <v>5</v>
      </c>
      <c r="AD20" s="45">
        <v>3</v>
      </c>
      <c r="AE20" s="34">
        <v>6</v>
      </c>
      <c r="AF20" s="45">
        <v>5</v>
      </c>
      <c r="AG20" s="46">
        <v>386</v>
      </c>
      <c r="AH20" s="46">
        <v>1860</v>
      </c>
      <c r="AI20" s="43">
        <f t="shared" si="10"/>
        <v>4.142416521793419</v>
      </c>
      <c r="AJ20" s="43">
        <f t="shared" si="11"/>
        <v>4.5377899431366924</v>
      </c>
      <c r="AK20" s="42">
        <f t="shared" si="12"/>
        <v>1.3421176319904029</v>
      </c>
      <c r="AL20" s="42">
        <f t="shared" si="13"/>
        <v>7.8701060459761116</v>
      </c>
      <c r="AM20" s="42">
        <f t="shared" si="14"/>
        <v>6.0862713076690067</v>
      </c>
      <c r="AN20" s="42">
        <f t="shared" si="15"/>
        <v>0.60210986620415796</v>
      </c>
      <c r="AO20" s="42">
        <f t="shared" si="16"/>
        <v>0.32309613292863826</v>
      </c>
      <c r="AP20" s="44">
        <f t="shared" si="17"/>
        <v>5.4935026557353579</v>
      </c>
      <c r="AQ20" s="44">
        <f t="shared" si="18"/>
        <v>6.017830648521584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2.8928571428571428</v>
      </c>
      <c r="D21" s="217" t="s">
        <v>98</v>
      </c>
      <c r="E21" s="50">
        <v>33</v>
      </c>
      <c r="F21" s="28">
        <f ca="1">$D$1-43637</f>
        <v>12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210</v>
      </c>
      <c r="W21" s="40">
        <f t="shared" si="8"/>
        <v>-10</v>
      </c>
      <c r="X21" s="39">
        <v>310</v>
      </c>
      <c r="Y21" s="42">
        <f t="shared" si="9"/>
        <v>0.67741935483870963</v>
      </c>
      <c r="Z21" s="45">
        <v>0</v>
      </c>
      <c r="AA21" s="34">
        <v>2</v>
      </c>
      <c r="AB21" s="45">
        <v>3</v>
      </c>
      <c r="AC21" s="34">
        <v>2</v>
      </c>
      <c r="AD21" s="45">
        <v>3</v>
      </c>
      <c r="AE21" s="34">
        <v>6</v>
      </c>
      <c r="AF21" s="45">
        <v>3</v>
      </c>
      <c r="AG21" s="46">
        <v>339</v>
      </c>
      <c r="AH21" s="46">
        <v>-275</v>
      </c>
      <c r="AI21" s="43">
        <f t="shared" si="10"/>
        <v>4.6800712663903941</v>
      </c>
      <c r="AJ21" s="43">
        <f t="shared" si="11"/>
        <v>5.1267612066675756</v>
      </c>
      <c r="AK21" s="42">
        <f t="shared" si="12"/>
        <v>1.649382443055333</v>
      </c>
      <c r="AL21" s="42">
        <f t="shared" si="13"/>
        <v>8.1286533513340569</v>
      </c>
      <c r="AM21" s="42">
        <f t="shared" si="14"/>
        <v>5.4407100956460592</v>
      </c>
      <c r="AN21" s="42">
        <f t="shared" si="15"/>
        <v>0.59300280004092198</v>
      </c>
      <c r="AO21" s="42">
        <f t="shared" si="16"/>
        <v>0.34762745003580681</v>
      </c>
      <c r="AP21" s="44">
        <f t="shared" si="17"/>
        <v>4.5908441104012523</v>
      </c>
      <c r="AQ21" s="44">
        <f t="shared" si="18"/>
        <v>5.0290177545130064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9.9464285714285712</v>
      </c>
      <c r="D22" s="217" t="s">
        <v>100</v>
      </c>
      <c r="E22" s="50">
        <v>26</v>
      </c>
      <c r="F22" s="28">
        <f ca="1">$D$1-43531-112</f>
        <v>6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4</v>
      </c>
      <c r="T22" s="31">
        <f t="shared" si="6"/>
        <v>0.7559289460184544</v>
      </c>
      <c r="U22" s="31">
        <f t="shared" si="7"/>
        <v>0.84430867747355465</v>
      </c>
      <c r="V22" s="39">
        <v>850</v>
      </c>
      <c r="W22" s="40">
        <f t="shared" si="8"/>
        <v>50</v>
      </c>
      <c r="X22" s="39">
        <v>310</v>
      </c>
      <c r="Y22" s="42">
        <f t="shared" si="9"/>
        <v>2.7419354838709675</v>
      </c>
      <c r="Z22" s="45">
        <v>0</v>
      </c>
      <c r="AA22" s="34">
        <v>2</v>
      </c>
      <c r="AB22" s="45">
        <v>3</v>
      </c>
      <c r="AC22" s="34">
        <v>2</v>
      </c>
      <c r="AD22" s="45">
        <v>5</v>
      </c>
      <c r="AE22" s="34">
        <v>5</v>
      </c>
      <c r="AF22" s="45">
        <v>2</v>
      </c>
      <c r="AG22" s="46">
        <v>351</v>
      </c>
      <c r="AH22" s="46">
        <v>633</v>
      </c>
      <c r="AI22" s="43">
        <f t="shared" si="10"/>
        <v>4.0084996899956131</v>
      </c>
      <c r="AJ22" s="43">
        <f t="shared" si="11"/>
        <v>4.4816388973085131</v>
      </c>
      <c r="AK22" s="42">
        <f t="shared" si="12"/>
        <v>1.7866607385052755</v>
      </c>
      <c r="AL22" s="42">
        <f t="shared" si="13"/>
        <v>5.2076475056211704</v>
      </c>
      <c r="AM22" s="42">
        <f t="shared" si="14"/>
        <v>3.9329067953937673</v>
      </c>
      <c r="AN22" s="42">
        <f t="shared" si="15"/>
        <v>0.49421973240831596</v>
      </c>
      <c r="AO22" s="42">
        <f t="shared" si="16"/>
        <v>0.30119226585727649</v>
      </c>
      <c r="AP22" s="44">
        <f t="shared" si="17"/>
        <v>3.1266443340022394</v>
      </c>
      <c r="AQ22" s="44">
        <f t="shared" si="18"/>
        <v>3.4956946361467827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SUM(V4:V22)</f>
        <v>20070</v>
      </c>
      <c r="W23" s="63">
        <f t="shared" ref="W23:X23" si="20">SUM(W4:W22)</f>
        <v>970</v>
      </c>
      <c r="X23" s="63">
        <f t="shared" si="20"/>
        <v>7790</v>
      </c>
      <c r="Y23" s="64">
        <f t="shared" si="9"/>
        <v>2.5763799743260591</v>
      </c>
      <c r="AF23" s="62"/>
      <c r="AG23" s="63"/>
      <c r="AH23" s="63"/>
      <c r="AK23" s="63"/>
      <c r="AL23" s="63"/>
      <c r="AM23" s="63"/>
      <c r="AN23" s="63"/>
      <c r="AO23" s="63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Z24" s="66"/>
      <c r="AG24" s="15"/>
      <c r="AH24" s="15"/>
      <c r="AK24" s="15"/>
      <c r="AL24" s="15"/>
      <c r="AM24" s="15"/>
      <c r="AN24" s="15"/>
      <c r="AO24" s="15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Z25" s="66"/>
      <c r="AA25" s="68"/>
      <c r="AG25" s="66"/>
      <c r="AH25" s="66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Z26" s="66"/>
      <c r="AA26" s="68"/>
      <c r="AG26" s="71"/>
      <c r="AH26" s="71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Z31" s="66"/>
      <c r="AA31" s="68"/>
      <c r="AG31" s="66"/>
      <c r="AH31" s="66"/>
      <c r="AK31" s="66"/>
      <c r="AL31" s="66"/>
      <c r="AN31" s="66"/>
      <c r="AO31" s="66"/>
      <c r="AP31" s="66"/>
      <c r="AQ31" s="66"/>
      <c r="BA31" s="62"/>
    </row>
  </sheetData>
  <mergeCells count="1">
    <mergeCell ref="E1:G1"/>
  </mergeCells>
  <conditionalFormatting sqref="J4:J22">
    <cfRule type="cellIs" dxfId="10" priority="21" operator="lessThan">
      <formula>0.07</formula>
    </cfRule>
    <cfRule type="cellIs" dxfId="9" priority="22" operator="greaterThan">
      <formula>0.1</formula>
    </cfRule>
  </conditionalFormatting>
  <conditionalFormatting sqref="X4:X2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2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2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2">
    <cfRule type="cellIs" dxfId="8" priority="35" operator="greaterThan">
      <formula>10</formula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8">
      <colorScale>
        <cfvo type="min"/>
        <cfvo type="max"/>
        <color rgb="FFFCFCFF"/>
        <color rgb="FFF8696B"/>
      </colorScale>
    </cfRule>
  </conditionalFormatting>
  <conditionalFormatting sqref="W4:W2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{DC7A1E22-65A8-43CC-8046-FBBA4BFC0107}</x14:id>
        </ext>
      </extLst>
    </cfRule>
  </conditionalFormatting>
  <conditionalFormatting sqref="Q4:Q22">
    <cfRule type="cellIs" dxfId="0" priority="3" operator="greaterThan">
      <formula>80</formula>
    </cfRule>
    <cfRule type="cellIs" dxfId="1" priority="2" operator="between">
      <formula>70</formula>
      <formula>80</formula>
    </cfRule>
    <cfRule type="cellIs" dxfId="2" priority="1" operator="lessThan">
      <formula>70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AG4:AG22</xm:sqref>
        </x14:conditionalFormatting>
        <x14:conditionalFormatting xmlns:xm="http://schemas.microsoft.com/office/excel/2006/main">
          <x14:cfRule type="dataBar" id="{DC7A1E22-65A8-43CC-8046-FBBA4BFC010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O33"/>
  <sheetViews>
    <sheetView zoomScaleNormal="100" workbookViewId="0">
      <selection activeCell="O11" sqref="O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29" width="4.85546875" style="62" customWidth="1"/>
    <col min="30" max="32" width="4" style="62" customWidth="1"/>
    <col min="33" max="33" width="4.7109375" style="62" customWidth="1"/>
    <col min="34" max="34" width="5.140625" style="62" customWidth="1"/>
    <col min="35" max="35" width="29.42578125" bestFit="1" customWidth="1"/>
    <col min="36" max="36" width="4.7109375" customWidth="1"/>
    <col min="37" max="37" width="4.85546875" customWidth="1"/>
    <col min="38" max="38" width="6.85546875" customWidth="1"/>
    <col min="39" max="39" width="4.85546875" customWidth="1"/>
    <col min="40" max="40" width="4.42578125" customWidth="1"/>
    <col min="41" max="41" width="5.140625" customWidth="1"/>
    <col min="42" max="1025" width="10.7109375" customWidth="1"/>
  </cols>
  <sheetData>
    <row r="1" spans="1:41" x14ac:dyDescent="0.25">
      <c r="A1" s="325" t="s">
        <v>170</v>
      </c>
      <c r="B1" s="325"/>
      <c r="C1" s="325"/>
      <c r="D1" s="325"/>
      <c r="E1" s="325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107"/>
      <c r="AC1" s="313"/>
      <c r="AD1" s="107"/>
      <c r="AE1" s="107"/>
      <c r="AF1" s="313"/>
      <c r="AG1" s="107"/>
      <c r="AH1" s="107"/>
      <c r="AI1" s="109"/>
      <c r="AJ1" s="107"/>
      <c r="AK1" s="107"/>
      <c r="AL1" s="107"/>
      <c r="AM1" s="107"/>
      <c r="AN1" s="107"/>
      <c r="AO1" s="107"/>
    </row>
    <row r="2" spans="1:41" x14ac:dyDescent="0.25">
      <c r="A2" s="110" t="s">
        <v>171</v>
      </c>
      <c r="B2" s="110"/>
      <c r="C2" s="110"/>
      <c r="D2" s="110"/>
      <c r="E2" s="110"/>
      <c r="F2" s="110"/>
      <c r="G2" s="111"/>
      <c r="H2" s="110" t="s">
        <v>172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11"/>
      <c r="AK2" s="111"/>
      <c r="AL2" s="111"/>
      <c r="AM2" s="111"/>
      <c r="AN2" s="111"/>
      <c r="AO2" s="111"/>
    </row>
    <row r="3" spans="1:41" x14ac:dyDescent="0.25">
      <c r="A3" s="110" t="s">
        <v>3</v>
      </c>
      <c r="B3" s="110" t="s">
        <v>154</v>
      </c>
      <c r="C3" s="110" t="s">
        <v>5</v>
      </c>
      <c r="D3" s="111" t="s">
        <v>155</v>
      </c>
      <c r="E3" s="110" t="s">
        <v>156</v>
      </c>
      <c r="F3" s="110" t="s">
        <v>273</v>
      </c>
      <c r="G3" s="111" t="s">
        <v>157</v>
      </c>
      <c r="H3" s="110" t="s">
        <v>58</v>
      </c>
      <c r="I3" s="110" t="s">
        <v>41</v>
      </c>
      <c r="J3" s="114" t="s">
        <v>158</v>
      </c>
      <c r="K3" s="114" t="s">
        <v>41</v>
      </c>
      <c r="L3" s="110" t="s">
        <v>159</v>
      </c>
      <c r="M3" s="110" t="s">
        <v>41</v>
      </c>
      <c r="N3" s="114" t="s">
        <v>66</v>
      </c>
      <c r="O3" s="114" t="s">
        <v>41</v>
      </c>
      <c r="P3" s="110" t="s">
        <v>160</v>
      </c>
      <c r="Q3" s="110" t="s">
        <v>41</v>
      </c>
      <c r="R3" s="114" t="s">
        <v>161</v>
      </c>
      <c r="S3" s="114" t="s">
        <v>41</v>
      </c>
      <c r="T3" s="110" t="s">
        <v>162</v>
      </c>
      <c r="U3" s="110" t="s">
        <v>41</v>
      </c>
      <c r="V3" s="111" t="s">
        <v>274</v>
      </c>
      <c r="W3" s="111" t="s">
        <v>164</v>
      </c>
      <c r="X3" s="111" t="s">
        <v>41</v>
      </c>
      <c r="Y3" s="111" t="s">
        <v>163</v>
      </c>
      <c r="Z3" s="111" t="s">
        <v>275</v>
      </c>
      <c r="AA3" s="111" t="s">
        <v>58</v>
      </c>
      <c r="AB3" s="111" t="s">
        <v>166</v>
      </c>
      <c r="AC3" s="111" t="s">
        <v>286</v>
      </c>
      <c r="AD3" s="111" t="s">
        <v>167</v>
      </c>
      <c r="AE3" s="111" t="s">
        <v>168</v>
      </c>
      <c r="AF3" s="111" t="s">
        <v>285</v>
      </c>
      <c r="AG3" s="111" t="s">
        <v>169</v>
      </c>
      <c r="AH3" s="111" t="s">
        <v>95</v>
      </c>
      <c r="AI3" s="112" t="s">
        <v>165</v>
      </c>
      <c r="AJ3" s="111" t="s">
        <v>58</v>
      </c>
      <c r="AK3" s="111" t="s">
        <v>158</v>
      </c>
      <c r="AL3" s="111" t="s">
        <v>159</v>
      </c>
      <c r="AM3" s="111" t="s">
        <v>66</v>
      </c>
      <c r="AN3" s="111" t="s">
        <v>160</v>
      </c>
      <c r="AO3" s="111" t="s">
        <v>161</v>
      </c>
    </row>
    <row r="4" spans="1:41" ht="15.75" x14ac:dyDescent="0.25">
      <c r="A4" s="323" t="s">
        <v>175</v>
      </c>
      <c r="B4" s="127">
        <v>15</v>
      </c>
      <c r="C4" s="128">
        <f ca="1">3+$A$29-$A$31</f>
        <v>15</v>
      </c>
      <c r="D4" s="129"/>
      <c r="E4" s="199">
        <f ca="1">F4-TODAY()</f>
        <v>209</v>
      </c>
      <c r="F4" s="216">
        <v>43858</v>
      </c>
      <c r="G4" s="200"/>
      <c r="H4" s="130"/>
      <c r="I4" s="130"/>
      <c r="J4" s="319"/>
      <c r="K4" s="201"/>
      <c r="L4" s="130"/>
      <c r="M4" s="201"/>
      <c r="N4" s="130"/>
      <c r="O4" s="203">
        <v>3.99</v>
      </c>
      <c r="P4" s="130"/>
      <c r="Q4" s="205">
        <v>5.99</v>
      </c>
      <c r="R4" s="130"/>
      <c r="S4" s="201"/>
      <c r="T4" s="130"/>
      <c r="U4" s="201"/>
      <c r="V4" s="206" t="s">
        <v>176</v>
      </c>
      <c r="W4" s="209"/>
      <c r="X4" s="209">
        <f>COUNT(I4,K4,M4,O4,Q4,S4,U4)</f>
        <v>2</v>
      </c>
      <c r="Y4" s="131">
        <v>1</v>
      </c>
      <c r="Z4" s="209">
        <v>1</v>
      </c>
      <c r="AA4" s="211"/>
      <c r="AB4" s="212"/>
      <c r="AC4" s="212"/>
      <c r="AD4" s="212"/>
      <c r="AE4" s="212"/>
      <c r="AF4" s="212">
        <v>2.5</v>
      </c>
      <c r="AG4" s="212">
        <v>3</v>
      </c>
      <c r="AH4" s="213"/>
      <c r="AI4" s="214" t="s">
        <v>247</v>
      </c>
      <c r="AJ4" s="129"/>
      <c r="AK4" s="129"/>
      <c r="AL4" s="129"/>
      <c r="AM4" s="129"/>
      <c r="AN4" s="129"/>
      <c r="AO4" s="215"/>
    </row>
    <row r="5" spans="1:41" x14ac:dyDescent="0.25">
      <c r="A5" s="139" t="s">
        <v>284</v>
      </c>
      <c r="B5" s="127">
        <v>16</v>
      </c>
      <c r="C5" s="128">
        <f ca="1">6+$A$29-$A$31</f>
        <v>18</v>
      </c>
      <c r="D5" s="133"/>
      <c r="E5" s="199">
        <f ca="1">F5-TODAY()</f>
        <v>108</v>
      </c>
      <c r="F5" s="216">
        <v>43757</v>
      </c>
      <c r="G5" s="200"/>
      <c r="H5" s="135"/>
      <c r="I5" s="135"/>
      <c r="J5" s="320"/>
      <c r="K5" s="318">
        <v>6.99</v>
      </c>
      <c r="L5" s="316">
        <v>4</v>
      </c>
      <c r="M5" s="317">
        <v>4.99</v>
      </c>
      <c r="N5" s="135"/>
      <c r="O5" s="202"/>
      <c r="P5" s="135"/>
      <c r="Q5" s="202"/>
      <c r="R5" s="135"/>
      <c r="S5" s="202"/>
      <c r="T5" s="135"/>
      <c r="U5" s="202"/>
      <c r="V5" s="207" t="s">
        <v>182</v>
      </c>
      <c r="W5" s="210"/>
      <c r="X5" s="209">
        <f t="shared" ref="X5" si="0">COUNT(I5,K5,M5,O5,Q5,S5,U5)</f>
        <v>2</v>
      </c>
      <c r="Y5" s="131">
        <v>0</v>
      </c>
      <c r="Z5" s="209">
        <v>0</v>
      </c>
      <c r="AA5" s="211"/>
      <c r="AB5" s="212"/>
      <c r="AC5" s="212"/>
      <c r="AD5" s="212"/>
      <c r="AE5" s="212"/>
      <c r="AF5" s="212">
        <v>5.5</v>
      </c>
      <c r="AG5" s="212"/>
      <c r="AH5" s="213"/>
      <c r="AI5" s="214" t="s">
        <v>288</v>
      </c>
      <c r="AJ5" s="113"/>
      <c r="AK5" s="113"/>
      <c r="AL5" s="113"/>
      <c r="AM5" s="113"/>
      <c r="AN5" s="113"/>
      <c r="AO5" s="210"/>
    </row>
    <row r="6" spans="1:41" x14ac:dyDescent="0.25">
      <c r="A6" s="326" t="s">
        <v>173</v>
      </c>
      <c r="B6" s="326"/>
      <c r="C6" s="326"/>
      <c r="D6" s="326"/>
      <c r="E6" s="326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115"/>
      <c r="AC6" s="314"/>
      <c r="AD6" s="115"/>
      <c r="AE6" s="115"/>
      <c r="AF6" s="314"/>
      <c r="AG6" s="115"/>
      <c r="AH6" s="115"/>
      <c r="AI6" s="117"/>
      <c r="AJ6" s="115"/>
      <c r="AK6" s="115"/>
      <c r="AL6" s="115"/>
      <c r="AM6" s="115"/>
      <c r="AN6" s="115"/>
      <c r="AO6" s="115"/>
    </row>
    <row r="7" spans="1:41" x14ac:dyDescent="0.25">
      <c r="A7" s="118" t="s">
        <v>171</v>
      </c>
      <c r="B7" s="118"/>
      <c r="C7" s="118"/>
      <c r="D7" s="118"/>
      <c r="E7" s="118"/>
      <c r="F7" s="118"/>
      <c r="G7" s="119"/>
      <c r="H7" s="118" t="s">
        <v>172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0"/>
      <c r="AJ7" s="119"/>
      <c r="AK7" s="119"/>
      <c r="AL7" s="119"/>
      <c r="AM7" s="119"/>
      <c r="AN7" s="119"/>
      <c r="AO7" s="119"/>
    </row>
    <row r="8" spans="1:41" x14ac:dyDescent="0.25">
      <c r="A8" s="118" t="s">
        <v>3</v>
      </c>
      <c r="B8" s="118" t="s">
        <v>154</v>
      </c>
      <c r="C8" s="118" t="s">
        <v>5</v>
      </c>
      <c r="D8" s="119" t="s">
        <v>155</v>
      </c>
      <c r="E8" s="118" t="s">
        <v>156</v>
      </c>
      <c r="F8" s="118" t="str">
        <f>F3</f>
        <v>Fpromo</v>
      </c>
      <c r="G8" s="119" t="s">
        <v>157</v>
      </c>
      <c r="H8" s="118" t="s">
        <v>58</v>
      </c>
      <c r="I8" s="118" t="s">
        <v>41</v>
      </c>
      <c r="J8" s="121" t="s">
        <v>158</v>
      </c>
      <c r="K8" s="121" t="s">
        <v>41</v>
      </c>
      <c r="L8" s="118" t="s">
        <v>159</v>
      </c>
      <c r="M8" s="118" t="s">
        <v>41</v>
      </c>
      <c r="N8" s="121" t="s">
        <v>66</v>
      </c>
      <c r="O8" s="121" t="s">
        <v>41</v>
      </c>
      <c r="P8" s="118" t="s">
        <v>160</v>
      </c>
      <c r="Q8" s="118" t="s">
        <v>41</v>
      </c>
      <c r="R8" s="121" t="s">
        <v>161</v>
      </c>
      <c r="S8" s="121" t="s">
        <v>41</v>
      </c>
      <c r="T8" s="118" t="s">
        <v>162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162</v>
      </c>
      <c r="AA8" s="119" t="s">
        <v>58</v>
      </c>
      <c r="AB8" s="119" t="s">
        <v>166</v>
      </c>
      <c r="AC8" s="119" t="s">
        <v>286</v>
      </c>
      <c r="AD8" s="119" t="s">
        <v>167</v>
      </c>
      <c r="AE8" s="119" t="s">
        <v>168</v>
      </c>
      <c r="AF8" s="119" t="s">
        <v>285</v>
      </c>
      <c r="AG8" s="119" t="s">
        <v>169</v>
      </c>
      <c r="AH8" s="119" t="s">
        <v>95</v>
      </c>
      <c r="AI8" s="120" t="str">
        <f>AI3</f>
        <v>Ca</v>
      </c>
      <c r="AJ8" s="119" t="s">
        <v>58</v>
      </c>
      <c r="AK8" s="119" t="s">
        <v>158</v>
      </c>
      <c r="AL8" s="119" t="s">
        <v>159</v>
      </c>
      <c r="AM8" s="119" t="s">
        <v>66</v>
      </c>
      <c r="AN8" s="119" t="s">
        <v>160</v>
      </c>
      <c r="AO8" s="119" t="s">
        <v>161</v>
      </c>
    </row>
    <row r="9" spans="1:41" x14ac:dyDescent="0.25">
      <c r="A9" s="323" t="s">
        <v>177</v>
      </c>
      <c r="B9" s="134">
        <v>15</v>
      </c>
      <c r="C9" s="128">
        <f ca="1">11+$A$29-$A$31</f>
        <v>23</v>
      </c>
      <c r="D9" s="129"/>
      <c r="E9" s="199">
        <f ca="1">F9-TODAY()</f>
        <v>201</v>
      </c>
      <c r="F9" s="216">
        <v>43850</v>
      </c>
      <c r="G9" s="200"/>
      <c r="H9" s="135"/>
      <c r="I9" s="202"/>
      <c r="J9" s="135"/>
      <c r="K9" s="202"/>
      <c r="L9" s="135"/>
      <c r="M9" s="202"/>
      <c r="N9" s="135"/>
      <c r="O9" s="202"/>
      <c r="P9" s="135"/>
      <c r="Q9" s="202"/>
      <c r="R9" s="135"/>
      <c r="S9" s="202"/>
      <c r="T9" s="135"/>
      <c r="U9" s="202"/>
      <c r="V9" s="206" t="s">
        <v>178</v>
      </c>
      <c r="W9" s="209"/>
      <c r="X9" s="209">
        <f>COUNT(I9,K9,M9,O9,Q9,S9,U9)</f>
        <v>0</v>
      </c>
      <c r="Y9" s="131">
        <v>1</v>
      </c>
      <c r="Z9" s="209">
        <v>0</v>
      </c>
      <c r="AA9" s="211"/>
      <c r="AB9" s="212"/>
      <c r="AC9" s="212"/>
      <c r="AD9" s="212"/>
      <c r="AE9" s="212"/>
      <c r="AF9" s="212"/>
      <c r="AG9" s="212">
        <v>3</v>
      </c>
      <c r="AH9" s="213">
        <v>2</v>
      </c>
      <c r="AI9" s="214" t="s">
        <v>247</v>
      </c>
      <c r="AJ9" s="131"/>
      <c r="AK9" s="131"/>
      <c r="AL9" s="131"/>
      <c r="AM9" s="131"/>
      <c r="AN9" s="131"/>
      <c r="AO9" s="209"/>
    </row>
    <row r="10" spans="1:41" x14ac:dyDescent="0.25">
      <c r="A10" s="140" t="s">
        <v>197</v>
      </c>
      <c r="B10" s="127">
        <v>16</v>
      </c>
      <c r="C10" s="128">
        <f ca="1">67+$A$29-$A$31</f>
        <v>79</v>
      </c>
      <c r="D10" s="129"/>
      <c r="E10" s="199">
        <f ca="1">F10-TODAY()</f>
        <v>100</v>
      </c>
      <c r="F10" s="216">
        <v>43749</v>
      </c>
      <c r="G10" s="200"/>
      <c r="H10" s="135"/>
      <c r="I10" s="202"/>
      <c r="J10" s="135"/>
      <c r="K10" s="202"/>
      <c r="L10" s="135"/>
      <c r="M10" s="202"/>
      <c r="N10" s="135"/>
      <c r="O10" s="202"/>
      <c r="P10" s="135"/>
      <c r="Q10" s="202"/>
      <c r="R10" s="135"/>
      <c r="S10" s="202"/>
      <c r="T10" s="135"/>
      <c r="U10" s="202"/>
      <c r="V10" s="207" t="s">
        <v>182</v>
      </c>
      <c r="W10" s="209"/>
      <c r="X10" s="209">
        <f>COUNT(I10,K10,M10,O10,Q10,S10,U10)</f>
        <v>0</v>
      </c>
      <c r="Y10" s="131">
        <v>0</v>
      </c>
      <c r="Z10" s="209">
        <v>0</v>
      </c>
      <c r="AA10" s="211"/>
      <c r="AB10" s="212"/>
      <c r="AC10" s="212"/>
      <c r="AD10" s="212"/>
      <c r="AE10" s="212"/>
      <c r="AF10" s="212">
        <v>4.5</v>
      </c>
      <c r="AG10" s="212"/>
      <c r="AH10" s="213"/>
      <c r="AI10" s="214" t="s">
        <v>245</v>
      </c>
      <c r="AJ10" s="131"/>
      <c r="AK10" s="131"/>
      <c r="AL10" s="131"/>
      <c r="AM10" s="131"/>
      <c r="AN10" s="131"/>
      <c r="AO10" s="209"/>
    </row>
    <row r="11" spans="1:41" x14ac:dyDescent="0.25">
      <c r="A11" s="140" t="s">
        <v>195</v>
      </c>
      <c r="B11" s="127">
        <v>16</v>
      </c>
      <c r="C11" s="128">
        <f ca="1">40+$A$29-$A$31</f>
        <v>52</v>
      </c>
      <c r="D11" s="129"/>
      <c r="E11" s="199">
        <f ca="1">F11-TODAY()</f>
        <v>100</v>
      </c>
      <c r="F11" s="216">
        <v>43749</v>
      </c>
      <c r="G11" s="200"/>
      <c r="H11" s="135"/>
      <c r="I11" s="202"/>
      <c r="J11" s="135"/>
      <c r="K11" s="202"/>
      <c r="L11" s="135"/>
      <c r="M11" s="202"/>
      <c r="N11" s="135"/>
      <c r="O11" s="202"/>
      <c r="P11" s="135"/>
      <c r="Q11" s="202"/>
      <c r="R11" s="135"/>
      <c r="S11" s="202"/>
      <c r="T11" s="135"/>
      <c r="U11" s="202"/>
      <c r="V11" s="207" t="s">
        <v>182</v>
      </c>
      <c r="W11" s="209"/>
      <c r="X11" s="209">
        <f>COUNT(I11,K11,M11,O11,Q11,S11,U11)</f>
        <v>0</v>
      </c>
      <c r="Y11" s="131">
        <v>0</v>
      </c>
      <c r="Z11" s="209">
        <v>0</v>
      </c>
      <c r="AA11" s="211">
        <v>2</v>
      </c>
      <c r="AB11" s="212"/>
      <c r="AC11" s="212">
        <v>4.5</v>
      </c>
      <c r="AD11" s="212"/>
      <c r="AE11" s="212"/>
      <c r="AF11" s="212"/>
      <c r="AG11" s="212"/>
      <c r="AH11" s="213"/>
      <c r="AI11" s="214" t="s">
        <v>246</v>
      </c>
      <c r="AJ11" s="131"/>
      <c r="AK11" s="131"/>
      <c r="AL11" s="131"/>
      <c r="AM11" s="131"/>
      <c r="AN11" s="131"/>
      <c r="AO11" s="209"/>
    </row>
    <row r="12" spans="1:41" x14ac:dyDescent="0.25">
      <c r="A12" s="327" t="s">
        <v>174</v>
      </c>
      <c r="B12" s="327"/>
      <c r="C12" s="327"/>
      <c r="D12" s="327"/>
      <c r="E12" s="327"/>
      <c r="F12" s="123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2"/>
      <c r="W12" s="122"/>
      <c r="X12" s="122"/>
      <c r="Y12" s="122"/>
      <c r="Z12" s="122"/>
      <c r="AA12" s="122"/>
      <c r="AB12" s="122"/>
      <c r="AC12" s="315"/>
      <c r="AD12" s="122"/>
      <c r="AE12" s="122"/>
      <c r="AF12" s="315"/>
      <c r="AG12" s="122"/>
      <c r="AH12" s="122"/>
      <c r="AI12" s="124"/>
      <c r="AJ12" s="122"/>
      <c r="AK12" s="122"/>
      <c r="AL12" s="122"/>
      <c r="AM12" s="122"/>
      <c r="AN12" s="122"/>
      <c r="AO12" s="122"/>
    </row>
    <row r="13" spans="1:41" x14ac:dyDescent="0.25">
      <c r="A13" s="125" t="s">
        <v>171</v>
      </c>
      <c r="B13" s="125"/>
      <c r="C13" s="125"/>
      <c r="D13" s="125"/>
      <c r="E13" s="125"/>
      <c r="F13" s="125"/>
      <c r="G13" s="126"/>
      <c r="H13" s="125" t="s">
        <v>172</v>
      </c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4"/>
      <c r="AJ13" s="126"/>
      <c r="AK13" s="126"/>
      <c r="AL13" s="126"/>
      <c r="AM13" s="126"/>
      <c r="AN13" s="126"/>
      <c r="AO13" s="126"/>
    </row>
    <row r="14" spans="1:41" x14ac:dyDescent="0.25">
      <c r="A14" s="125" t="s">
        <v>3</v>
      </c>
      <c r="B14" s="125" t="s">
        <v>154</v>
      </c>
      <c r="C14" s="125" t="s">
        <v>5</v>
      </c>
      <c r="D14" s="126" t="s">
        <v>155</v>
      </c>
      <c r="E14" s="125" t="s">
        <v>156</v>
      </c>
      <c r="F14" s="125" t="str">
        <f>F8</f>
        <v>Fpromo</v>
      </c>
      <c r="G14" s="126" t="s">
        <v>157</v>
      </c>
      <c r="H14" s="125" t="s">
        <v>58</v>
      </c>
      <c r="I14" s="125" t="s">
        <v>41</v>
      </c>
      <c r="J14" s="125" t="s">
        <v>158</v>
      </c>
      <c r="K14" s="125" t="s">
        <v>41</v>
      </c>
      <c r="L14" s="125" t="s">
        <v>159</v>
      </c>
      <c r="M14" s="125" t="s">
        <v>41</v>
      </c>
      <c r="N14" s="125" t="s">
        <v>66</v>
      </c>
      <c r="O14" s="125" t="s">
        <v>41</v>
      </c>
      <c r="P14" s="125" t="s">
        <v>160</v>
      </c>
      <c r="Q14" s="125" t="s">
        <v>41</v>
      </c>
      <c r="R14" s="125" t="s">
        <v>161</v>
      </c>
      <c r="S14" s="125" t="s">
        <v>41</v>
      </c>
      <c r="T14" s="125" t="s">
        <v>162</v>
      </c>
      <c r="U14" s="125" t="s">
        <v>41</v>
      </c>
      <c r="V14" s="126" t="str">
        <f>V8</f>
        <v>U20</v>
      </c>
      <c r="W14" s="126" t="str">
        <f>W8</f>
        <v>HTMS</v>
      </c>
      <c r="X14" s="126" t="str">
        <f>X8</f>
        <v>Pot</v>
      </c>
      <c r="Y14" s="126" t="str">
        <f>Y8</f>
        <v>Cap</v>
      </c>
      <c r="Z14" s="126" t="s">
        <v>162</v>
      </c>
      <c r="AA14" s="126" t="s">
        <v>58</v>
      </c>
      <c r="AB14" s="126" t="s">
        <v>166</v>
      </c>
      <c r="AC14" s="126" t="s">
        <v>286</v>
      </c>
      <c r="AD14" s="126" t="s">
        <v>167</v>
      </c>
      <c r="AE14" s="126" t="s">
        <v>168</v>
      </c>
      <c r="AF14" s="126" t="s">
        <v>285</v>
      </c>
      <c r="AG14" s="126" t="s">
        <v>169</v>
      </c>
      <c r="AH14" s="126" t="s">
        <v>95</v>
      </c>
      <c r="AI14" s="124" t="str">
        <f>AI8</f>
        <v>Ca</v>
      </c>
      <c r="AJ14" s="126" t="s">
        <v>58</v>
      </c>
      <c r="AK14" s="126" t="s">
        <v>158</v>
      </c>
      <c r="AL14" s="126" t="s">
        <v>159</v>
      </c>
      <c r="AM14" s="126" t="s">
        <v>66</v>
      </c>
      <c r="AN14" s="126" t="s">
        <v>160</v>
      </c>
      <c r="AO14" s="126" t="s">
        <v>161</v>
      </c>
    </row>
    <row r="15" spans="1:41" x14ac:dyDescent="0.25">
      <c r="A15" s="323" t="s">
        <v>179</v>
      </c>
      <c r="B15" s="134">
        <v>15</v>
      </c>
      <c r="C15" s="128">
        <f ca="1">14+$A$29-$A$31</f>
        <v>26</v>
      </c>
      <c r="D15" s="129"/>
      <c r="E15" s="199">
        <f t="shared" ref="E15:E26" ca="1" si="1">F15-TODAY()</f>
        <v>198</v>
      </c>
      <c r="F15" s="216">
        <v>43847</v>
      </c>
      <c r="G15" s="200"/>
      <c r="H15" s="135"/>
      <c r="I15" s="202"/>
      <c r="J15" s="135"/>
      <c r="K15" s="202"/>
      <c r="L15" s="135"/>
      <c r="M15" s="203">
        <v>2.99</v>
      </c>
      <c r="N15" s="135"/>
      <c r="O15" s="202"/>
      <c r="P15" s="135"/>
      <c r="Q15" s="202"/>
      <c r="R15" s="135"/>
      <c r="S15" s="202"/>
      <c r="T15" s="135"/>
      <c r="U15" s="202"/>
      <c r="V15" s="206" t="s">
        <v>180</v>
      </c>
      <c r="W15" s="209"/>
      <c r="X15" s="209">
        <f>COUNT(I15,K15,M15,O15,M25,S15,U15)</f>
        <v>1</v>
      </c>
      <c r="Y15" s="131">
        <v>0</v>
      </c>
      <c r="Z15" s="209">
        <v>0</v>
      </c>
      <c r="AA15" s="211"/>
      <c r="AB15" s="212"/>
      <c r="AC15" s="212">
        <v>2</v>
      </c>
      <c r="AD15" s="212"/>
      <c r="AE15" s="212"/>
      <c r="AF15" s="212"/>
      <c r="AG15" s="212">
        <v>2.5</v>
      </c>
      <c r="AH15" s="213"/>
      <c r="AI15" s="214" t="s">
        <v>247</v>
      </c>
      <c r="AJ15" s="129"/>
      <c r="AK15" s="129"/>
      <c r="AL15" s="129"/>
      <c r="AM15" s="129"/>
      <c r="AN15" s="129"/>
      <c r="AO15" s="215"/>
    </row>
    <row r="16" spans="1:41" x14ac:dyDescent="0.25">
      <c r="A16" s="323" t="s">
        <v>181</v>
      </c>
      <c r="B16" s="127">
        <v>15</v>
      </c>
      <c r="C16" s="128">
        <f ca="1">33+$A$29-$A$31</f>
        <v>45</v>
      </c>
      <c r="D16" s="137"/>
      <c r="E16" s="199">
        <f t="shared" ca="1" si="1"/>
        <v>179</v>
      </c>
      <c r="F16" s="216">
        <v>43828</v>
      </c>
      <c r="G16" s="200"/>
      <c r="H16" s="135"/>
      <c r="I16" s="202"/>
      <c r="J16" s="135"/>
      <c r="K16" s="202"/>
      <c r="L16" s="135"/>
      <c r="M16" s="202"/>
      <c r="N16" s="135"/>
      <c r="O16" s="202"/>
      <c r="P16" s="135"/>
      <c r="Q16" s="202"/>
      <c r="R16" s="135"/>
      <c r="S16" s="202"/>
      <c r="T16" s="135"/>
      <c r="U16" s="202"/>
      <c r="V16" s="207" t="s">
        <v>182</v>
      </c>
      <c r="W16" s="209"/>
      <c r="X16" s="209">
        <f t="shared" ref="X16:X24" si="2">COUNT(I16,K16,M16,O16,Q16,S16,U16)</f>
        <v>0</v>
      </c>
      <c r="Y16" s="131">
        <v>0</v>
      </c>
      <c r="Z16" s="209">
        <v>0</v>
      </c>
      <c r="AA16" s="211"/>
      <c r="AB16" s="212"/>
      <c r="AC16" s="212">
        <v>2</v>
      </c>
      <c r="AD16" s="212"/>
      <c r="AE16" s="212">
        <v>2.5</v>
      </c>
      <c r="AF16" s="212"/>
      <c r="AG16" s="212"/>
      <c r="AH16" s="213"/>
      <c r="AI16" s="214" t="s">
        <v>247</v>
      </c>
      <c r="AJ16" s="129"/>
      <c r="AK16" s="129"/>
      <c r="AL16" s="129"/>
      <c r="AM16" s="129"/>
      <c r="AN16" s="129"/>
      <c r="AO16" s="215"/>
    </row>
    <row r="17" spans="1:41" x14ac:dyDescent="0.25">
      <c r="A17" s="323" t="s">
        <v>183</v>
      </c>
      <c r="B17" s="134">
        <v>15</v>
      </c>
      <c r="C17" s="128">
        <f ca="1">51+$A$29-$A$31</f>
        <v>63</v>
      </c>
      <c r="D17" s="129"/>
      <c r="E17" s="199">
        <f t="shared" ca="1" si="1"/>
        <v>161</v>
      </c>
      <c r="F17" s="216">
        <v>43810</v>
      </c>
      <c r="G17" s="200"/>
      <c r="H17" s="135"/>
      <c r="I17" s="202"/>
      <c r="J17" s="135"/>
      <c r="K17" s="202"/>
      <c r="L17" s="135"/>
      <c r="M17" s="202"/>
      <c r="N17" s="135"/>
      <c r="O17" s="202"/>
      <c r="P17" s="135"/>
      <c r="Q17" s="202"/>
      <c r="R17" s="135"/>
      <c r="S17" s="202"/>
      <c r="T17" s="135"/>
      <c r="U17" s="202"/>
      <c r="V17" s="207" t="s">
        <v>182</v>
      </c>
      <c r="W17" s="209"/>
      <c r="X17" s="209">
        <f t="shared" si="2"/>
        <v>0</v>
      </c>
      <c r="Y17" s="131">
        <v>0</v>
      </c>
      <c r="Z17" s="209">
        <v>0</v>
      </c>
      <c r="AA17" s="211">
        <v>1</v>
      </c>
      <c r="AB17" s="212"/>
      <c r="AC17" s="212"/>
      <c r="AD17" s="212"/>
      <c r="AE17" s="212">
        <v>2.5</v>
      </c>
      <c r="AF17" s="212"/>
      <c r="AG17" s="212"/>
      <c r="AH17" s="213"/>
      <c r="AI17" s="214" t="s">
        <v>245</v>
      </c>
      <c r="AJ17" s="129"/>
      <c r="AK17" s="129"/>
      <c r="AL17" s="129"/>
      <c r="AM17" s="129"/>
      <c r="AN17" s="129"/>
      <c r="AO17" s="215"/>
    </row>
    <row r="18" spans="1:41" x14ac:dyDescent="0.25">
      <c r="A18" s="322" t="s">
        <v>184</v>
      </c>
      <c r="B18" s="134">
        <v>15</v>
      </c>
      <c r="C18" s="128">
        <f ca="1">70+$A$29-$A$31</f>
        <v>82</v>
      </c>
      <c r="D18" s="137"/>
      <c r="E18" s="199">
        <f t="shared" ca="1" si="1"/>
        <v>142</v>
      </c>
      <c r="F18" s="216">
        <v>43791</v>
      </c>
      <c r="G18" s="200"/>
      <c r="H18" s="135"/>
      <c r="I18" s="202"/>
      <c r="J18" s="135"/>
      <c r="K18" s="202"/>
      <c r="L18" s="135"/>
      <c r="M18" s="202"/>
      <c r="N18" s="135"/>
      <c r="O18" s="202"/>
      <c r="P18" s="135"/>
      <c r="Q18" s="202"/>
      <c r="R18" s="135"/>
      <c r="S18" s="202"/>
      <c r="T18" s="135"/>
      <c r="U18" s="202"/>
      <c r="V18" s="208" t="s">
        <v>185</v>
      </c>
      <c r="W18" s="209"/>
      <c r="X18" s="209">
        <f t="shared" si="2"/>
        <v>0</v>
      </c>
      <c r="Y18" s="131">
        <v>0</v>
      </c>
      <c r="Z18" s="209">
        <v>0</v>
      </c>
      <c r="AA18" s="211"/>
      <c r="AB18" s="212"/>
      <c r="AC18" s="212"/>
      <c r="AD18" s="212"/>
      <c r="AE18" s="212"/>
      <c r="AF18" s="212">
        <v>3</v>
      </c>
      <c r="AG18" s="212"/>
      <c r="AH18" s="213">
        <v>3</v>
      </c>
      <c r="AI18" s="214" t="s">
        <v>247</v>
      </c>
      <c r="AJ18" s="131"/>
      <c r="AK18" s="131"/>
      <c r="AL18" s="131"/>
      <c r="AM18" s="131"/>
      <c r="AN18" s="131"/>
      <c r="AO18" s="209"/>
    </row>
    <row r="19" spans="1:41" x14ac:dyDescent="0.25">
      <c r="A19" s="322" t="s">
        <v>186</v>
      </c>
      <c r="B19" s="134">
        <v>15</v>
      </c>
      <c r="C19" s="128">
        <f ca="1">76+$A$29-$A$31</f>
        <v>88</v>
      </c>
      <c r="D19" s="137"/>
      <c r="E19" s="199">
        <f t="shared" ca="1" si="1"/>
        <v>136</v>
      </c>
      <c r="F19" s="216">
        <v>43785</v>
      </c>
      <c r="G19" s="200"/>
      <c r="H19" s="135"/>
      <c r="I19" s="202"/>
      <c r="J19" s="135"/>
      <c r="K19" s="202"/>
      <c r="L19" s="138">
        <v>2</v>
      </c>
      <c r="M19" s="204">
        <v>2.99</v>
      </c>
      <c r="N19" s="135"/>
      <c r="O19" s="202"/>
      <c r="P19" s="135"/>
      <c r="Q19" s="202"/>
      <c r="R19" s="135"/>
      <c r="S19" s="202"/>
      <c r="T19" s="135"/>
      <c r="U19" s="202"/>
      <c r="V19" s="208" t="s">
        <v>187</v>
      </c>
      <c r="W19" s="209"/>
      <c r="X19" s="209">
        <f t="shared" si="2"/>
        <v>1</v>
      </c>
      <c r="Y19" s="131">
        <v>0</v>
      </c>
      <c r="Z19" s="209">
        <v>0</v>
      </c>
      <c r="AA19" s="211"/>
      <c r="AB19" s="212"/>
      <c r="AC19" s="212"/>
      <c r="AD19" s="212"/>
      <c r="AE19" s="212"/>
      <c r="AF19" s="212"/>
      <c r="AG19" s="212"/>
      <c r="AH19" s="213">
        <v>2</v>
      </c>
      <c r="AI19" s="214" t="s">
        <v>247</v>
      </c>
      <c r="AJ19" s="131"/>
      <c r="AK19" s="131"/>
      <c r="AL19" s="131"/>
      <c r="AM19" s="131"/>
      <c r="AN19" s="131"/>
      <c r="AO19" s="209"/>
    </row>
    <row r="20" spans="1:41" x14ac:dyDescent="0.25">
      <c r="A20" s="322" t="s">
        <v>188</v>
      </c>
      <c r="B20" s="134">
        <v>15</v>
      </c>
      <c r="C20" s="128">
        <f ca="1">96+$A$29-$A$31</f>
        <v>108</v>
      </c>
      <c r="D20" s="137"/>
      <c r="E20" s="199">
        <f t="shared" ca="1" si="1"/>
        <v>116</v>
      </c>
      <c r="F20" s="216">
        <v>43765</v>
      </c>
      <c r="G20" s="200"/>
      <c r="H20" s="135"/>
      <c r="I20" s="202"/>
      <c r="J20" s="135"/>
      <c r="K20" s="202"/>
      <c r="L20" s="135"/>
      <c r="M20" s="202"/>
      <c r="N20" s="135"/>
      <c r="O20" s="202"/>
      <c r="P20" s="135"/>
      <c r="Q20" s="202"/>
      <c r="R20" s="135"/>
      <c r="S20" s="202"/>
      <c r="T20" s="135"/>
      <c r="U20" s="202"/>
      <c r="V20" s="207" t="s">
        <v>189</v>
      </c>
      <c r="W20" s="209"/>
      <c r="X20" s="209">
        <f t="shared" si="2"/>
        <v>0</v>
      </c>
      <c r="Y20" s="131">
        <v>0</v>
      </c>
      <c r="Z20" s="209">
        <v>0</v>
      </c>
      <c r="AA20" s="211"/>
      <c r="AB20" s="212"/>
      <c r="AC20" s="212"/>
      <c r="AD20" s="212"/>
      <c r="AE20" s="212">
        <v>1.5</v>
      </c>
      <c r="AF20" s="212"/>
      <c r="AG20" s="212"/>
      <c r="AH20" s="213">
        <v>3</v>
      </c>
      <c r="AI20" s="214" t="s">
        <v>248</v>
      </c>
      <c r="AJ20" s="131"/>
      <c r="AK20" s="131"/>
      <c r="AL20" s="131"/>
      <c r="AM20" s="131"/>
      <c r="AN20" s="131"/>
      <c r="AO20" s="209"/>
    </row>
    <row r="21" spans="1:41" x14ac:dyDescent="0.25">
      <c r="A21" s="322" t="s">
        <v>190</v>
      </c>
      <c r="B21" s="127">
        <v>16</v>
      </c>
      <c r="C21" s="128">
        <f ca="1">-1+$A$29-$A$31</f>
        <v>11</v>
      </c>
      <c r="D21" s="133"/>
      <c r="E21" s="199">
        <f t="shared" ca="1" si="1"/>
        <v>101</v>
      </c>
      <c r="F21" s="216">
        <v>43750</v>
      </c>
      <c r="G21" s="200"/>
      <c r="H21" s="135"/>
      <c r="I21" s="202"/>
      <c r="J21" s="136">
        <v>3</v>
      </c>
      <c r="K21" s="202"/>
      <c r="L21" s="135"/>
      <c r="M21" s="202"/>
      <c r="N21" s="135"/>
      <c r="O21" s="202"/>
      <c r="P21" s="135"/>
      <c r="Q21" s="202"/>
      <c r="R21" s="135"/>
      <c r="S21" s="202"/>
      <c r="T21" s="135"/>
      <c r="U21" s="202"/>
      <c r="V21" s="208" t="s">
        <v>191</v>
      </c>
      <c r="W21" s="210"/>
      <c r="X21" s="209">
        <f t="shared" si="2"/>
        <v>0</v>
      </c>
      <c r="Y21" s="131">
        <v>0</v>
      </c>
      <c r="Z21" s="209">
        <v>0</v>
      </c>
      <c r="AA21" s="211"/>
      <c r="AB21" s="212">
        <v>2.5</v>
      </c>
      <c r="AC21" s="212"/>
      <c r="AD21" s="212"/>
      <c r="AE21" s="212"/>
      <c r="AF21" s="212"/>
      <c r="AG21" s="212"/>
      <c r="AH21" s="213">
        <v>3</v>
      </c>
      <c r="AI21" s="214" t="s">
        <v>247</v>
      </c>
      <c r="AJ21" s="113"/>
      <c r="AK21" s="113"/>
      <c r="AL21" s="113"/>
      <c r="AM21" s="113"/>
      <c r="AN21" s="113"/>
      <c r="AO21" s="210"/>
    </row>
    <row r="22" spans="1:41" x14ac:dyDescent="0.25">
      <c r="A22" s="139" t="s">
        <v>193</v>
      </c>
      <c r="B22" s="127">
        <v>16</v>
      </c>
      <c r="C22" s="128">
        <f ca="1">22+$A$29-$A$31</f>
        <v>34</v>
      </c>
      <c r="D22" s="129"/>
      <c r="E22" s="199">
        <f ca="1">F22-TODAY()</f>
        <v>101</v>
      </c>
      <c r="F22" s="216">
        <v>43750</v>
      </c>
      <c r="G22" s="200" t="s">
        <v>194</v>
      </c>
      <c r="H22" s="135"/>
      <c r="I22" s="202"/>
      <c r="J22" s="135"/>
      <c r="K22" s="203">
        <v>3.99</v>
      </c>
      <c r="L22" s="136">
        <v>1</v>
      </c>
      <c r="M22" s="202"/>
      <c r="N22" s="135"/>
      <c r="O22" s="202"/>
      <c r="P22" s="136">
        <v>2</v>
      </c>
      <c r="Q22" s="202"/>
      <c r="R22" s="135"/>
      <c r="S22" s="202"/>
      <c r="T22" s="135"/>
      <c r="U22" s="202"/>
      <c r="V22" s="207" t="s">
        <v>182</v>
      </c>
      <c r="W22" s="209"/>
      <c r="X22" s="209">
        <f>COUNT(I22,K22,M22,O22,Q22,S22,U22)</f>
        <v>1</v>
      </c>
      <c r="Y22" s="131">
        <v>0</v>
      </c>
      <c r="Z22" s="209">
        <v>0</v>
      </c>
      <c r="AA22" s="211"/>
      <c r="AB22" s="212"/>
      <c r="AC22" s="212"/>
      <c r="AD22" s="212">
        <v>2.5</v>
      </c>
      <c r="AE22" s="212"/>
      <c r="AF22" s="212"/>
      <c r="AG22" s="212"/>
      <c r="AH22" s="213">
        <v>2</v>
      </c>
      <c r="AI22" s="214" t="s">
        <v>246</v>
      </c>
      <c r="AJ22" s="131"/>
      <c r="AK22" s="131"/>
      <c r="AL22" s="131"/>
      <c r="AM22" s="131"/>
      <c r="AN22" s="131"/>
      <c r="AO22" s="209"/>
    </row>
    <row r="23" spans="1:41" x14ac:dyDescent="0.25">
      <c r="A23" s="139" t="s">
        <v>192</v>
      </c>
      <c r="B23" s="134">
        <v>16</v>
      </c>
      <c r="C23" s="128">
        <f ca="1">29+$A$29-$A$31</f>
        <v>41</v>
      </c>
      <c r="D23" s="129"/>
      <c r="E23" s="199">
        <f t="shared" ca="1" si="1"/>
        <v>100</v>
      </c>
      <c r="F23" s="216">
        <v>43749</v>
      </c>
      <c r="G23" s="200"/>
      <c r="H23" s="135"/>
      <c r="I23" s="202"/>
      <c r="J23" s="135"/>
      <c r="K23" s="202"/>
      <c r="L23" s="135"/>
      <c r="M23" s="202"/>
      <c r="N23" s="135"/>
      <c r="O23" s="202"/>
      <c r="P23" s="135"/>
      <c r="Q23" s="202"/>
      <c r="R23" s="135"/>
      <c r="S23" s="202"/>
      <c r="T23" s="135"/>
      <c r="U23" s="202"/>
      <c r="V23" s="207" t="s">
        <v>182</v>
      </c>
      <c r="W23" s="209"/>
      <c r="X23" s="209">
        <f t="shared" si="2"/>
        <v>0</v>
      </c>
      <c r="Y23" s="131">
        <v>0</v>
      </c>
      <c r="Z23" s="209">
        <v>0</v>
      </c>
      <c r="AA23" s="211">
        <v>1</v>
      </c>
      <c r="AB23" s="212"/>
      <c r="AC23" s="212"/>
      <c r="AD23" s="212"/>
      <c r="AE23" s="212">
        <v>2.5</v>
      </c>
      <c r="AF23" s="212"/>
      <c r="AG23" s="212"/>
      <c r="AH23" s="213"/>
      <c r="AI23" s="214" t="s">
        <v>245</v>
      </c>
      <c r="AJ23" s="131"/>
      <c r="AK23" s="131"/>
      <c r="AL23" s="131"/>
      <c r="AM23" s="131"/>
      <c r="AN23" s="131"/>
      <c r="AO23" s="209"/>
    </row>
    <row r="24" spans="1:41" x14ac:dyDescent="0.25">
      <c r="A24" s="140" t="s">
        <v>196</v>
      </c>
      <c r="B24" s="127">
        <v>16</v>
      </c>
      <c r="C24" s="128">
        <f ca="1">66+$A$29-$A$31</f>
        <v>78</v>
      </c>
      <c r="D24" s="129"/>
      <c r="E24" s="199">
        <f t="shared" ca="1" si="1"/>
        <v>100</v>
      </c>
      <c r="F24" s="216">
        <v>43749</v>
      </c>
      <c r="G24" s="200"/>
      <c r="H24" s="135"/>
      <c r="I24" s="202"/>
      <c r="J24" s="135"/>
      <c r="K24" s="202"/>
      <c r="L24" s="135"/>
      <c r="M24" s="202"/>
      <c r="N24" s="135"/>
      <c r="O24" s="202"/>
      <c r="P24" s="138">
        <v>2</v>
      </c>
      <c r="Q24" s="204">
        <v>2.99</v>
      </c>
      <c r="R24" s="135"/>
      <c r="S24" s="202"/>
      <c r="T24" s="135"/>
      <c r="U24" s="202"/>
      <c r="V24" s="207" t="s">
        <v>182</v>
      </c>
      <c r="W24" s="209"/>
      <c r="X24" s="209">
        <f t="shared" si="2"/>
        <v>1</v>
      </c>
      <c r="Y24" s="131">
        <v>0</v>
      </c>
      <c r="Z24" s="209">
        <v>0</v>
      </c>
      <c r="AA24" s="211"/>
      <c r="AB24" s="212"/>
      <c r="AC24" s="212"/>
      <c r="AD24" s="212"/>
      <c r="AE24" s="212">
        <v>3.5</v>
      </c>
      <c r="AF24" s="212"/>
      <c r="AG24" s="212">
        <v>2</v>
      </c>
      <c r="AH24" s="213"/>
      <c r="AI24" s="214" t="s">
        <v>247</v>
      </c>
      <c r="AJ24" s="131"/>
      <c r="AK24" s="131"/>
      <c r="AL24" s="131"/>
      <c r="AM24" s="131"/>
      <c r="AN24" s="131"/>
      <c r="AO24" s="209"/>
    </row>
    <row r="25" spans="1:41" x14ac:dyDescent="0.25">
      <c r="A25" s="139" t="s">
        <v>198</v>
      </c>
      <c r="B25" s="134">
        <v>16</v>
      </c>
      <c r="C25" s="128">
        <f ca="1">71+$A$29-$A$31</f>
        <v>83</v>
      </c>
      <c r="D25" s="137"/>
      <c r="E25" s="199">
        <f t="shared" ca="1" si="1"/>
        <v>100</v>
      </c>
      <c r="F25" s="216">
        <v>43749</v>
      </c>
      <c r="G25" s="200"/>
      <c r="H25" s="135"/>
      <c r="I25" s="202"/>
      <c r="J25" s="135"/>
      <c r="K25" s="202"/>
      <c r="L25" s="135"/>
      <c r="M25" s="202"/>
      <c r="N25" s="135"/>
      <c r="O25" s="202"/>
      <c r="P25" s="135"/>
      <c r="Q25" s="202"/>
      <c r="R25" s="135"/>
      <c r="S25" s="202"/>
      <c r="T25" s="135"/>
      <c r="U25" s="202"/>
      <c r="V25" s="207" t="s">
        <v>182</v>
      </c>
      <c r="W25" s="209"/>
      <c r="X25" s="209">
        <f>COUNT(I25,K25,#REF!,O25,Q25,S25,U25)</f>
        <v>0</v>
      </c>
      <c r="Y25" s="131">
        <v>0</v>
      </c>
      <c r="Z25" s="209">
        <v>0</v>
      </c>
      <c r="AA25" s="211"/>
      <c r="AB25" s="212"/>
      <c r="AC25" s="212"/>
      <c r="AD25" s="212"/>
      <c r="AE25" s="212"/>
      <c r="AF25" s="212"/>
      <c r="AG25" s="212">
        <v>3.5</v>
      </c>
      <c r="AH25" s="213"/>
      <c r="AI25" s="214" t="s">
        <v>245</v>
      </c>
      <c r="AJ25" s="131"/>
      <c r="AK25" s="131"/>
      <c r="AL25" s="131"/>
      <c r="AM25" s="131"/>
      <c r="AN25" s="131"/>
      <c r="AO25" s="209"/>
    </row>
    <row r="26" spans="1:41" x14ac:dyDescent="0.25">
      <c r="A26" s="139" t="s">
        <v>199</v>
      </c>
      <c r="B26" s="134">
        <v>17</v>
      </c>
      <c r="C26" s="128">
        <f ca="1">103+$A$29-$A$31-112</f>
        <v>3</v>
      </c>
      <c r="D26" s="137"/>
      <c r="E26" s="199">
        <f t="shared" ca="1" si="1"/>
        <v>100</v>
      </c>
      <c r="F26" s="216">
        <v>43749</v>
      </c>
      <c r="G26" s="200"/>
      <c r="H26" s="135"/>
      <c r="I26" s="202"/>
      <c r="J26" s="135"/>
      <c r="K26" s="202"/>
      <c r="L26" s="135"/>
      <c r="M26" s="202"/>
      <c r="N26" s="135"/>
      <c r="O26" s="202"/>
      <c r="P26" s="135"/>
      <c r="Q26" s="202"/>
      <c r="R26" s="135"/>
      <c r="S26" s="202"/>
      <c r="T26" s="135"/>
      <c r="U26" s="202"/>
      <c r="V26" s="207" t="s">
        <v>182</v>
      </c>
      <c r="W26" s="209"/>
      <c r="X26" s="209">
        <f>COUNT(I26,K26,M26,O26,Q26,S26,U26)</f>
        <v>0</v>
      </c>
      <c r="Y26" s="131">
        <v>0</v>
      </c>
      <c r="Z26" s="209">
        <v>0</v>
      </c>
      <c r="AA26" s="211"/>
      <c r="AB26" s="212"/>
      <c r="AC26" s="212"/>
      <c r="AD26" s="212"/>
      <c r="AE26" s="212"/>
      <c r="AF26" s="212"/>
      <c r="AG26" s="212"/>
      <c r="AH26" s="213"/>
      <c r="AI26" s="214" t="s">
        <v>247</v>
      </c>
      <c r="AJ26" s="131"/>
      <c r="AK26" s="131"/>
      <c r="AL26" s="131"/>
      <c r="AM26" s="131"/>
      <c r="AN26" s="131"/>
      <c r="AO26" s="209"/>
    </row>
    <row r="27" spans="1:41" x14ac:dyDescent="0.25">
      <c r="A27" s="134"/>
      <c r="B27" s="134"/>
      <c r="C27" s="141"/>
      <c r="D27" s="113"/>
      <c r="E27" s="134"/>
      <c r="F27" s="134"/>
      <c r="G27" s="113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13"/>
      <c r="W27" s="113"/>
      <c r="X27" s="113"/>
      <c r="Y27" s="113"/>
      <c r="Z27" s="113"/>
      <c r="AA27" s="113"/>
      <c r="AI27" s="132"/>
      <c r="AJ27" s="113"/>
      <c r="AK27" s="113"/>
      <c r="AL27" s="113"/>
      <c r="AM27" s="113"/>
      <c r="AN27" s="113"/>
      <c r="AO27" s="113"/>
    </row>
    <row r="28" spans="1:41" x14ac:dyDescent="0.25">
      <c r="A28" s="142" t="s">
        <v>200</v>
      </c>
      <c r="B28" s="143"/>
      <c r="C28" s="143"/>
      <c r="D28" s="143"/>
      <c r="E28" s="144"/>
      <c r="F28" s="143"/>
      <c r="G28" s="13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34"/>
      <c r="S28" s="134"/>
      <c r="T28" s="143"/>
      <c r="U28" s="143"/>
      <c r="V28" s="133"/>
      <c r="W28" s="133"/>
      <c r="X28" s="133"/>
      <c r="Y28" s="133"/>
      <c r="Z28" s="133"/>
      <c r="AA28" s="133"/>
      <c r="AI28" s="145"/>
      <c r="AJ28" s="133"/>
      <c r="AK28" s="133"/>
      <c r="AL28" s="133"/>
      <c r="AM28" s="133"/>
      <c r="AN28" s="133"/>
      <c r="AO28" s="133"/>
    </row>
    <row r="29" spans="1:41" x14ac:dyDescent="0.25">
      <c r="A29" s="146">
        <f ca="1">TODAY()</f>
        <v>43649</v>
      </c>
      <c r="B29" s="147"/>
      <c r="C29" s="143"/>
      <c r="D29" s="143"/>
      <c r="E29" s="144"/>
      <c r="F29" s="1" t="s">
        <v>201</v>
      </c>
      <c r="G29" s="8"/>
      <c r="I29" s="143"/>
      <c r="J29" s="143"/>
      <c r="K29" s="143"/>
      <c r="L29" s="143"/>
      <c r="M29" s="143"/>
      <c r="N29" s="143"/>
      <c r="O29" s="143"/>
      <c r="P29" s="143"/>
      <c r="Q29" s="143"/>
      <c r="R29" s="134"/>
      <c r="S29" s="134"/>
      <c r="T29" s="143"/>
      <c r="U29" s="143"/>
      <c r="V29" s="133"/>
      <c r="W29" s="133"/>
      <c r="X29" s="133"/>
      <c r="Y29" s="133"/>
      <c r="Z29" s="133"/>
      <c r="AA29" s="133"/>
      <c r="AI29" s="148"/>
      <c r="AJ29" s="133"/>
      <c r="AK29" s="133"/>
      <c r="AL29" s="133"/>
      <c r="AM29" s="133"/>
      <c r="AN29" s="133"/>
      <c r="AO29" s="133"/>
    </row>
    <row r="30" spans="1:41" x14ac:dyDescent="0.25">
      <c r="A30" s="149">
        <f ca="1">A31-A29</f>
        <v>-12</v>
      </c>
      <c r="B30" s="134"/>
      <c r="C30" s="134"/>
      <c r="D30" s="134"/>
      <c r="E30" s="134"/>
      <c r="F30" s="321" t="s">
        <v>287</v>
      </c>
      <c r="G30" s="133"/>
      <c r="I30" s="143"/>
      <c r="J30" s="143"/>
      <c r="K30" s="143"/>
      <c r="L30" s="143"/>
      <c r="M30" s="143"/>
      <c r="N30" s="143"/>
      <c r="O30" s="143"/>
      <c r="P30" s="143"/>
      <c r="Q30" s="143"/>
      <c r="R30" s="134"/>
      <c r="S30" s="134"/>
      <c r="T30" s="143"/>
      <c r="U30" s="143"/>
      <c r="V30" s="133"/>
      <c r="W30" s="133"/>
      <c r="X30" s="133"/>
      <c r="Y30" s="133"/>
      <c r="Z30" s="133"/>
      <c r="AA30" s="133"/>
      <c r="AI30" s="145"/>
      <c r="AJ30" s="133"/>
      <c r="AK30" s="133"/>
      <c r="AL30" s="133"/>
      <c r="AM30" s="133"/>
      <c r="AN30" s="133"/>
      <c r="AO30" s="133"/>
    </row>
    <row r="31" spans="1:41" x14ac:dyDescent="0.25">
      <c r="A31" s="150">
        <v>43637</v>
      </c>
      <c r="B31" s="151"/>
      <c r="C31" s="151"/>
      <c r="D31" s="134"/>
      <c r="E31" s="134"/>
      <c r="F31" s="143"/>
      <c r="G31" s="13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34"/>
      <c r="S31" s="134"/>
      <c r="T31" s="143"/>
      <c r="U31" s="143"/>
      <c r="V31" s="133"/>
      <c r="W31" s="133"/>
      <c r="X31" s="133"/>
      <c r="Y31" s="133"/>
      <c r="Z31" s="133"/>
      <c r="AA31" s="133"/>
      <c r="AI31" s="145"/>
      <c r="AJ31" s="133"/>
      <c r="AK31" s="133"/>
      <c r="AL31" s="133"/>
      <c r="AM31" s="133"/>
      <c r="AN31" s="133"/>
      <c r="AO31" s="133"/>
    </row>
    <row r="32" spans="1:41" x14ac:dyDescent="0.25">
      <c r="A32" s="134"/>
      <c r="B32" s="134"/>
      <c r="C32" s="134"/>
      <c r="D32" s="134"/>
      <c r="E32" s="134"/>
      <c r="F32" s="152" t="s">
        <v>162</v>
      </c>
      <c r="G32" s="13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34"/>
      <c r="S32" s="134"/>
      <c r="T32" s="143"/>
      <c r="U32" s="143"/>
      <c r="V32" s="133"/>
      <c r="W32" s="133"/>
      <c r="X32" s="133"/>
      <c r="Y32" s="133"/>
      <c r="Z32" s="133"/>
      <c r="AA32" s="133"/>
      <c r="AI32" s="145"/>
      <c r="AJ32" s="133"/>
      <c r="AK32" s="133"/>
      <c r="AL32" s="133"/>
      <c r="AM32" s="133"/>
      <c r="AN32" s="133"/>
      <c r="AO32" s="133"/>
    </row>
    <row r="33" spans="6:6" x14ac:dyDescent="0.25">
      <c r="F33" s="133" t="s">
        <v>202</v>
      </c>
    </row>
  </sheetData>
  <mergeCells count="3">
    <mergeCell ref="A1:E1"/>
    <mergeCell ref="A6:E6"/>
    <mergeCell ref="A12:E12"/>
  </mergeCells>
  <conditionalFormatting sqref="X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 E15:E26 E9:E11">
    <cfRule type="cellIs" dxfId="30" priority="1" operator="lessThan">
      <formula>15</formula>
    </cfRule>
    <cfRule type="cellIs" dxfId="29" priority="2" operator="between">
      <formula>15</formula>
      <formula>50</formula>
    </cfRule>
    <cfRule type="cellIs" dxfId="28" priority="3" operator="greaterThan">
      <formula>50</formula>
    </cfRule>
  </conditionalFormatting>
  <conditionalFormatting sqref="X23:X26 X15:X21 X9:X11 X4:X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H26 AA9:AH11 AA4:AH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H23" sqref="H23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36" t="s">
        <v>276</v>
      </c>
      <c r="E1" s="337"/>
      <c r="F1" s="337"/>
      <c r="G1" s="337"/>
      <c r="H1" s="337"/>
      <c r="I1" s="338"/>
      <c r="K1" s="75"/>
      <c r="L1" s="76"/>
      <c r="M1" s="76"/>
      <c r="N1" s="77">
        <f>O1-7</f>
        <v>43630</v>
      </c>
      <c r="O1" s="77">
        <v>43637</v>
      </c>
      <c r="P1" s="265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39" t="s">
        <v>250</v>
      </c>
      <c r="E2" s="340"/>
      <c r="F2" s="340"/>
      <c r="G2" s="340"/>
      <c r="H2" s="340"/>
      <c r="I2" s="341"/>
      <c r="K2" s="78"/>
      <c r="L2" s="78"/>
      <c r="M2" s="78" t="s">
        <v>101</v>
      </c>
      <c r="N2" s="79" t="s">
        <v>102</v>
      </c>
      <c r="O2" s="79" t="s">
        <v>103</v>
      </c>
      <c r="P2" s="266" t="s">
        <v>104</v>
      </c>
      <c r="Q2" s="79" t="s">
        <v>105</v>
      </c>
      <c r="R2" s="79" t="s">
        <v>106</v>
      </c>
      <c r="S2" s="79" t="s">
        <v>107</v>
      </c>
      <c r="T2" s="79" t="s">
        <v>108</v>
      </c>
      <c r="U2" s="79" t="s">
        <v>109</v>
      </c>
      <c r="V2" s="79" t="s">
        <v>110</v>
      </c>
      <c r="W2" s="79" t="s">
        <v>111</v>
      </c>
      <c r="X2" s="79" t="s">
        <v>112</v>
      </c>
      <c r="Y2" s="79" t="s">
        <v>113</v>
      </c>
      <c r="Z2" s="79" t="s">
        <v>114</v>
      </c>
      <c r="AA2" s="79" t="s">
        <v>115</v>
      </c>
      <c r="AB2" s="79" t="s">
        <v>116</v>
      </c>
      <c r="AC2" s="79" t="s">
        <v>117</v>
      </c>
      <c r="AD2" s="79" t="s">
        <v>102</v>
      </c>
      <c r="AE2" s="79" t="s">
        <v>103</v>
      </c>
    </row>
    <row r="3" spans="1:35" ht="18.75" x14ac:dyDescent="0.3">
      <c r="A3" s="61"/>
      <c r="B3" s="61"/>
      <c r="C3" s="61"/>
      <c r="D3" s="342" t="s">
        <v>251</v>
      </c>
      <c r="E3" s="343"/>
      <c r="F3" s="220"/>
      <c r="G3" s="344" t="s">
        <v>252</v>
      </c>
      <c r="H3" s="345"/>
      <c r="I3" s="220"/>
      <c r="K3" s="73"/>
      <c r="L3" s="80"/>
      <c r="M3" s="80" t="s">
        <v>118</v>
      </c>
      <c r="N3" s="81">
        <v>100</v>
      </c>
      <c r="O3" s="81">
        <v>100</v>
      </c>
      <c r="P3" s="267">
        <v>140</v>
      </c>
      <c r="Q3" s="81">
        <f>P3+P11/30</f>
        <v>180</v>
      </c>
      <c r="R3" s="81">
        <f t="shared" ref="R3:AE3" si="1">Q3+Q11/30</f>
        <v>220</v>
      </c>
      <c r="S3" s="81">
        <f t="shared" si="1"/>
        <v>260</v>
      </c>
      <c r="T3" s="81">
        <f t="shared" si="1"/>
        <v>300</v>
      </c>
      <c r="U3" s="81">
        <f t="shared" si="1"/>
        <v>320</v>
      </c>
      <c r="V3" s="81">
        <f t="shared" si="1"/>
        <v>340</v>
      </c>
      <c r="W3" s="81">
        <f t="shared" si="1"/>
        <v>360</v>
      </c>
      <c r="X3" s="81">
        <f t="shared" si="1"/>
        <v>380</v>
      </c>
      <c r="Y3" s="81">
        <f t="shared" si="1"/>
        <v>400</v>
      </c>
      <c r="Z3" s="81">
        <f t="shared" si="1"/>
        <v>420</v>
      </c>
      <c r="AA3" s="81">
        <f t="shared" si="1"/>
        <v>440</v>
      </c>
      <c r="AB3" s="81">
        <f t="shared" si="1"/>
        <v>460</v>
      </c>
      <c r="AC3" s="81">
        <f t="shared" si="1"/>
        <v>480</v>
      </c>
      <c r="AD3" s="81">
        <f t="shared" si="1"/>
        <v>500</v>
      </c>
      <c r="AE3" s="81">
        <f t="shared" si="1"/>
        <v>520</v>
      </c>
    </row>
    <row r="4" spans="1:35" ht="18.75" x14ac:dyDescent="0.3">
      <c r="A4" s="61"/>
      <c r="B4" s="61"/>
      <c r="C4" s="61"/>
      <c r="D4" s="221"/>
      <c r="E4" s="222"/>
      <c r="F4" s="247"/>
      <c r="G4" s="221"/>
      <c r="H4" s="247"/>
      <c r="I4" s="223"/>
      <c r="K4" s="268" t="s">
        <v>277</v>
      </c>
      <c r="L4" s="268"/>
      <c r="M4" s="269">
        <v>0</v>
      </c>
      <c r="N4" s="269">
        <f>M4</f>
        <v>0</v>
      </c>
      <c r="O4" s="269">
        <f>N4-N13+N23</f>
        <v>0</v>
      </c>
      <c r="P4" s="270">
        <f>O4-O13+O23</f>
        <v>0</v>
      </c>
      <c r="Q4" s="270">
        <f t="shared" ref="Q4:AE4" si="2">P4-P13+P23</f>
        <v>0</v>
      </c>
      <c r="R4" s="270">
        <f t="shared" si="2"/>
        <v>0</v>
      </c>
      <c r="S4" s="270">
        <f t="shared" si="2"/>
        <v>0</v>
      </c>
      <c r="T4" s="270">
        <f t="shared" si="2"/>
        <v>0</v>
      </c>
      <c r="U4" s="270">
        <f t="shared" si="2"/>
        <v>0</v>
      </c>
      <c r="V4" s="270">
        <f t="shared" si="2"/>
        <v>0</v>
      </c>
      <c r="W4" s="270">
        <f t="shared" si="2"/>
        <v>0</v>
      </c>
      <c r="X4" s="270">
        <f t="shared" si="2"/>
        <v>0</v>
      </c>
      <c r="Y4" s="270">
        <f t="shared" si="2"/>
        <v>0</v>
      </c>
      <c r="Z4" s="270">
        <f t="shared" si="2"/>
        <v>0</v>
      </c>
      <c r="AA4" s="270">
        <f t="shared" si="2"/>
        <v>0</v>
      </c>
      <c r="AB4" s="270">
        <f t="shared" si="2"/>
        <v>0</v>
      </c>
      <c r="AC4" s="270">
        <f t="shared" si="2"/>
        <v>0</v>
      </c>
      <c r="AD4" s="270">
        <f t="shared" si="2"/>
        <v>0</v>
      </c>
      <c r="AE4" s="270">
        <f t="shared" si="2"/>
        <v>0</v>
      </c>
    </row>
    <row r="5" spans="1:35" ht="18.75" x14ac:dyDescent="0.3">
      <c r="A5" s="85"/>
      <c r="B5" s="85"/>
      <c r="C5" s="85"/>
      <c r="D5" s="224" t="s">
        <v>253</v>
      </c>
      <c r="E5" s="225">
        <f>SUM(E6:E8)</f>
        <v>356700</v>
      </c>
      <c r="F5" s="271">
        <f>E5/E35</f>
        <v>0.1219222076840728</v>
      </c>
      <c r="G5" s="224" t="s">
        <v>254</v>
      </c>
      <c r="H5" s="272">
        <f>H6+H7</f>
        <v>300000</v>
      </c>
      <c r="I5" s="226">
        <f>H5/$H$35</f>
        <v>0.10254180629442623</v>
      </c>
      <c r="K5" s="82" t="s">
        <v>119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4">
        <f t="shared" si="3"/>
        <v>925753</v>
      </c>
      <c r="Q5" s="84">
        <f t="shared" si="3"/>
        <v>909196</v>
      </c>
      <c r="R5" s="84">
        <f t="shared" si="3"/>
        <v>854346</v>
      </c>
      <c r="S5" s="84">
        <f t="shared" si="3"/>
        <v>861746</v>
      </c>
      <c r="T5" s="84">
        <f t="shared" si="3"/>
        <v>808396</v>
      </c>
      <c r="U5" s="84">
        <f t="shared" si="3"/>
        <v>816696</v>
      </c>
      <c r="V5" s="84">
        <f t="shared" si="3"/>
        <v>766246</v>
      </c>
      <c r="W5" s="84">
        <f t="shared" si="3"/>
        <v>778046</v>
      </c>
      <c r="X5" s="84">
        <f t="shared" si="3"/>
        <v>729096</v>
      </c>
      <c r="Y5" s="84">
        <f t="shared" si="3"/>
        <v>742396</v>
      </c>
      <c r="Z5" s="84">
        <f t="shared" si="3"/>
        <v>694946</v>
      </c>
      <c r="AA5" s="84">
        <f t="shared" si="3"/>
        <v>709746</v>
      </c>
      <c r="AB5" s="84">
        <f t="shared" si="3"/>
        <v>663796</v>
      </c>
      <c r="AC5" s="84">
        <f t="shared" si="3"/>
        <v>680096</v>
      </c>
      <c r="AD5" s="84">
        <f t="shared" si="3"/>
        <v>697146</v>
      </c>
      <c r="AE5" s="84">
        <f t="shared" si="3"/>
        <v>653446</v>
      </c>
    </row>
    <row r="6" spans="1:35" x14ac:dyDescent="0.25">
      <c r="A6" s="257" t="str">
        <f t="shared" ref="A6:A13" si="4">L6</f>
        <v>Taquillas</v>
      </c>
      <c r="B6" s="311">
        <f t="shared" ref="B6:B13" si="5">M6/$M$14</f>
        <v>0.2945129346971444</v>
      </c>
      <c r="D6" s="227" t="s">
        <v>133</v>
      </c>
      <c r="E6" s="228">
        <f>M17</f>
        <v>88000</v>
      </c>
      <c r="F6" s="273">
        <f>E6/E35</f>
        <v>3.0078929846365031E-2</v>
      </c>
      <c r="G6" s="229" t="s">
        <v>255</v>
      </c>
      <c r="H6" s="274">
        <v>300000</v>
      </c>
      <c r="I6" s="275">
        <f>H6/$H$35</f>
        <v>0.10254180629442623</v>
      </c>
      <c r="K6" s="257" t="s">
        <v>120</v>
      </c>
      <c r="L6" s="257" t="s">
        <v>120</v>
      </c>
      <c r="M6" s="276">
        <f>SUM(N6:AE6)</f>
        <v>668231</v>
      </c>
      <c r="N6" s="306">
        <v>0</v>
      </c>
      <c r="O6" s="306">
        <f>140449+2239</f>
        <v>142688</v>
      </c>
      <c r="P6" s="254">
        <f>2819+39724</f>
        <v>42543</v>
      </c>
      <c r="Q6" s="254">
        <v>3500</v>
      </c>
      <c r="R6" s="254">
        <v>65000</v>
      </c>
      <c r="S6" s="254">
        <v>3500</v>
      </c>
      <c r="T6" s="254">
        <v>65000</v>
      </c>
      <c r="U6" s="254">
        <v>3500</v>
      </c>
      <c r="V6" s="254">
        <v>65000</v>
      </c>
      <c r="W6" s="254">
        <v>3500</v>
      </c>
      <c r="X6" s="254">
        <v>65000</v>
      </c>
      <c r="Y6" s="254">
        <v>3500</v>
      </c>
      <c r="Z6" s="254">
        <v>65000</v>
      </c>
      <c r="AA6" s="254">
        <v>3500</v>
      </c>
      <c r="AB6" s="254">
        <v>65000</v>
      </c>
      <c r="AC6" s="254">
        <v>65000</v>
      </c>
      <c r="AD6" s="255">
        <v>3500</v>
      </c>
      <c r="AE6" s="255">
        <v>3500</v>
      </c>
    </row>
    <row r="7" spans="1:35" x14ac:dyDescent="0.25">
      <c r="A7" s="257" t="str">
        <f t="shared" si="4"/>
        <v>Patrocinadores</v>
      </c>
      <c r="B7" s="311">
        <f t="shared" si="5"/>
        <v>0.2919892848454077</v>
      </c>
      <c r="D7" s="227" t="s">
        <v>138</v>
      </c>
      <c r="E7" s="228">
        <f>M21</f>
        <v>268700</v>
      </c>
      <c r="F7" s="273">
        <f>E7/E35</f>
        <v>9.1843277837707765E-2</v>
      </c>
      <c r="G7" s="229" t="s">
        <v>256</v>
      </c>
      <c r="H7" s="274">
        <v>0</v>
      </c>
      <c r="I7" s="275">
        <f>H7/$H$35</f>
        <v>0</v>
      </c>
      <c r="K7" s="257" t="s">
        <v>121</v>
      </c>
      <c r="L7" s="257" t="s">
        <v>121</v>
      </c>
      <c r="M7" s="276">
        <f t="shared" ref="M7:M13" si="6">SUM(N7:AE7)</f>
        <v>662505</v>
      </c>
      <c r="N7" s="306">
        <v>0</v>
      </c>
      <c r="O7" s="306">
        <v>30345</v>
      </c>
      <c r="P7" s="256">
        <v>32010</v>
      </c>
      <c r="Q7" s="256">
        <f t="shared" ref="Q7:AE7" si="7">P7+1000</f>
        <v>33010</v>
      </c>
      <c r="R7" s="256">
        <f t="shared" si="7"/>
        <v>34010</v>
      </c>
      <c r="S7" s="256">
        <f t="shared" si="7"/>
        <v>35010</v>
      </c>
      <c r="T7" s="256">
        <f t="shared" si="7"/>
        <v>36010</v>
      </c>
      <c r="U7" s="256">
        <f t="shared" si="7"/>
        <v>37010</v>
      </c>
      <c r="V7" s="256">
        <f t="shared" si="7"/>
        <v>38010</v>
      </c>
      <c r="W7" s="256">
        <f t="shared" si="7"/>
        <v>39010</v>
      </c>
      <c r="X7" s="256">
        <f t="shared" si="7"/>
        <v>40010</v>
      </c>
      <c r="Y7" s="256">
        <f t="shared" si="7"/>
        <v>41010</v>
      </c>
      <c r="Z7" s="256">
        <f t="shared" si="7"/>
        <v>42010</v>
      </c>
      <c r="AA7" s="256">
        <f t="shared" si="7"/>
        <v>43010</v>
      </c>
      <c r="AB7" s="256">
        <f t="shared" si="7"/>
        <v>44010</v>
      </c>
      <c r="AC7" s="256">
        <f t="shared" si="7"/>
        <v>45010</v>
      </c>
      <c r="AD7" s="256">
        <f t="shared" si="7"/>
        <v>46010</v>
      </c>
      <c r="AE7" s="256">
        <f t="shared" si="7"/>
        <v>47010</v>
      </c>
    </row>
    <row r="8" spans="1:35" x14ac:dyDescent="0.25">
      <c r="A8" s="257" t="str">
        <f t="shared" si="4"/>
        <v>Ventas</v>
      </c>
      <c r="B8" s="311">
        <f t="shared" si="5"/>
        <v>0</v>
      </c>
      <c r="D8" s="230" t="s">
        <v>257</v>
      </c>
      <c r="E8" s="231">
        <v>0</v>
      </c>
      <c r="F8" s="273">
        <f>E8/E35</f>
        <v>0</v>
      </c>
      <c r="G8" s="234"/>
      <c r="H8" s="277"/>
      <c r="I8" s="226"/>
      <c r="K8" s="257" t="s">
        <v>122</v>
      </c>
      <c r="L8" s="257" t="s">
        <v>123</v>
      </c>
      <c r="M8" s="276">
        <f t="shared" si="6"/>
        <v>0</v>
      </c>
      <c r="N8" s="306">
        <v>0</v>
      </c>
      <c r="O8" s="306">
        <v>0</v>
      </c>
      <c r="P8" s="254">
        <v>0</v>
      </c>
      <c r="Q8" s="254">
        <v>0</v>
      </c>
      <c r="R8" s="254">
        <v>0</v>
      </c>
      <c r="S8" s="254">
        <v>0</v>
      </c>
      <c r="T8" s="254">
        <v>0</v>
      </c>
      <c r="U8" s="254">
        <v>0</v>
      </c>
      <c r="V8" s="254">
        <v>0</v>
      </c>
      <c r="W8" s="254">
        <v>0</v>
      </c>
      <c r="X8" s="254">
        <v>0</v>
      </c>
      <c r="Y8" s="254">
        <v>0</v>
      </c>
      <c r="Z8" s="254">
        <v>0</v>
      </c>
      <c r="AA8" s="254">
        <v>0</v>
      </c>
      <c r="AB8" s="254">
        <v>0</v>
      </c>
      <c r="AC8" s="254">
        <v>0</v>
      </c>
      <c r="AD8" s="254">
        <v>0</v>
      </c>
      <c r="AE8" s="254">
        <v>0</v>
      </c>
      <c r="AG8" s="219"/>
      <c r="AH8" s="219"/>
    </row>
    <row r="9" spans="1:35" x14ac:dyDescent="0.25">
      <c r="A9" s="257" t="str">
        <f t="shared" si="4"/>
        <v>VentasCantera</v>
      </c>
      <c r="B9" s="311">
        <f t="shared" si="5"/>
        <v>0</v>
      </c>
      <c r="D9" s="232"/>
      <c r="E9" s="233"/>
      <c r="F9" s="271"/>
      <c r="G9" s="234"/>
      <c r="H9" s="277"/>
      <c r="I9" s="226"/>
      <c r="K9" s="257"/>
      <c r="L9" s="257" t="s">
        <v>124</v>
      </c>
      <c r="M9" s="276">
        <f t="shared" si="6"/>
        <v>0</v>
      </c>
      <c r="N9" s="306">
        <v>0</v>
      </c>
      <c r="O9" s="306">
        <v>0</v>
      </c>
      <c r="P9" s="254">
        <v>0</v>
      </c>
      <c r="Q9" s="254">
        <v>0</v>
      </c>
      <c r="R9" s="254">
        <v>0</v>
      </c>
      <c r="S9" s="254">
        <v>0</v>
      </c>
      <c r="T9" s="254">
        <v>0</v>
      </c>
      <c r="U9" s="254">
        <v>0</v>
      </c>
      <c r="V9" s="254">
        <v>0</v>
      </c>
      <c r="W9" s="254">
        <v>0</v>
      </c>
      <c r="X9" s="254">
        <v>0</v>
      </c>
      <c r="Y9" s="254">
        <v>0</v>
      </c>
      <c r="Z9" s="254">
        <v>0</v>
      </c>
      <c r="AA9" s="254">
        <v>0</v>
      </c>
      <c r="AB9" s="254">
        <v>0</v>
      </c>
      <c r="AC9" s="254">
        <v>0</v>
      </c>
      <c r="AD9" s="254">
        <v>0</v>
      </c>
      <c r="AE9" s="254">
        <v>0</v>
      </c>
    </row>
    <row r="10" spans="1:35" x14ac:dyDescent="0.25">
      <c r="A10" s="257" t="str">
        <f t="shared" si="4"/>
        <v>Comisiones</v>
      </c>
      <c r="B10" s="311">
        <f t="shared" si="5"/>
        <v>9.6961747709058341E-3</v>
      </c>
      <c r="D10" s="224" t="s">
        <v>278</v>
      </c>
      <c r="E10" s="225">
        <f>E11+E12+E13</f>
        <v>0</v>
      </c>
      <c r="F10" s="271">
        <f>E10/E35</f>
        <v>0</v>
      </c>
      <c r="G10" s="224" t="s">
        <v>258</v>
      </c>
      <c r="H10" s="272">
        <f>SUM(H11:H16)</f>
        <v>667196</v>
      </c>
      <c r="I10" s="226">
        <f t="shared" ref="I10:I16" si="8">H10/$H$35</f>
        <v>0.22805160997472002</v>
      </c>
      <c r="K10" s="257" t="s">
        <v>125</v>
      </c>
      <c r="L10" s="257" t="s">
        <v>125</v>
      </c>
      <c r="M10" s="276">
        <f t="shared" si="6"/>
        <v>22000</v>
      </c>
      <c r="N10" s="306">
        <v>0</v>
      </c>
      <c r="O10" s="306">
        <v>0</v>
      </c>
      <c r="P10" s="256">
        <v>0</v>
      </c>
      <c r="Q10" s="256">
        <f>P10</f>
        <v>0</v>
      </c>
      <c r="R10" s="256">
        <f t="shared" ref="R10:AE11" si="9">Q10</f>
        <v>0</v>
      </c>
      <c r="S10" s="256">
        <f t="shared" si="9"/>
        <v>0</v>
      </c>
      <c r="T10" s="256">
        <f t="shared" si="9"/>
        <v>0</v>
      </c>
      <c r="U10" s="256">
        <v>2000</v>
      </c>
      <c r="V10" s="256">
        <f t="shared" si="9"/>
        <v>2000</v>
      </c>
      <c r="W10" s="256">
        <f t="shared" si="9"/>
        <v>2000</v>
      </c>
      <c r="X10" s="256">
        <f t="shared" si="9"/>
        <v>2000</v>
      </c>
      <c r="Y10" s="256">
        <f t="shared" si="9"/>
        <v>2000</v>
      </c>
      <c r="Z10" s="256">
        <f t="shared" si="9"/>
        <v>2000</v>
      </c>
      <c r="AA10" s="256">
        <f t="shared" si="9"/>
        <v>2000</v>
      </c>
      <c r="AB10" s="256">
        <f t="shared" si="9"/>
        <v>2000</v>
      </c>
      <c r="AC10" s="256">
        <f t="shared" si="9"/>
        <v>2000</v>
      </c>
      <c r="AD10" s="256">
        <f t="shared" si="9"/>
        <v>2000</v>
      </c>
      <c r="AE10" s="256">
        <f t="shared" si="9"/>
        <v>2000</v>
      </c>
    </row>
    <row r="11" spans="1:35" x14ac:dyDescent="0.25">
      <c r="A11" s="257" t="str">
        <f t="shared" si="4"/>
        <v>Nuevos Socios</v>
      </c>
      <c r="B11" s="311">
        <f t="shared" si="5"/>
        <v>5.817704862543501E-3</v>
      </c>
      <c r="D11" s="235" t="s">
        <v>279</v>
      </c>
      <c r="E11" s="236">
        <f>N4</f>
        <v>0</v>
      </c>
      <c r="F11" s="273">
        <f>E11/E35</f>
        <v>0</v>
      </c>
      <c r="G11" s="244" t="s">
        <v>260</v>
      </c>
      <c r="H11" s="278">
        <v>0</v>
      </c>
      <c r="I11" s="275">
        <f t="shared" si="8"/>
        <v>0</v>
      </c>
      <c r="K11" s="346" t="s">
        <v>126</v>
      </c>
      <c r="L11" s="257" t="s">
        <v>127</v>
      </c>
      <c r="M11" s="276">
        <f t="shared" si="6"/>
        <v>13200</v>
      </c>
      <c r="N11" s="306">
        <v>0</v>
      </c>
      <c r="O11" s="306">
        <v>1200</v>
      </c>
      <c r="P11" s="256">
        <v>1200</v>
      </c>
      <c r="Q11" s="256">
        <f>P11</f>
        <v>1200</v>
      </c>
      <c r="R11" s="256">
        <f t="shared" si="9"/>
        <v>1200</v>
      </c>
      <c r="S11" s="256">
        <f t="shared" si="9"/>
        <v>1200</v>
      </c>
      <c r="T11" s="256">
        <v>600</v>
      </c>
      <c r="U11" s="256">
        <f t="shared" si="9"/>
        <v>600</v>
      </c>
      <c r="V11" s="256">
        <f t="shared" si="9"/>
        <v>600</v>
      </c>
      <c r="W11" s="256">
        <f t="shared" si="9"/>
        <v>600</v>
      </c>
      <c r="X11" s="256">
        <f t="shared" si="9"/>
        <v>600</v>
      </c>
      <c r="Y11" s="256">
        <f t="shared" si="9"/>
        <v>600</v>
      </c>
      <c r="Z11" s="256">
        <f t="shared" si="9"/>
        <v>600</v>
      </c>
      <c r="AA11" s="256">
        <f t="shared" si="9"/>
        <v>600</v>
      </c>
      <c r="AB11" s="256">
        <f t="shared" si="9"/>
        <v>600</v>
      </c>
      <c r="AC11" s="256">
        <f t="shared" si="9"/>
        <v>600</v>
      </c>
      <c r="AD11" s="256">
        <f t="shared" si="9"/>
        <v>600</v>
      </c>
      <c r="AE11" s="256">
        <f t="shared" si="9"/>
        <v>600</v>
      </c>
    </row>
    <row r="12" spans="1:35" x14ac:dyDescent="0.25">
      <c r="A12" s="257" t="str">
        <f t="shared" si="4"/>
        <v>Premios</v>
      </c>
      <c r="B12" s="311">
        <f t="shared" si="5"/>
        <v>0.39798390082399854</v>
      </c>
      <c r="D12" s="235" t="str">
        <f>L13</f>
        <v>Ing Reservas</v>
      </c>
      <c r="E12" s="236">
        <f>M13*-1</f>
        <v>0</v>
      </c>
      <c r="F12" s="273">
        <f>E12/E35</f>
        <v>0</v>
      </c>
      <c r="G12" s="279" t="s">
        <v>261</v>
      </c>
      <c r="H12" s="280">
        <v>0</v>
      </c>
      <c r="I12" s="281">
        <f t="shared" si="8"/>
        <v>0</v>
      </c>
      <c r="K12" s="347"/>
      <c r="L12" s="257" t="s">
        <v>128</v>
      </c>
      <c r="M12" s="276">
        <f t="shared" si="6"/>
        <v>903000</v>
      </c>
      <c r="N12" s="306">
        <v>0</v>
      </c>
      <c r="O12" s="306">
        <v>903000</v>
      </c>
      <c r="P12" s="256">
        <v>0</v>
      </c>
      <c r="Q12" s="256">
        <v>0</v>
      </c>
      <c r="R12" s="256">
        <v>0</v>
      </c>
      <c r="S12" s="256">
        <v>0</v>
      </c>
      <c r="T12" s="256">
        <v>0</v>
      </c>
      <c r="U12" s="256">
        <v>0</v>
      </c>
      <c r="V12" s="256">
        <v>0</v>
      </c>
      <c r="W12" s="256">
        <v>0</v>
      </c>
      <c r="X12" s="256">
        <v>0</v>
      </c>
      <c r="Y12" s="256">
        <v>0</v>
      </c>
      <c r="Z12" s="256">
        <v>0</v>
      </c>
      <c r="AA12" s="256">
        <v>0</v>
      </c>
      <c r="AB12" s="256">
        <v>0</v>
      </c>
      <c r="AC12" s="256">
        <v>0</v>
      </c>
      <c r="AD12" s="256">
        <v>0</v>
      </c>
      <c r="AE12" s="256">
        <v>0</v>
      </c>
    </row>
    <row r="13" spans="1:35" ht="18.75" x14ac:dyDescent="0.3">
      <c r="A13" s="257" t="str">
        <f t="shared" si="4"/>
        <v>Ing Reservas</v>
      </c>
      <c r="B13" s="311">
        <f t="shared" si="5"/>
        <v>0</v>
      </c>
      <c r="C13" s="282"/>
      <c r="D13" s="235" t="str">
        <f>L23</f>
        <v>Pago Reservas</v>
      </c>
      <c r="E13" s="236">
        <f>M23</f>
        <v>0</v>
      </c>
      <c r="F13" s="273">
        <f>E13/E35</f>
        <v>0</v>
      </c>
      <c r="G13" s="244" t="s">
        <v>263</v>
      </c>
      <c r="H13" s="278">
        <v>0</v>
      </c>
      <c r="I13" s="275">
        <f t="shared" si="8"/>
        <v>0</v>
      </c>
      <c r="J13" s="283"/>
      <c r="K13" s="348"/>
      <c r="L13" s="257" t="s">
        <v>280</v>
      </c>
      <c r="M13" s="276">
        <f t="shared" si="6"/>
        <v>0</v>
      </c>
      <c r="N13" s="306">
        <v>0</v>
      </c>
      <c r="O13" s="306">
        <v>0</v>
      </c>
      <c r="P13" s="256">
        <f>O13</f>
        <v>0</v>
      </c>
      <c r="Q13" s="256">
        <f t="shared" ref="Q13:AE13" si="10">P13</f>
        <v>0</v>
      </c>
      <c r="R13" s="256">
        <f t="shared" si="10"/>
        <v>0</v>
      </c>
      <c r="S13" s="256">
        <f t="shared" si="10"/>
        <v>0</v>
      </c>
      <c r="T13" s="256">
        <f t="shared" si="10"/>
        <v>0</v>
      </c>
      <c r="U13" s="256">
        <f t="shared" si="10"/>
        <v>0</v>
      </c>
      <c r="V13" s="256">
        <f t="shared" si="10"/>
        <v>0</v>
      </c>
      <c r="W13" s="256">
        <f t="shared" si="10"/>
        <v>0</v>
      </c>
      <c r="X13" s="256">
        <f t="shared" si="10"/>
        <v>0</v>
      </c>
      <c r="Y13" s="256">
        <f t="shared" si="10"/>
        <v>0</v>
      </c>
      <c r="Z13" s="256">
        <f t="shared" si="10"/>
        <v>0</v>
      </c>
      <c r="AA13" s="256">
        <f t="shared" si="10"/>
        <v>0</v>
      </c>
      <c r="AB13" s="256">
        <f t="shared" si="10"/>
        <v>0</v>
      </c>
      <c r="AC13" s="256">
        <f t="shared" si="10"/>
        <v>0</v>
      </c>
      <c r="AD13" s="256">
        <f t="shared" si="10"/>
        <v>0</v>
      </c>
      <c r="AE13" s="256">
        <f t="shared" si="10"/>
        <v>0</v>
      </c>
      <c r="AF13" s="283"/>
      <c r="AG13" s="283"/>
      <c r="AH13" s="283"/>
      <c r="AI13" s="283"/>
    </row>
    <row r="14" spans="1:35" ht="18.75" x14ac:dyDescent="0.3">
      <c r="A14" s="282"/>
      <c r="B14" s="284">
        <f>SUM(B6:B13)</f>
        <v>1</v>
      </c>
      <c r="D14" s="232"/>
      <c r="E14" s="285"/>
      <c r="G14" s="244" t="s">
        <v>265</v>
      </c>
      <c r="H14" s="278">
        <v>0</v>
      </c>
      <c r="I14" s="275">
        <f t="shared" si="8"/>
        <v>0</v>
      </c>
      <c r="K14" s="309" t="s">
        <v>129</v>
      </c>
      <c r="L14" s="310"/>
      <c r="M14" s="286">
        <f>SUM(N14:AE14)</f>
        <v>2268936</v>
      </c>
      <c r="N14" s="307">
        <f>SUM(N6:N13)</f>
        <v>0</v>
      </c>
      <c r="O14" s="307">
        <f>SUM(O6:O13)</f>
        <v>1077233</v>
      </c>
      <c r="P14" s="307">
        <f t="shared" ref="P14:AE14" si="11">SUM(P6:P13)</f>
        <v>75753</v>
      </c>
      <c r="Q14" s="307">
        <f t="shared" si="11"/>
        <v>37710</v>
      </c>
      <c r="R14" s="307">
        <f t="shared" si="11"/>
        <v>100210</v>
      </c>
      <c r="S14" s="307">
        <f t="shared" si="11"/>
        <v>39710</v>
      </c>
      <c r="T14" s="307">
        <f t="shared" si="11"/>
        <v>101610</v>
      </c>
      <c r="U14" s="307">
        <f t="shared" si="11"/>
        <v>43110</v>
      </c>
      <c r="V14" s="307">
        <f t="shared" si="11"/>
        <v>105610</v>
      </c>
      <c r="W14" s="307">
        <f t="shared" si="11"/>
        <v>45110</v>
      </c>
      <c r="X14" s="307">
        <f t="shared" si="11"/>
        <v>107610</v>
      </c>
      <c r="Y14" s="307">
        <f t="shared" si="11"/>
        <v>47110</v>
      </c>
      <c r="Z14" s="307">
        <f t="shared" si="11"/>
        <v>109610</v>
      </c>
      <c r="AA14" s="307">
        <f t="shared" si="11"/>
        <v>49110</v>
      </c>
      <c r="AB14" s="307">
        <f t="shared" si="11"/>
        <v>111610</v>
      </c>
      <c r="AC14" s="307">
        <f t="shared" si="11"/>
        <v>112610</v>
      </c>
      <c r="AD14" s="307">
        <f t="shared" si="11"/>
        <v>52110</v>
      </c>
      <c r="AE14" s="307">
        <f t="shared" si="11"/>
        <v>53110</v>
      </c>
    </row>
    <row r="15" spans="1:35" ht="18.75" x14ac:dyDescent="0.3">
      <c r="A15" s="333">
        <f>M14</f>
        <v>2268936</v>
      </c>
      <c r="B15" s="333"/>
      <c r="D15" s="224" t="s">
        <v>143</v>
      </c>
      <c r="E15" s="225">
        <f>SUM(E16:E19)</f>
        <v>0</v>
      </c>
      <c r="F15" s="271">
        <f>E15/E35</f>
        <v>0</v>
      </c>
      <c r="G15" s="244" t="s">
        <v>266</v>
      </c>
      <c r="H15" s="278">
        <v>0</v>
      </c>
      <c r="I15" s="275">
        <f t="shared" si="8"/>
        <v>0</v>
      </c>
      <c r="K15" s="258" t="s">
        <v>130</v>
      </c>
      <c r="L15" s="259" t="str">
        <f>K15</f>
        <v>Sueldos</v>
      </c>
      <c r="M15" s="86">
        <f>SUM(N15:AE15)</f>
        <v>167480</v>
      </c>
      <c r="N15" s="308">
        <v>0</v>
      </c>
      <c r="O15" s="308">
        <v>8040</v>
      </c>
      <c r="P15" s="262">
        <v>8090</v>
      </c>
      <c r="Q15" s="262">
        <f>P15+250</f>
        <v>8340</v>
      </c>
      <c r="R15" s="262">
        <f t="shared" ref="R15:AE15" si="12">Q15+250</f>
        <v>8590</v>
      </c>
      <c r="S15" s="262">
        <f t="shared" si="12"/>
        <v>8840</v>
      </c>
      <c r="T15" s="262">
        <f t="shared" si="12"/>
        <v>9090</v>
      </c>
      <c r="U15" s="262">
        <f t="shared" si="12"/>
        <v>9340</v>
      </c>
      <c r="V15" s="262">
        <f t="shared" si="12"/>
        <v>9590</v>
      </c>
      <c r="W15" s="262">
        <f t="shared" si="12"/>
        <v>9840</v>
      </c>
      <c r="X15" s="262">
        <f t="shared" si="12"/>
        <v>10090</v>
      </c>
      <c r="Y15" s="262">
        <f t="shared" si="12"/>
        <v>10340</v>
      </c>
      <c r="Z15" s="262">
        <f t="shared" si="12"/>
        <v>10590</v>
      </c>
      <c r="AA15" s="262">
        <f t="shared" si="12"/>
        <v>10840</v>
      </c>
      <c r="AB15" s="262">
        <f t="shared" si="12"/>
        <v>11090</v>
      </c>
      <c r="AC15" s="262">
        <f t="shared" si="12"/>
        <v>11340</v>
      </c>
      <c r="AD15" s="262">
        <f t="shared" si="12"/>
        <v>11590</v>
      </c>
      <c r="AE15" s="262">
        <f t="shared" si="12"/>
        <v>11840</v>
      </c>
    </row>
    <row r="16" spans="1:35" x14ac:dyDescent="0.25">
      <c r="D16" s="235" t="s">
        <v>259</v>
      </c>
      <c r="E16" s="236">
        <v>0</v>
      </c>
      <c r="F16" s="273">
        <f>E16/E35</f>
        <v>0</v>
      </c>
      <c r="G16" s="287" t="s">
        <v>267</v>
      </c>
      <c r="H16" s="288">
        <f>E29-H26</f>
        <v>667196</v>
      </c>
      <c r="I16" s="275">
        <f t="shared" si="8"/>
        <v>0.22805160997472002</v>
      </c>
      <c r="K16" s="258" t="s">
        <v>131</v>
      </c>
      <c r="L16" s="259" t="str">
        <f>K16</f>
        <v xml:space="preserve">Mantenimiento </v>
      </c>
      <c r="M16" s="86">
        <f t="shared" ref="M16:M24" si="13">SUM(N16:AE16)</f>
        <v>120700</v>
      </c>
      <c r="N16" s="308">
        <v>0</v>
      </c>
      <c r="O16" s="308">
        <v>7100</v>
      </c>
      <c r="P16" s="262">
        <v>7100</v>
      </c>
      <c r="Q16" s="262">
        <v>7100</v>
      </c>
      <c r="R16" s="262">
        <v>7100</v>
      </c>
      <c r="S16" s="262">
        <v>7100</v>
      </c>
      <c r="T16" s="262">
        <v>7100</v>
      </c>
      <c r="U16" s="262">
        <v>7100</v>
      </c>
      <c r="V16" s="262">
        <v>7100</v>
      </c>
      <c r="W16" s="262">
        <v>7100</v>
      </c>
      <c r="X16" s="262">
        <v>7100</v>
      </c>
      <c r="Y16" s="262">
        <v>7100</v>
      </c>
      <c r="Z16" s="262">
        <v>7100</v>
      </c>
      <c r="AA16" s="262">
        <v>7100</v>
      </c>
      <c r="AB16" s="262">
        <v>7100</v>
      </c>
      <c r="AC16" s="262">
        <v>7100</v>
      </c>
      <c r="AD16" s="262">
        <v>7100</v>
      </c>
      <c r="AE16" s="262">
        <v>7100</v>
      </c>
    </row>
    <row r="17" spans="1:31" ht="20.25" customHeight="1" x14ac:dyDescent="0.25">
      <c r="D17" s="289" t="s">
        <v>143</v>
      </c>
      <c r="E17" s="290">
        <v>0</v>
      </c>
      <c r="F17" s="291">
        <f>E17/E35</f>
        <v>0</v>
      </c>
      <c r="G17" s="232"/>
      <c r="H17" s="277"/>
      <c r="I17" s="240"/>
      <c r="K17" s="258" t="s">
        <v>132</v>
      </c>
      <c r="L17" s="259" t="s">
        <v>133</v>
      </c>
      <c r="M17" s="86">
        <f t="shared" si="13"/>
        <v>88000</v>
      </c>
      <c r="N17" s="308">
        <v>88000</v>
      </c>
      <c r="O17" s="308">
        <v>0</v>
      </c>
      <c r="P17" s="262">
        <v>0</v>
      </c>
      <c r="Q17" s="262">
        <v>0</v>
      </c>
      <c r="R17" s="262">
        <v>0</v>
      </c>
      <c r="S17" s="262">
        <v>0</v>
      </c>
      <c r="T17" s="262">
        <v>0</v>
      </c>
      <c r="U17" s="262">
        <v>0</v>
      </c>
      <c r="V17" s="262">
        <v>0</v>
      </c>
      <c r="W17" s="262">
        <v>0</v>
      </c>
      <c r="X17" s="262">
        <v>0</v>
      </c>
      <c r="Y17" s="262">
        <v>0</v>
      </c>
      <c r="Z17" s="262">
        <v>0</v>
      </c>
      <c r="AA17" s="262">
        <v>0</v>
      </c>
      <c r="AB17" s="262">
        <v>0</v>
      </c>
      <c r="AC17" s="262">
        <v>0</v>
      </c>
      <c r="AD17" s="262">
        <v>0</v>
      </c>
      <c r="AE17" s="262">
        <v>0</v>
      </c>
    </row>
    <row r="18" spans="1:31" x14ac:dyDescent="0.25">
      <c r="D18" s="235" t="s">
        <v>262</v>
      </c>
      <c r="E18" s="236">
        <v>0</v>
      </c>
      <c r="F18" s="273">
        <f>E18/E35</f>
        <v>0</v>
      </c>
      <c r="G18" s="224" t="s">
        <v>268</v>
      </c>
      <c r="H18" s="292">
        <f>H19</f>
        <v>0</v>
      </c>
      <c r="I18" s="226">
        <f>H18/$H$35</f>
        <v>0</v>
      </c>
      <c r="K18" s="258" t="s">
        <v>134</v>
      </c>
      <c r="L18" s="259" t="str">
        <f>K18</f>
        <v>Empleados</v>
      </c>
      <c r="M18" s="86">
        <f t="shared" si="13"/>
        <v>946560</v>
      </c>
      <c r="N18" s="308">
        <v>0</v>
      </c>
      <c r="O18" s="308">
        <v>32640</v>
      </c>
      <c r="P18" s="262">
        <v>57120</v>
      </c>
      <c r="Q18" s="262">
        <f>P18</f>
        <v>57120</v>
      </c>
      <c r="R18" s="262">
        <f t="shared" ref="R18:AE18" si="14">Q18</f>
        <v>57120</v>
      </c>
      <c r="S18" s="262">
        <f t="shared" si="14"/>
        <v>57120</v>
      </c>
      <c r="T18" s="262">
        <f t="shared" si="14"/>
        <v>57120</v>
      </c>
      <c r="U18" s="262">
        <f t="shared" si="14"/>
        <v>57120</v>
      </c>
      <c r="V18" s="262">
        <f t="shared" si="14"/>
        <v>57120</v>
      </c>
      <c r="W18" s="262">
        <f t="shared" si="14"/>
        <v>57120</v>
      </c>
      <c r="X18" s="262">
        <f t="shared" si="14"/>
        <v>57120</v>
      </c>
      <c r="Y18" s="262">
        <f t="shared" si="14"/>
        <v>57120</v>
      </c>
      <c r="Z18" s="262">
        <f t="shared" si="14"/>
        <v>57120</v>
      </c>
      <c r="AA18" s="262">
        <f t="shared" si="14"/>
        <v>57120</v>
      </c>
      <c r="AB18" s="262">
        <f t="shared" si="14"/>
        <v>57120</v>
      </c>
      <c r="AC18" s="262">
        <f t="shared" si="14"/>
        <v>57120</v>
      </c>
      <c r="AD18" s="262">
        <f t="shared" si="14"/>
        <v>57120</v>
      </c>
      <c r="AE18" s="262">
        <f t="shared" si="14"/>
        <v>57120</v>
      </c>
    </row>
    <row r="19" spans="1:31" x14ac:dyDescent="0.25">
      <c r="D19" s="235" t="s">
        <v>264</v>
      </c>
      <c r="E19" s="236">
        <v>0</v>
      </c>
      <c r="F19" s="273">
        <f>E19/E35</f>
        <v>0</v>
      </c>
      <c r="G19" s="241" t="s">
        <v>137</v>
      </c>
      <c r="H19" s="293">
        <f>M20</f>
        <v>0</v>
      </c>
      <c r="I19" s="275">
        <f>H19/$H$35</f>
        <v>0</v>
      </c>
      <c r="K19" s="258" t="s">
        <v>135</v>
      </c>
      <c r="L19" s="259" t="str">
        <f>K19</f>
        <v>Juveniles</v>
      </c>
      <c r="M19" s="86">
        <f t="shared" si="13"/>
        <v>360000</v>
      </c>
      <c r="N19" s="308">
        <v>20000</v>
      </c>
      <c r="O19" s="308">
        <v>20000</v>
      </c>
      <c r="P19" s="262">
        <v>20000</v>
      </c>
      <c r="Q19" s="262">
        <v>20000</v>
      </c>
      <c r="R19" s="262">
        <v>20000</v>
      </c>
      <c r="S19" s="262">
        <v>20000</v>
      </c>
      <c r="T19" s="262">
        <v>20000</v>
      </c>
      <c r="U19" s="262">
        <v>20000</v>
      </c>
      <c r="V19" s="262">
        <v>20000</v>
      </c>
      <c r="W19" s="262">
        <v>20000</v>
      </c>
      <c r="X19" s="262">
        <v>20000</v>
      </c>
      <c r="Y19" s="262">
        <v>20000</v>
      </c>
      <c r="Z19" s="262">
        <v>20000</v>
      </c>
      <c r="AA19" s="262">
        <v>20000</v>
      </c>
      <c r="AB19" s="262">
        <v>20000</v>
      </c>
      <c r="AC19" s="262">
        <v>20000</v>
      </c>
      <c r="AD19" s="262">
        <v>20000</v>
      </c>
      <c r="AE19" s="262">
        <v>20000</v>
      </c>
    </row>
    <row r="20" spans="1:31" ht="18.75" customHeight="1" x14ac:dyDescent="0.25">
      <c r="D20" s="232"/>
      <c r="E20" s="285"/>
      <c r="F20" s="191"/>
      <c r="G20" s="237"/>
      <c r="H20" s="294"/>
      <c r="I20" s="295"/>
      <c r="K20" s="258" t="s">
        <v>136</v>
      </c>
      <c r="L20" s="259" t="s">
        <v>137</v>
      </c>
      <c r="M20" s="86">
        <f t="shared" si="13"/>
        <v>0</v>
      </c>
      <c r="N20" s="308">
        <v>0</v>
      </c>
      <c r="O20" s="308">
        <v>0</v>
      </c>
      <c r="P20" s="262">
        <v>0</v>
      </c>
      <c r="Q20" s="262">
        <v>0</v>
      </c>
      <c r="R20" s="262">
        <v>0</v>
      </c>
      <c r="S20" s="262">
        <v>0</v>
      </c>
      <c r="T20" s="262">
        <v>0</v>
      </c>
      <c r="U20" s="262">
        <v>0</v>
      </c>
      <c r="V20" s="262">
        <v>0</v>
      </c>
      <c r="W20" s="262">
        <v>0</v>
      </c>
      <c r="X20" s="262">
        <v>0</v>
      </c>
      <c r="Y20" s="262">
        <v>0</v>
      </c>
      <c r="Z20" s="262">
        <v>0</v>
      </c>
      <c r="AA20" s="262">
        <v>0</v>
      </c>
      <c r="AB20" s="262">
        <v>0</v>
      </c>
      <c r="AC20" s="262">
        <v>0</v>
      </c>
      <c r="AD20" s="262">
        <v>0</v>
      </c>
      <c r="AE20" s="262">
        <v>0</v>
      </c>
    </row>
    <row r="21" spans="1:31" x14ac:dyDescent="0.25">
      <c r="D21" s="224" t="s">
        <v>123</v>
      </c>
      <c r="E21" s="239">
        <f>E22</f>
        <v>0</v>
      </c>
      <c r="F21" s="271">
        <f>E21/E35</f>
        <v>0</v>
      </c>
      <c r="G21" s="237"/>
      <c r="H21" s="294"/>
      <c r="I21" s="295"/>
      <c r="K21" s="329" t="s">
        <v>126</v>
      </c>
      <c r="L21" s="259" t="s">
        <v>138</v>
      </c>
      <c r="M21" s="86">
        <f t="shared" si="13"/>
        <v>268700</v>
      </c>
      <c r="N21" s="308">
        <v>0</v>
      </c>
      <c r="O21" s="308">
        <v>268700</v>
      </c>
      <c r="P21" s="262">
        <v>0</v>
      </c>
      <c r="Q21" s="262">
        <v>0</v>
      </c>
      <c r="R21" s="262">
        <v>0</v>
      </c>
      <c r="S21" s="262">
        <v>0</v>
      </c>
      <c r="T21" s="262">
        <v>0</v>
      </c>
      <c r="U21" s="262">
        <v>0</v>
      </c>
      <c r="V21" s="262">
        <v>0</v>
      </c>
      <c r="W21" s="262">
        <v>0</v>
      </c>
      <c r="X21" s="262">
        <v>0</v>
      </c>
      <c r="Y21" s="262">
        <v>0</v>
      </c>
      <c r="Z21" s="262">
        <v>0</v>
      </c>
      <c r="AA21" s="262">
        <v>0</v>
      </c>
      <c r="AB21" s="262">
        <v>0</v>
      </c>
      <c r="AC21" s="262">
        <v>0</v>
      </c>
      <c r="AD21" s="262">
        <v>0</v>
      </c>
      <c r="AE21" s="262">
        <v>0</v>
      </c>
    </row>
    <row r="22" spans="1:31" x14ac:dyDescent="0.25">
      <c r="D22" s="235" t="s">
        <v>123</v>
      </c>
      <c r="E22" s="236">
        <f>M8+M9</f>
        <v>0</v>
      </c>
      <c r="F22" s="273">
        <f>E22/E35</f>
        <v>0</v>
      </c>
      <c r="G22" s="224" t="s">
        <v>269</v>
      </c>
      <c r="H22" s="272">
        <f>SUM(H23:H24)</f>
        <v>356700</v>
      </c>
      <c r="I22" s="226">
        <f>H22/$H$35</f>
        <v>0.1219222076840728</v>
      </c>
      <c r="K22" s="330"/>
      <c r="L22" s="259" t="s">
        <v>139</v>
      </c>
      <c r="M22" s="86">
        <f t="shared" si="13"/>
        <v>7000</v>
      </c>
      <c r="N22" s="308">
        <v>7000</v>
      </c>
      <c r="O22" s="308">
        <v>0</v>
      </c>
      <c r="P22" s="262">
        <v>0</v>
      </c>
      <c r="Q22" s="262">
        <v>0</v>
      </c>
      <c r="R22" s="262">
        <v>0</v>
      </c>
      <c r="S22" s="262">
        <v>0</v>
      </c>
      <c r="T22" s="262">
        <v>0</v>
      </c>
      <c r="U22" s="262">
        <v>0</v>
      </c>
      <c r="V22" s="262">
        <v>0</v>
      </c>
      <c r="W22" s="262">
        <v>0</v>
      </c>
      <c r="X22" s="262">
        <v>0</v>
      </c>
      <c r="Y22" s="262">
        <v>0</v>
      </c>
      <c r="Z22" s="262">
        <v>0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</row>
    <row r="23" spans="1:31" ht="15.75" customHeight="1" x14ac:dyDescent="0.3">
      <c r="C23" s="88"/>
      <c r="D23" s="232"/>
      <c r="E23" s="285"/>
      <c r="F23" s="191"/>
      <c r="G23" s="241" t="s">
        <v>133</v>
      </c>
      <c r="H23" s="296">
        <f>M17</f>
        <v>88000</v>
      </c>
      <c r="I23" s="275">
        <f>H23/$H$35</f>
        <v>3.0078929846365031E-2</v>
      </c>
      <c r="K23" s="331"/>
      <c r="L23" s="259" t="s">
        <v>281</v>
      </c>
      <c r="M23" s="86">
        <f t="shared" si="13"/>
        <v>0</v>
      </c>
      <c r="N23" s="308">
        <v>0</v>
      </c>
      <c r="O23" s="308">
        <v>0</v>
      </c>
      <c r="P23" s="262">
        <v>0</v>
      </c>
      <c r="Q23" s="262">
        <v>0</v>
      </c>
      <c r="R23" s="262">
        <v>0</v>
      </c>
      <c r="S23" s="262">
        <v>0</v>
      </c>
      <c r="T23" s="262">
        <v>0</v>
      </c>
      <c r="U23" s="262">
        <v>0</v>
      </c>
      <c r="V23" s="262">
        <v>0</v>
      </c>
      <c r="W23" s="262">
        <v>0</v>
      </c>
      <c r="X23" s="262">
        <v>0</v>
      </c>
      <c r="Y23" s="262">
        <v>0</v>
      </c>
      <c r="Z23" s="262">
        <v>0</v>
      </c>
      <c r="AA23" s="262">
        <v>0</v>
      </c>
      <c r="AB23" s="262">
        <v>0</v>
      </c>
      <c r="AC23" s="262">
        <v>0</v>
      </c>
      <c r="AD23" s="262">
        <v>0</v>
      </c>
      <c r="AE23" s="262">
        <v>0</v>
      </c>
    </row>
    <row r="24" spans="1:31" ht="18.75" x14ac:dyDescent="0.3">
      <c r="A24" s="259" t="str">
        <f t="shared" ref="A24:A31" si="15">L15</f>
        <v>Sueldos</v>
      </c>
      <c r="B24" s="312">
        <f t="shared" ref="B24:B31" si="16">M15/$M$25</f>
        <v>8.5517044178019239E-2</v>
      </c>
      <c r="C24" s="85"/>
      <c r="D24" s="224" t="s">
        <v>282</v>
      </c>
      <c r="E24" s="225">
        <f>E25+E26-E27</f>
        <v>300000</v>
      </c>
      <c r="F24" s="271">
        <f>E24/E35</f>
        <v>0.10254180629442623</v>
      </c>
      <c r="G24" s="241" t="s">
        <v>138</v>
      </c>
      <c r="H24" s="296">
        <f>M21</f>
        <v>268700</v>
      </c>
      <c r="I24" s="275">
        <f>H24/$H$35</f>
        <v>9.1843277837707765E-2</v>
      </c>
      <c r="K24" s="258" t="s">
        <v>140</v>
      </c>
      <c r="L24" s="259" t="str">
        <f>K24</f>
        <v>Intereses</v>
      </c>
      <c r="M24" s="86">
        <f t="shared" si="13"/>
        <v>0</v>
      </c>
      <c r="N24" s="308">
        <v>0</v>
      </c>
      <c r="O24" s="308">
        <v>0</v>
      </c>
      <c r="P24" s="262">
        <v>0</v>
      </c>
      <c r="Q24" s="262">
        <v>0</v>
      </c>
      <c r="R24" s="262">
        <v>0</v>
      </c>
      <c r="S24" s="262">
        <v>0</v>
      </c>
      <c r="T24" s="262">
        <v>0</v>
      </c>
      <c r="U24" s="262">
        <v>0</v>
      </c>
      <c r="V24" s="262">
        <v>0</v>
      </c>
      <c r="W24" s="262">
        <v>0</v>
      </c>
      <c r="X24" s="262">
        <v>0</v>
      </c>
      <c r="Y24" s="262">
        <v>0</v>
      </c>
      <c r="Z24" s="262">
        <v>0</v>
      </c>
      <c r="AA24" s="262">
        <v>0</v>
      </c>
      <c r="AB24" s="262">
        <v>0</v>
      </c>
      <c r="AC24" s="262">
        <v>0</v>
      </c>
      <c r="AD24" s="262">
        <v>0</v>
      </c>
      <c r="AE24" s="262">
        <v>0</v>
      </c>
    </row>
    <row r="25" spans="1:31" ht="18.75" x14ac:dyDescent="0.3">
      <c r="A25" s="259" t="str">
        <f t="shared" si="15"/>
        <v xml:space="preserve">Mantenimiento </v>
      </c>
      <c r="B25" s="312">
        <f t="shared" si="16"/>
        <v>6.1630685647760461E-2</v>
      </c>
      <c r="C25" s="75"/>
      <c r="D25" s="244" t="s">
        <v>283</v>
      </c>
      <c r="E25" s="245">
        <f>N5</f>
        <v>300000</v>
      </c>
      <c r="F25" s="273">
        <f>E25/E35</f>
        <v>0.10254180629442623</v>
      </c>
      <c r="G25" s="242"/>
      <c r="H25" s="297"/>
      <c r="I25" s="243"/>
      <c r="K25" s="260" t="s">
        <v>141</v>
      </c>
      <c r="L25" s="261"/>
      <c r="M25" s="87">
        <f>SUM(N25:AE25)</f>
        <v>1958440</v>
      </c>
      <c r="N25" s="263">
        <f>SUM(N15:N24)</f>
        <v>115000</v>
      </c>
      <c r="O25" s="263">
        <f>SUM(O15:O24)</f>
        <v>336480</v>
      </c>
      <c r="P25" s="263">
        <f t="shared" ref="P25:AE25" si="17">SUM(P15:P24)</f>
        <v>92310</v>
      </c>
      <c r="Q25" s="263">
        <f t="shared" si="17"/>
        <v>92560</v>
      </c>
      <c r="R25" s="263">
        <f t="shared" si="17"/>
        <v>92810</v>
      </c>
      <c r="S25" s="263">
        <f t="shared" si="17"/>
        <v>93060</v>
      </c>
      <c r="T25" s="263">
        <f t="shared" si="17"/>
        <v>93310</v>
      </c>
      <c r="U25" s="263">
        <f t="shared" si="17"/>
        <v>93560</v>
      </c>
      <c r="V25" s="263">
        <f t="shared" si="17"/>
        <v>93810</v>
      </c>
      <c r="W25" s="263">
        <f t="shared" si="17"/>
        <v>94060</v>
      </c>
      <c r="X25" s="263">
        <f t="shared" si="17"/>
        <v>94310</v>
      </c>
      <c r="Y25" s="263">
        <f t="shared" si="17"/>
        <v>94560</v>
      </c>
      <c r="Z25" s="263">
        <f t="shared" si="17"/>
        <v>94810</v>
      </c>
      <c r="AA25" s="263">
        <f t="shared" si="17"/>
        <v>95060</v>
      </c>
      <c r="AB25" s="263">
        <f t="shared" si="17"/>
        <v>95310</v>
      </c>
      <c r="AC25" s="263">
        <f t="shared" si="17"/>
        <v>95560</v>
      </c>
      <c r="AD25" s="263">
        <f t="shared" si="17"/>
        <v>95810</v>
      </c>
      <c r="AE25" s="263">
        <f t="shared" si="17"/>
        <v>96060</v>
      </c>
    </row>
    <row r="26" spans="1:31" ht="18.75" x14ac:dyDescent="0.3">
      <c r="A26" s="259" t="str">
        <f t="shared" si="15"/>
        <v>Estadio</v>
      </c>
      <c r="B26" s="312">
        <f t="shared" si="16"/>
        <v>4.493372275893058E-2</v>
      </c>
      <c r="C26" s="61"/>
      <c r="D26" s="244" t="str">
        <f>D12</f>
        <v>Ing Reservas</v>
      </c>
      <c r="E26" s="245">
        <f>M13</f>
        <v>0</v>
      </c>
      <c r="F26" s="273">
        <f>E26/E35</f>
        <v>0</v>
      </c>
      <c r="G26" s="224" t="s">
        <v>271</v>
      </c>
      <c r="H26" s="272">
        <f>SUM(H27:H32)</f>
        <v>1601740</v>
      </c>
      <c r="I26" s="226">
        <f t="shared" ref="I26:I32" si="18">H26/$H$35</f>
        <v>0.54748437604678091</v>
      </c>
      <c r="K26" s="89" t="s">
        <v>142</v>
      </c>
      <c r="L26" s="89"/>
      <c r="M26" s="84">
        <f t="shared" ref="M26:AE26" si="19">M5+M14-M25</f>
        <v>610496</v>
      </c>
      <c r="N26" s="84">
        <f t="shared" si="19"/>
        <v>185000</v>
      </c>
      <c r="O26" s="84">
        <f t="shared" si="19"/>
        <v>925753</v>
      </c>
      <c r="P26" s="84">
        <f t="shared" si="19"/>
        <v>909196</v>
      </c>
      <c r="Q26" s="84">
        <f t="shared" si="19"/>
        <v>854346</v>
      </c>
      <c r="R26" s="84">
        <f t="shared" si="19"/>
        <v>861746</v>
      </c>
      <c r="S26" s="84">
        <f t="shared" si="19"/>
        <v>808396</v>
      </c>
      <c r="T26" s="84">
        <f t="shared" si="19"/>
        <v>816696</v>
      </c>
      <c r="U26" s="84">
        <f t="shared" si="19"/>
        <v>766246</v>
      </c>
      <c r="V26" s="84">
        <f t="shared" si="19"/>
        <v>778046</v>
      </c>
      <c r="W26" s="84">
        <f t="shared" si="19"/>
        <v>729096</v>
      </c>
      <c r="X26" s="84">
        <f t="shared" si="19"/>
        <v>742396</v>
      </c>
      <c r="Y26" s="84">
        <f t="shared" si="19"/>
        <v>694946</v>
      </c>
      <c r="Z26" s="84">
        <f t="shared" si="19"/>
        <v>709746</v>
      </c>
      <c r="AA26" s="84">
        <f t="shared" si="19"/>
        <v>663796</v>
      </c>
      <c r="AB26" s="84">
        <f t="shared" si="19"/>
        <v>680096</v>
      </c>
      <c r="AC26" s="84">
        <f t="shared" si="19"/>
        <v>697146</v>
      </c>
      <c r="AD26" s="84">
        <f t="shared" si="19"/>
        <v>653446</v>
      </c>
      <c r="AE26" s="84">
        <f t="shared" si="19"/>
        <v>610496</v>
      </c>
    </row>
    <row r="27" spans="1:31" x14ac:dyDescent="0.25">
      <c r="A27" s="259" t="str">
        <f t="shared" si="15"/>
        <v>Empleados</v>
      </c>
      <c r="B27" s="312">
        <f t="shared" si="16"/>
        <v>0.48332346153060601</v>
      </c>
      <c r="C27" s="7"/>
      <c r="D27" s="244" t="str">
        <f>D13</f>
        <v>Pago Reservas</v>
      </c>
      <c r="E27" s="245">
        <f>M23*-1</f>
        <v>0</v>
      </c>
      <c r="F27" s="273">
        <f>E27/E35</f>
        <v>0</v>
      </c>
      <c r="G27" s="241" t="s">
        <v>272</v>
      </c>
      <c r="H27" s="296">
        <f>M15</f>
        <v>167480</v>
      </c>
      <c r="I27" s="275">
        <f t="shared" si="18"/>
        <v>5.7245672393968355E-2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0">O27+7</f>
        <v>43651</v>
      </c>
      <c r="Q27" s="91">
        <f t="shared" si="20"/>
        <v>43658</v>
      </c>
      <c r="R27" s="91">
        <f t="shared" si="20"/>
        <v>43665</v>
      </c>
      <c r="S27" s="91">
        <f t="shared" si="20"/>
        <v>43672</v>
      </c>
      <c r="T27" s="91">
        <f t="shared" si="20"/>
        <v>43679</v>
      </c>
      <c r="U27" s="91">
        <f t="shared" si="20"/>
        <v>43686</v>
      </c>
      <c r="V27" s="91">
        <f t="shared" si="20"/>
        <v>43693</v>
      </c>
      <c r="W27" s="91">
        <f t="shared" si="20"/>
        <v>43700</v>
      </c>
      <c r="X27" s="91">
        <f t="shared" si="20"/>
        <v>43707</v>
      </c>
      <c r="Y27" s="91">
        <f t="shared" si="20"/>
        <v>43714</v>
      </c>
      <c r="Z27" s="91">
        <f t="shared" si="20"/>
        <v>43721</v>
      </c>
      <c r="AA27" s="91">
        <f t="shared" si="20"/>
        <v>43728</v>
      </c>
      <c r="AB27" s="91">
        <f t="shared" si="20"/>
        <v>43735</v>
      </c>
      <c r="AC27" s="91">
        <f t="shared" si="20"/>
        <v>43742</v>
      </c>
      <c r="AD27" s="91">
        <f t="shared" si="20"/>
        <v>43749</v>
      </c>
      <c r="AE27" s="91">
        <f t="shared" si="20"/>
        <v>43756</v>
      </c>
    </row>
    <row r="28" spans="1:31" x14ac:dyDescent="0.25">
      <c r="A28" s="259" t="str">
        <f t="shared" si="15"/>
        <v>Juveniles</v>
      </c>
      <c r="B28" s="312">
        <f t="shared" si="16"/>
        <v>0.18381977492289781</v>
      </c>
      <c r="C28" s="61"/>
      <c r="D28" s="237"/>
      <c r="E28" s="238"/>
      <c r="F28" s="273"/>
      <c r="G28" s="241" t="s">
        <v>131</v>
      </c>
      <c r="H28" s="296">
        <f>M16</f>
        <v>120700</v>
      </c>
      <c r="I28" s="275">
        <f t="shared" si="18"/>
        <v>4.1255986732457492E-2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59" t="str">
        <f t="shared" si="15"/>
        <v>Compra</v>
      </c>
      <c r="B29" s="312">
        <f t="shared" si="16"/>
        <v>0</v>
      </c>
      <c r="D29" s="224" t="s">
        <v>270</v>
      </c>
      <c r="E29" s="225">
        <f>SUM(E30:E34)</f>
        <v>2268936</v>
      </c>
      <c r="F29" s="271">
        <f>E29/E35</f>
        <v>0.77553598602150098</v>
      </c>
      <c r="G29" s="241" t="s">
        <v>134</v>
      </c>
      <c r="H29" s="296">
        <f>M18</f>
        <v>946560</v>
      </c>
      <c r="I29" s="275">
        <f t="shared" si="18"/>
        <v>0.32353990722017367</v>
      </c>
      <c r="K29" s="94"/>
      <c r="L29" s="94"/>
      <c r="M29" s="95" t="s">
        <v>143</v>
      </c>
      <c r="N29" s="96">
        <v>19</v>
      </c>
      <c r="O29" s="96">
        <v>19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59" t="str">
        <f t="shared" si="15"/>
        <v>Entrenador</v>
      </c>
      <c r="B30" s="312">
        <f t="shared" si="16"/>
        <v>0.13720103756050733</v>
      </c>
      <c r="D30" s="244" t="s">
        <v>118</v>
      </c>
      <c r="E30" s="245">
        <f>M11</f>
        <v>13200</v>
      </c>
      <c r="F30" s="273">
        <f>E30/E35</f>
        <v>4.5118394769547545E-3</v>
      </c>
      <c r="G30" s="241" t="s">
        <v>135</v>
      </c>
      <c r="H30" s="296">
        <f>M19</f>
        <v>360000</v>
      </c>
      <c r="I30" s="275">
        <f t="shared" si="18"/>
        <v>0.12305016755331148</v>
      </c>
      <c r="K30" s="73"/>
      <c r="L30" s="332" t="s">
        <v>144</v>
      </c>
      <c r="M30" s="98" t="s">
        <v>21</v>
      </c>
      <c r="N30" s="96">
        <v>19270</v>
      </c>
      <c r="O30" s="96">
        <v>19090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59" t="str">
        <f t="shared" si="15"/>
        <v>Viajes+Venta</v>
      </c>
      <c r="B31" s="312">
        <f t="shared" si="16"/>
        <v>3.5742734012785687E-3</v>
      </c>
      <c r="D31" s="244" t="s">
        <v>128</v>
      </c>
      <c r="E31" s="245">
        <f>M12</f>
        <v>903000</v>
      </c>
      <c r="F31" s="273">
        <f>E31/E35</f>
        <v>0.30865083694622297</v>
      </c>
      <c r="G31" s="241" t="s">
        <v>139</v>
      </c>
      <c r="H31" s="296">
        <f>M22</f>
        <v>7000</v>
      </c>
      <c r="I31" s="275">
        <f t="shared" si="18"/>
        <v>2.3926421468699454E-3</v>
      </c>
      <c r="K31" s="73"/>
      <c r="L31" s="332"/>
      <c r="M31" s="98" t="s">
        <v>145</v>
      </c>
      <c r="N31" s="96">
        <v>7790</v>
      </c>
      <c r="O31" s="96">
        <v>7790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59" t="str">
        <f>L24</f>
        <v>Intereses</v>
      </c>
      <c r="B32" s="312">
        <f>M24/$M$25</f>
        <v>0</v>
      </c>
      <c r="D32" s="244" t="s">
        <v>120</v>
      </c>
      <c r="E32" s="245">
        <f>M6</f>
        <v>668231</v>
      </c>
      <c r="F32" s="273">
        <f>E32/E35</f>
        <v>0.2284053792064358</v>
      </c>
      <c r="G32" s="241" t="s">
        <v>140</v>
      </c>
      <c r="H32" s="296">
        <f>M24</f>
        <v>0</v>
      </c>
      <c r="I32" s="275">
        <f t="shared" si="18"/>
        <v>0</v>
      </c>
      <c r="K32" s="73"/>
      <c r="L32" s="332"/>
      <c r="M32" s="98" t="s">
        <v>146</v>
      </c>
      <c r="N32" s="96">
        <v>14830</v>
      </c>
      <c r="O32" s="96">
        <v>14830</v>
      </c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0.99999999999999989</v>
      </c>
      <c r="D33" s="244" t="s">
        <v>121</v>
      </c>
      <c r="E33" s="245">
        <f>M7</f>
        <v>662505</v>
      </c>
      <c r="F33" s="273">
        <f>E33/E35</f>
        <v>0.22644819793029619</v>
      </c>
      <c r="G33" s="237"/>
      <c r="H33" s="294"/>
      <c r="I33" s="295"/>
      <c r="K33" s="73"/>
      <c r="L33" s="332"/>
      <c r="M33" s="98" t="s">
        <v>147</v>
      </c>
      <c r="N33" s="96">
        <v>5250</v>
      </c>
      <c r="O33" s="96">
        <v>5250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98" t="s">
        <v>125</v>
      </c>
      <c r="E34" s="299">
        <f>M10</f>
        <v>22000</v>
      </c>
      <c r="F34" s="273">
        <f>E34/E35</f>
        <v>7.5197324615912577E-3</v>
      </c>
      <c r="G34" s="300"/>
      <c r="H34" s="301"/>
      <c r="I34" s="302"/>
      <c r="K34" s="73"/>
      <c r="L34" s="332"/>
      <c r="M34" s="98" t="s">
        <v>148</v>
      </c>
      <c r="N34" s="99" t="s">
        <v>149</v>
      </c>
      <c r="O34" s="99" t="s">
        <v>249</v>
      </c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34">
        <f>M25</f>
        <v>1958440</v>
      </c>
      <c r="B35" s="334"/>
      <c r="D35" s="303" t="s">
        <v>228</v>
      </c>
      <c r="E35" s="304">
        <f>E29+E21+E15+E5+E10+E24</f>
        <v>2925636</v>
      </c>
      <c r="F35" s="246">
        <f>F29+F21+F15+F5+F10+F24</f>
        <v>1</v>
      </c>
      <c r="G35" s="303" t="s">
        <v>228</v>
      </c>
      <c r="H35" s="304">
        <f>H26+H18+H10+H5+H22</f>
        <v>2925636</v>
      </c>
      <c r="I35" s="305">
        <f>H35/$H$35</f>
        <v>1</v>
      </c>
      <c r="K35" s="73"/>
      <c r="L35" s="332"/>
      <c r="M35" s="98" t="s">
        <v>150</v>
      </c>
      <c r="N35" s="100">
        <v>5.25</v>
      </c>
      <c r="O35" s="100">
        <v>5.25</v>
      </c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19"/>
      <c r="F36" s="247"/>
      <c r="G36" s="248"/>
      <c r="H36" s="249">
        <f>E35-H35</f>
        <v>0</v>
      </c>
      <c r="I36" s="219"/>
      <c r="K36" s="61"/>
      <c r="L36" s="332"/>
      <c r="M36" s="98" t="s">
        <v>151</v>
      </c>
      <c r="N36" s="100">
        <v>4.75</v>
      </c>
      <c r="O36" s="100">
        <v>4.75</v>
      </c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19"/>
      <c r="F37" s="219"/>
      <c r="H37" s="219"/>
      <c r="I37" s="219"/>
      <c r="K37" s="61"/>
      <c r="L37" s="332"/>
      <c r="M37" s="98" t="s">
        <v>152</v>
      </c>
      <c r="N37" s="100">
        <v>2.25</v>
      </c>
      <c r="O37" s="100">
        <v>2.5</v>
      </c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50"/>
      <c r="E38" s="251"/>
      <c r="F38" s="219"/>
      <c r="G38" s="252"/>
      <c r="H38" s="253"/>
      <c r="I38" s="253"/>
      <c r="K38" s="61"/>
      <c r="L38" s="61"/>
      <c r="M38" s="101" t="s">
        <v>153</v>
      </c>
      <c r="N38" s="102">
        <f t="shared" ref="N38:O38" si="21">N30/N31</f>
        <v>2.4736842105263159</v>
      </c>
      <c r="O38" s="102">
        <f t="shared" si="21"/>
        <v>2.4505776636713734</v>
      </c>
      <c r="P38" s="102" t="e">
        <f t="shared" ref="P38:AE38" si="22">P30/P31</f>
        <v>#DIV/0!</v>
      </c>
      <c r="Q38" s="102" t="e">
        <f t="shared" si="22"/>
        <v>#DIV/0!</v>
      </c>
      <c r="R38" s="102" t="e">
        <f t="shared" si="22"/>
        <v>#DIV/0!</v>
      </c>
      <c r="S38" s="102" t="e">
        <f t="shared" si="22"/>
        <v>#DIV/0!</v>
      </c>
      <c r="T38" s="102" t="e">
        <f t="shared" si="22"/>
        <v>#DIV/0!</v>
      </c>
      <c r="U38" s="102" t="e">
        <f t="shared" si="22"/>
        <v>#DIV/0!</v>
      </c>
      <c r="V38" s="102" t="e">
        <f t="shared" si="22"/>
        <v>#DIV/0!</v>
      </c>
      <c r="W38" s="102" t="e">
        <f t="shared" si="22"/>
        <v>#DIV/0!</v>
      </c>
      <c r="X38" s="102" t="e">
        <f t="shared" si="22"/>
        <v>#DIV/0!</v>
      </c>
      <c r="Y38" s="102" t="e">
        <f t="shared" si="22"/>
        <v>#DIV/0!</v>
      </c>
      <c r="Z38" s="102" t="e">
        <f t="shared" si="22"/>
        <v>#DIV/0!</v>
      </c>
      <c r="AA38" s="102" t="e">
        <f t="shared" si="22"/>
        <v>#DIV/0!</v>
      </c>
      <c r="AB38" s="102" t="e">
        <f t="shared" si="22"/>
        <v>#DIV/0!</v>
      </c>
      <c r="AC38" s="102" t="e">
        <f t="shared" si="22"/>
        <v>#DIV/0!</v>
      </c>
      <c r="AD38" s="102" t="e">
        <f t="shared" si="22"/>
        <v>#DIV/0!</v>
      </c>
      <c r="AE38" s="102" t="e">
        <f t="shared" si="22"/>
        <v>#DIV/0!</v>
      </c>
    </row>
    <row r="39" spans="1:31" x14ac:dyDescent="0.25">
      <c r="E39" s="253"/>
      <c r="F39" s="219"/>
      <c r="H39" s="219"/>
      <c r="I39" s="219"/>
      <c r="K39" s="61"/>
      <c r="L39" s="61"/>
      <c r="M39" s="61"/>
      <c r="N39" s="61"/>
      <c r="O39" s="62"/>
      <c r="P39" s="74"/>
      <c r="Q39" s="335"/>
      <c r="R39" s="335"/>
      <c r="S39" s="335"/>
      <c r="T39" s="335"/>
    </row>
    <row r="40" spans="1:31" x14ac:dyDescent="0.25">
      <c r="E40" s="219"/>
      <c r="F40" s="219"/>
      <c r="H40" s="219"/>
      <c r="I40" s="219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28"/>
      <c r="R42" s="328"/>
      <c r="S42" s="328"/>
      <c r="T42" s="328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28"/>
      <c r="R44" s="328"/>
      <c r="S44" s="328"/>
      <c r="T44" s="328"/>
      <c r="Z44" s="104"/>
    </row>
    <row r="45" spans="1:31" x14ac:dyDescent="0.25">
      <c r="K45" s="61"/>
      <c r="L45" s="61"/>
      <c r="M45" s="61"/>
      <c r="N45" s="61"/>
      <c r="P45" s="74"/>
      <c r="Q45" s="328"/>
      <c r="R45" s="328"/>
      <c r="S45" s="328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27" priority="4" operator="lessThan">
      <formula>0</formula>
    </cfRule>
    <cfRule type="cellIs" dxfId="26" priority="5" operator="greaterThan">
      <formula>0</formula>
    </cfRule>
  </conditionalFormatting>
  <conditionalFormatting sqref="H38">
    <cfRule type="cellIs" dxfId="25" priority="3" operator="lessThan">
      <formula>0</formula>
    </cfRule>
  </conditionalFormatting>
  <conditionalFormatting sqref="E39">
    <cfRule type="cellIs" dxfId="24" priority="1" operator="greaterThan">
      <formula>0</formula>
    </cfRule>
    <cfRule type="cellIs" dxfId="23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53" t="s">
        <v>203</v>
      </c>
      <c r="N1" s="153" t="s">
        <v>204</v>
      </c>
      <c r="O1" s="153" t="s">
        <v>205</v>
      </c>
      <c r="P1" s="153" t="s">
        <v>206</v>
      </c>
      <c r="Q1" s="153" t="s">
        <v>207</v>
      </c>
      <c r="R1" s="153" t="s">
        <v>208</v>
      </c>
      <c r="S1" s="153" t="s">
        <v>209</v>
      </c>
      <c r="U1" s="153" t="s">
        <v>210</v>
      </c>
    </row>
    <row r="2" spans="1:35" x14ac:dyDescent="0.25">
      <c r="C2" s="154" t="s">
        <v>211</v>
      </c>
      <c r="D2" s="349" t="s">
        <v>212</v>
      </c>
      <c r="E2" s="349"/>
      <c r="F2" s="350" t="s">
        <v>213</v>
      </c>
      <c r="G2" s="350"/>
      <c r="H2" s="351" t="s">
        <v>214</v>
      </c>
      <c r="I2" s="351"/>
      <c r="K2" s="60"/>
      <c r="M2" s="155">
        <v>11</v>
      </c>
      <c r="N2" s="156">
        <v>14.98</v>
      </c>
      <c r="O2" s="156">
        <v>5.95</v>
      </c>
      <c r="P2" s="157">
        <f t="shared" ref="P2:P12" si="0">U2*0.97</f>
        <v>5.3253000000000004</v>
      </c>
      <c r="Q2" s="156">
        <v>0.68</v>
      </c>
      <c r="R2" s="158">
        <v>27.09</v>
      </c>
      <c r="U2" s="156">
        <v>5.49</v>
      </c>
    </row>
    <row r="3" spans="1:35" x14ac:dyDescent="0.25">
      <c r="A3" s="159" t="s">
        <v>215</v>
      </c>
      <c r="B3" s="160">
        <f>B4+B5+B6+B7</f>
        <v>12000</v>
      </c>
      <c r="C3" s="161">
        <f>C4+C5+C6+C7</f>
        <v>12400</v>
      </c>
      <c r="D3" s="25" t="s">
        <v>216</v>
      </c>
      <c r="E3" s="25" t="s">
        <v>217</v>
      </c>
      <c r="F3" s="25" t="s">
        <v>216</v>
      </c>
      <c r="G3" s="25" t="s">
        <v>218</v>
      </c>
      <c r="H3" s="25" t="s">
        <v>216</v>
      </c>
      <c r="I3" s="162" t="s">
        <v>219</v>
      </c>
      <c r="J3" s="25" t="s">
        <v>220</v>
      </c>
      <c r="K3" s="25" t="s">
        <v>221</v>
      </c>
      <c r="M3" s="155">
        <v>10</v>
      </c>
      <c r="N3" s="163">
        <v>14.23</v>
      </c>
      <c r="O3" s="163">
        <v>5.59</v>
      </c>
      <c r="P3" s="157">
        <f t="shared" si="0"/>
        <v>4.9179000000000004</v>
      </c>
      <c r="Q3" s="163">
        <v>0.62</v>
      </c>
      <c r="R3" s="164">
        <v>25.52</v>
      </c>
      <c r="U3" s="163">
        <v>5.07</v>
      </c>
    </row>
    <row r="4" spans="1:35" x14ac:dyDescent="0.25">
      <c r="A4" s="159" t="s">
        <v>222</v>
      </c>
      <c r="B4" s="160">
        <v>8000</v>
      </c>
      <c r="C4" s="165">
        <v>8000</v>
      </c>
      <c r="D4" s="166">
        <v>45</v>
      </c>
      <c r="E4" s="167">
        <f>D4*(C4-B4)</f>
        <v>0</v>
      </c>
      <c r="F4" s="168">
        <v>0.5</v>
      </c>
      <c r="G4" s="167">
        <f>(C4-B4)*F4</f>
        <v>0</v>
      </c>
      <c r="H4" s="168">
        <v>7</v>
      </c>
      <c r="I4" s="169">
        <f>(C4-B4)*H4</f>
        <v>0</v>
      </c>
      <c r="J4" s="167">
        <f>H4*C4</f>
        <v>56000</v>
      </c>
      <c r="K4" s="25">
        <f>B4*F4</f>
        <v>4000</v>
      </c>
      <c r="L4" s="68">
        <f>5000*N13*F4</f>
        <v>1382.4289405684756</v>
      </c>
      <c r="M4" s="155">
        <v>9</v>
      </c>
      <c r="N4" s="156">
        <v>13.49</v>
      </c>
      <c r="O4" s="156">
        <v>5.24</v>
      </c>
      <c r="P4" s="157">
        <f t="shared" si="0"/>
        <v>4.5202</v>
      </c>
      <c r="Q4" s="156">
        <v>0.56999999999999995</v>
      </c>
      <c r="R4" s="158">
        <v>23.95</v>
      </c>
      <c r="U4" s="156">
        <v>4.66</v>
      </c>
    </row>
    <row r="5" spans="1:35" x14ac:dyDescent="0.25">
      <c r="A5" s="159" t="s">
        <v>223</v>
      </c>
      <c r="B5" s="160">
        <v>3000</v>
      </c>
      <c r="C5" s="170">
        <v>3000</v>
      </c>
      <c r="D5" s="171">
        <v>75</v>
      </c>
      <c r="E5" s="167">
        <f>D5*(C5-B5)</f>
        <v>0</v>
      </c>
      <c r="F5" s="172">
        <v>0.7</v>
      </c>
      <c r="G5" s="167">
        <f>(C5-B5)*F5</f>
        <v>0</v>
      </c>
      <c r="H5" s="172">
        <v>10</v>
      </c>
      <c r="I5" s="169">
        <f>(C5-B5)*H5</f>
        <v>0</v>
      </c>
      <c r="J5" s="167">
        <f>H5*C5</f>
        <v>30000</v>
      </c>
      <c r="K5" s="25">
        <f>B5*F5</f>
        <v>2100</v>
      </c>
      <c r="L5" s="68">
        <f>5000*O13*F5</f>
        <v>768.73385012919903</v>
      </c>
      <c r="M5" s="155">
        <v>8</v>
      </c>
      <c r="N5" s="163">
        <v>12.74</v>
      </c>
      <c r="O5" s="163">
        <v>4.8899999999999997</v>
      </c>
      <c r="P5" s="157">
        <f t="shared" si="0"/>
        <v>4.1224999999999996</v>
      </c>
      <c r="Q5" s="163">
        <v>0.51</v>
      </c>
      <c r="R5" s="164">
        <v>22.39</v>
      </c>
      <c r="U5" s="163">
        <v>4.25</v>
      </c>
    </row>
    <row r="6" spans="1:35" x14ac:dyDescent="0.25">
      <c r="A6" s="159" t="s">
        <v>224</v>
      </c>
      <c r="B6" s="160">
        <v>1000</v>
      </c>
      <c r="C6" s="170">
        <v>1200</v>
      </c>
      <c r="D6" s="166">
        <v>90</v>
      </c>
      <c r="E6" s="167">
        <f>D6*(C6-B6)</f>
        <v>18000</v>
      </c>
      <c r="F6" s="168">
        <v>1</v>
      </c>
      <c r="G6" s="167">
        <f>(C6-B6)*F6</f>
        <v>200</v>
      </c>
      <c r="H6" s="168">
        <v>19</v>
      </c>
      <c r="I6" s="169">
        <f>(C6-B6)*H6</f>
        <v>3800</v>
      </c>
      <c r="J6" s="167">
        <f>H6*C6</f>
        <v>22800</v>
      </c>
      <c r="K6" s="25">
        <f>B6*F6</f>
        <v>1000</v>
      </c>
      <c r="L6" s="68">
        <f>5000*P13*F6</f>
        <v>982.89036544850512</v>
      </c>
      <c r="M6" s="155">
        <v>7</v>
      </c>
      <c r="N6" s="156">
        <v>12</v>
      </c>
      <c r="O6" s="156">
        <v>4.53</v>
      </c>
      <c r="P6" s="157">
        <f t="shared" si="0"/>
        <v>3.7247999999999997</v>
      </c>
      <c r="Q6" s="156">
        <v>0.46</v>
      </c>
      <c r="R6" s="158">
        <v>20.83</v>
      </c>
      <c r="U6" s="156">
        <v>3.84</v>
      </c>
    </row>
    <row r="7" spans="1:35" x14ac:dyDescent="0.25">
      <c r="A7" s="159" t="s">
        <v>225</v>
      </c>
      <c r="B7" s="160">
        <v>0</v>
      </c>
      <c r="C7" s="173">
        <v>200</v>
      </c>
      <c r="D7" s="171">
        <v>300</v>
      </c>
      <c r="E7" s="167">
        <f>D7*(C7-B7)</f>
        <v>60000</v>
      </c>
      <c r="F7" s="172">
        <v>2.5</v>
      </c>
      <c r="G7" s="167">
        <f>(C7-B7)*F7</f>
        <v>500</v>
      </c>
      <c r="H7" s="172">
        <v>35</v>
      </c>
      <c r="I7" s="169">
        <f>(C7-B7)*H7</f>
        <v>7000</v>
      </c>
      <c r="J7" s="167">
        <f>H7*C7</f>
        <v>7000</v>
      </c>
      <c r="K7" s="25">
        <f>B7*F7</f>
        <v>0</v>
      </c>
      <c r="L7" s="68">
        <f>5000*Q13*F7</f>
        <v>313.76891842008126</v>
      </c>
      <c r="M7" s="155">
        <v>6</v>
      </c>
      <c r="N7" s="163">
        <v>11.26</v>
      </c>
      <c r="O7" s="163">
        <v>4.17</v>
      </c>
      <c r="P7" s="157">
        <f t="shared" si="0"/>
        <v>3.3367999999999998</v>
      </c>
      <c r="Q7" s="163">
        <v>0.41</v>
      </c>
      <c r="R7" s="164">
        <v>19.27</v>
      </c>
      <c r="U7" s="163">
        <v>3.44</v>
      </c>
    </row>
    <row r="8" spans="1:35" x14ac:dyDescent="0.25">
      <c r="C8" s="174">
        <f>C4/$C$3</f>
        <v>0.64516129032258063</v>
      </c>
      <c r="J8" s="167">
        <f>J7+J6+J5+J4</f>
        <v>115800</v>
      </c>
      <c r="K8" s="25">
        <f>K7+K6+K5+K4</f>
        <v>7100</v>
      </c>
      <c r="L8" s="25">
        <f>L7+L6+L5+L4</f>
        <v>3447.8220745662611</v>
      </c>
      <c r="M8" s="155">
        <v>5</v>
      </c>
      <c r="N8" s="156">
        <v>10.52</v>
      </c>
      <c r="O8" s="156">
        <v>3.81</v>
      </c>
      <c r="P8" s="157">
        <f t="shared" si="0"/>
        <v>2.9390999999999998</v>
      </c>
      <c r="Q8" s="156">
        <v>0.35</v>
      </c>
      <c r="R8" s="158">
        <v>17.72</v>
      </c>
      <c r="U8" s="156">
        <v>3.03</v>
      </c>
    </row>
    <row r="9" spans="1:35" x14ac:dyDescent="0.25">
      <c r="C9" s="175">
        <f>C5/$C$3</f>
        <v>0.24193548387096775</v>
      </c>
      <c r="E9" s="176">
        <f>C4-B4</f>
        <v>0</v>
      </c>
      <c r="H9">
        <f>H10+H11+H12+H13</f>
        <v>71304</v>
      </c>
      <c r="M9" s="155">
        <v>4</v>
      </c>
      <c r="N9" s="163">
        <v>9.8000000000000007</v>
      </c>
      <c r="O9" s="163">
        <v>3.46</v>
      </c>
      <c r="P9" s="157">
        <f t="shared" si="0"/>
        <v>2.5510999999999999</v>
      </c>
      <c r="Q9" s="163">
        <v>0.3</v>
      </c>
      <c r="R9" s="164">
        <v>16.170000000000002</v>
      </c>
      <c r="U9" s="163">
        <v>2.63</v>
      </c>
    </row>
    <row r="10" spans="1:35" x14ac:dyDescent="0.25">
      <c r="B10" s="177">
        <f>B11/B13</f>
        <v>0.11363636363636363</v>
      </c>
      <c r="C10" s="175">
        <f>C6/$C$3</f>
        <v>9.6774193548387094E-2</v>
      </c>
      <c r="E10" s="176">
        <f>C5-B5</f>
        <v>0</v>
      </c>
      <c r="H10">
        <v>40146</v>
      </c>
      <c r="I10" s="178">
        <f>H10/$H$9</f>
        <v>0.56302591719959605</v>
      </c>
      <c r="M10" s="155">
        <v>3</v>
      </c>
      <c r="N10" s="156">
        <v>9.09</v>
      </c>
      <c r="O10" s="156">
        <v>3.1</v>
      </c>
      <c r="P10" s="157">
        <f t="shared" si="0"/>
        <v>2.1436999999999999</v>
      </c>
      <c r="Q10" s="156">
        <v>0.24</v>
      </c>
      <c r="R10" s="158">
        <v>14.63</v>
      </c>
      <c r="U10" s="156">
        <v>2.21</v>
      </c>
    </row>
    <row r="11" spans="1:35" x14ac:dyDescent="0.25">
      <c r="A11" s="179" t="s">
        <v>226</v>
      </c>
      <c r="B11" s="180">
        <v>10000</v>
      </c>
      <c r="C11" s="175">
        <f>C7/$C$3</f>
        <v>1.6129032258064516E-2</v>
      </c>
      <c r="E11" s="176">
        <f>C6-B6</f>
        <v>200</v>
      </c>
      <c r="H11">
        <v>15594</v>
      </c>
      <c r="I11" s="178">
        <f>H11/$H$9</f>
        <v>0.21869740828004039</v>
      </c>
      <c r="M11" s="155">
        <v>2</v>
      </c>
      <c r="N11" s="163">
        <v>8.42</v>
      </c>
      <c r="O11" s="163">
        <v>2.73</v>
      </c>
      <c r="P11" s="157">
        <f t="shared" si="0"/>
        <v>1.7168999999999999</v>
      </c>
      <c r="Q11" s="163">
        <v>0.18</v>
      </c>
      <c r="R11" s="164">
        <v>13.09</v>
      </c>
      <c r="U11" s="163">
        <v>1.77</v>
      </c>
    </row>
    <row r="12" spans="1:35" x14ac:dyDescent="0.25">
      <c r="A12" s="179" t="s">
        <v>227</v>
      </c>
      <c r="B12" s="181">
        <f>E7+E6+E5+E4</f>
        <v>78000</v>
      </c>
      <c r="E12" s="176">
        <f>C7-B7</f>
        <v>200</v>
      </c>
      <c r="H12">
        <v>13868</v>
      </c>
      <c r="I12" s="178">
        <f>H12/$H$9</f>
        <v>0.19449119263996409</v>
      </c>
      <c r="M12" s="155">
        <v>1</v>
      </c>
      <c r="N12" s="156">
        <v>7.85</v>
      </c>
      <c r="O12" s="156">
        <v>2.34</v>
      </c>
      <c r="P12" s="157">
        <f t="shared" si="0"/>
        <v>1.1931</v>
      </c>
      <c r="Q12" s="156">
        <v>0.1</v>
      </c>
      <c r="R12" s="158">
        <v>11.53</v>
      </c>
      <c r="U12" s="156">
        <v>1.23</v>
      </c>
    </row>
    <row r="13" spans="1:35" x14ac:dyDescent="0.25">
      <c r="A13" s="182" t="s">
        <v>228</v>
      </c>
      <c r="B13" s="183">
        <f>B11+B12</f>
        <v>88000</v>
      </c>
      <c r="H13">
        <v>1696</v>
      </c>
      <c r="I13" s="178">
        <f>H13/$H$9</f>
        <v>2.3785481880399417E-2</v>
      </c>
      <c r="N13">
        <f>N2/R2</f>
        <v>0.55297157622739024</v>
      </c>
      <c r="O13">
        <f>O2/R2</f>
        <v>0.21963824289405687</v>
      </c>
      <c r="P13" s="157">
        <f>P2/R2</f>
        <v>0.19657807308970102</v>
      </c>
      <c r="Q13">
        <f>Q2/R2</f>
        <v>2.51015134736065E-2</v>
      </c>
    </row>
    <row r="15" spans="1:35" x14ac:dyDescent="0.25">
      <c r="A15" s="7"/>
      <c r="B15" s="184" t="s">
        <v>104</v>
      </c>
      <c r="C15" s="184" t="s">
        <v>105</v>
      </c>
      <c r="D15" s="184" t="s">
        <v>106</v>
      </c>
      <c r="E15" s="184" t="s">
        <v>107</v>
      </c>
      <c r="F15" s="184" t="s">
        <v>108</v>
      </c>
      <c r="G15" s="184" t="s">
        <v>109</v>
      </c>
      <c r="H15" s="184" t="s">
        <v>110</v>
      </c>
      <c r="I15" s="184" t="s">
        <v>111</v>
      </c>
      <c r="J15" s="184" t="s">
        <v>112</v>
      </c>
      <c r="K15" s="184" t="s">
        <v>113</v>
      </c>
      <c r="L15" s="184" t="s">
        <v>114</v>
      </c>
      <c r="M15" s="184" t="s">
        <v>115</v>
      </c>
      <c r="N15" s="184" t="s">
        <v>116</v>
      </c>
      <c r="O15" s="184" t="s">
        <v>117</v>
      </c>
      <c r="P15" s="184" t="s">
        <v>102</v>
      </c>
      <c r="Q15" s="184" t="s">
        <v>103</v>
      </c>
      <c r="R15" s="184" t="s">
        <v>104</v>
      </c>
      <c r="S15" s="184" t="s">
        <v>105</v>
      </c>
      <c r="T15" s="184" t="s">
        <v>106</v>
      </c>
      <c r="U15" s="184" t="s">
        <v>107</v>
      </c>
      <c r="V15" s="184" t="s">
        <v>108</v>
      </c>
      <c r="W15" s="184" t="s">
        <v>109</v>
      </c>
      <c r="X15" s="184" t="s">
        <v>110</v>
      </c>
      <c r="Y15" s="184" t="s">
        <v>111</v>
      </c>
      <c r="Z15" s="184" t="s">
        <v>112</v>
      </c>
      <c r="AA15" s="184" t="s">
        <v>113</v>
      </c>
      <c r="AB15" s="184" t="s">
        <v>114</v>
      </c>
      <c r="AC15" s="184" t="s">
        <v>115</v>
      </c>
      <c r="AD15" s="184" t="s">
        <v>116</v>
      </c>
      <c r="AE15" s="184" t="s">
        <v>117</v>
      </c>
      <c r="AF15" s="184" t="s">
        <v>102</v>
      </c>
      <c r="AG15" s="184" t="s">
        <v>103</v>
      </c>
      <c r="AH15" s="184"/>
      <c r="AI15" s="184"/>
    </row>
    <row r="16" spans="1:35" x14ac:dyDescent="0.25">
      <c r="A16" s="185" t="s">
        <v>229</v>
      </c>
      <c r="B16" s="186">
        <v>100</v>
      </c>
      <c r="C16" s="186">
        <f>B16+35</f>
        <v>135</v>
      </c>
      <c r="D16" s="186">
        <f t="shared" ref="D16:AD16" si="1">C16+35</f>
        <v>170</v>
      </c>
      <c r="E16" s="186">
        <f t="shared" si="1"/>
        <v>205</v>
      </c>
      <c r="F16" s="186">
        <f t="shared" si="1"/>
        <v>240</v>
      </c>
      <c r="G16" s="186">
        <f t="shared" si="1"/>
        <v>275</v>
      </c>
      <c r="H16" s="186">
        <f t="shared" si="1"/>
        <v>310</v>
      </c>
      <c r="I16" s="186">
        <f t="shared" si="1"/>
        <v>345</v>
      </c>
      <c r="J16" s="186">
        <f t="shared" si="1"/>
        <v>380</v>
      </c>
      <c r="K16" s="186">
        <f t="shared" si="1"/>
        <v>415</v>
      </c>
      <c r="L16" s="186">
        <f t="shared" si="1"/>
        <v>450</v>
      </c>
      <c r="M16" s="186">
        <f t="shared" si="1"/>
        <v>485</v>
      </c>
      <c r="N16" s="186">
        <f t="shared" si="1"/>
        <v>520</v>
      </c>
      <c r="O16" s="186">
        <f t="shared" si="1"/>
        <v>555</v>
      </c>
      <c r="P16" s="186">
        <f t="shared" si="1"/>
        <v>590</v>
      </c>
      <c r="Q16" s="186">
        <f t="shared" si="1"/>
        <v>625</v>
      </c>
      <c r="R16" s="186">
        <f t="shared" si="1"/>
        <v>660</v>
      </c>
      <c r="S16" s="186">
        <f t="shared" si="1"/>
        <v>695</v>
      </c>
      <c r="T16" s="186">
        <f t="shared" si="1"/>
        <v>730</v>
      </c>
      <c r="U16" s="186">
        <f t="shared" si="1"/>
        <v>765</v>
      </c>
      <c r="V16" s="186">
        <f t="shared" si="1"/>
        <v>800</v>
      </c>
      <c r="W16" s="186">
        <f t="shared" si="1"/>
        <v>835</v>
      </c>
      <c r="X16" s="186">
        <f t="shared" si="1"/>
        <v>870</v>
      </c>
      <c r="Y16" s="186">
        <f t="shared" si="1"/>
        <v>905</v>
      </c>
      <c r="Z16" s="186">
        <f t="shared" si="1"/>
        <v>940</v>
      </c>
      <c r="AA16" s="186">
        <f t="shared" si="1"/>
        <v>975</v>
      </c>
      <c r="AB16" s="186">
        <f t="shared" si="1"/>
        <v>1010</v>
      </c>
      <c r="AC16" s="186">
        <f t="shared" si="1"/>
        <v>1045</v>
      </c>
      <c r="AD16" s="186">
        <f t="shared" si="1"/>
        <v>1080</v>
      </c>
      <c r="AE16" s="186"/>
      <c r="AF16" s="185"/>
      <c r="AG16" s="185"/>
      <c r="AH16" s="185"/>
      <c r="AI16" s="185"/>
    </row>
    <row r="17" spans="1:48" x14ac:dyDescent="0.25">
      <c r="A17" s="185"/>
      <c r="B17" s="186">
        <f t="shared" ref="B17:AD17" si="2">B18+B19+B20+B21</f>
        <v>2226.25</v>
      </c>
      <c r="C17" s="186">
        <f t="shared" si="2"/>
        <v>3005.4375</v>
      </c>
      <c r="D17" s="186">
        <f t="shared" si="2"/>
        <v>3784.625</v>
      </c>
      <c r="E17" s="186">
        <f t="shared" si="2"/>
        <v>4563.8125</v>
      </c>
      <c r="F17" s="186">
        <f t="shared" si="2"/>
        <v>5342.9999999999991</v>
      </c>
      <c r="G17" s="186">
        <f t="shared" si="2"/>
        <v>6122.1875</v>
      </c>
      <c r="H17" s="186">
        <f t="shared" si="2"/>
        <v>6901.375</v>
      </c>
      <c r="I17" s="186">
        <f t="shared" si="2"/>
        <v>7680.5625</v>
      </c>
      <c r="J17" s="186">
        <f t="shared" si="2"/>
        <v>8459.7499999999982</v>
      </c>
      <c r="K17" s="186">
        <f t="shared" si="2"/>
        <v>9238.9375</v>
      </c>
      <c r="L17" s="186">
        <f t="shared" si="2"/>
        <v>10018.125</v>
      </c>
      <c r="M17" s="186">
        <f t="shared" si="2"/>
        <v>10797.3125</v>
      </c>
      <c r="N17" s="186">
        <f t="shared" si="2"/>
        <v>11576.5</v>
      </c>
      <c r="O17" s="186">
        <f t="shared" si="2"/>
        <v>12355.687499999998</v>
      </c>
      <c r="P17" s="186">
        <f t="shared" si="2"/>
        <v>13134.875</v>
      </c>
      <c r="Q17" s="186">
        <f t="shared" si="2"/>
        <v>13914.0625</v>
      </c>
      <c r="R17" s="186">
        <f t="shared" si="2"/>
        <v>14693.25</v>
      </c>
      <c r="S17" s="186">
        <f t="shared" si="2"/>
        <v>15472.4375</v>
      </c>
      <c r="T17" s="186">
        <f t="shared" si="2"/>
        <v>16251.625</v>
      </c>
      <c r="U17" s="186">
        <f t="shared" si="2"/>
        <v>17030.8125</v>
      </c>
      <c r="V17" s="186">
        <f t="shared" si="2"/>
        <v>17810</v>
      </c>
      <c r="W17" s="186">
        <f t="shared" si="2"/>
        <v>18589.187499999996</v>
      </c>
      <c r="X17" s="186">
        <f t="shared" si="2"/>
        <v>19368.375</v>
      </c>
      <c r="Y17" s="186">
        <f t="shared" si="2"/>
        <v>20147.5625</v>
      </c>
      <c r="Z17" s="186">
        <f t="shared" si="2"/>
        <v>20926.75</v>
      </c>
      <c r="AA17" s="186">
        <f t="shared" si="2"/>
        <v>21705.9375</v>
      </c>
      <c r="AB17" s="186">
        <f t="shared" si="2"/>
        <v>22485.124999999996</v>
      </c>
      <c r="AC17" s="186">
        <f t="shared" si="2"/>
        <v>23264.3125</v>
      </c>
      <c r="AD17" s="186">
        <f t="shared" si="2"/>
        <v>24043.5</v>
      </c>
      <c r="AE17" s="186"/>
      <c r="AF17" s="186"/>
      <c r="AG17" s="186"/>
      <c r="AH17" s="186"/>
      <c r="AI17" s="186"/>
    </row>
    <row r="18" spans="1:48" x14ac:dyDescent="0.25">
      <c r="A18" s="187" t="s">
        <v>230</v>
      </c>
      <c r="B18" s="188">
        <f t="shared" ref="B18:AD18" si="3">B16*$N$5</f>
        <v>1274</v>
      </c>
      <c r="C18" s="188">
        <f t="shared" si="3"/>
        <v>1719.9</v>
      </c>
      <c r="D18" s="188">
        <f t="shared" si="3"/>
        <v>2165.8000000000002</v>
      </c>
      <c r="E18" s="188">
        <f t="shared" si="3"/>
        <v>2611.6999999999998</v>
      </c>
      <c r="F18" s="188">
        <f t="shared" si="3"/>
        <v>3057.6</v>
      </c>
      <c r="G18" s="188">
        <f t="shared" si="3"/>
        <v>3503.5</v>
      </c>
      <c r="H18" s="188">
        <f t="shared" si="3"/>
        <v>3949.4</v>
      </c>
      <c r="I18" s="188">
        <f t="shared" si="3"/>
        <v>4395.3</v>
      </c>
      <c r="J18" s="188">
        <f t="shared" si="3"/>
        <v>4841.2</v>
      </c>
      <c r="K18" s="188">
        <f t="shared" si="3"/>
        <v>5287.1</v>
      </c>
      <c r="L18" s="188">
        <f t="shared" si="3"/>
        <v>5733</v>
      </c>
      <c r="M18" s="188">
        <f t="shared" si="3"/>
        <v>6178.9000000000005</v>
      </c>
      <c r="N18" s="188">
        <f t="shared" si="3"/>
        <v>6624.8</v>
      </c>
      <c r="O18" s="188">
        <f t="shared" si="3"/>
        <v>7070.7</v>
      </c>
      <c r="P18" s="188">
        <f t="shared" si="3"/>
        <v>7516.6</v>
      </c>
      <c r="Q18" s="188">
        <f t="shared" si="3"/>
        <v>7962.5</v>
      </c>
      <c r="R18" s="188">
        <f t="shared" si="3"/>
        <v>8408.4</v>
      </c>
      <c r="S18" s="188">
        <f t="shared" si="3"/>
        <v>8854.2999999999993</v>
      </c>
      <c r="T18" s="188">
        <f t="shared" si="3"/>
        <v>9300.2000000000007</v>
      </c>
      <c r="U18" s="188">
        <f t="shared" si="3"/>
        <v>9746.1</v>
      </c>
      <c r="V18" s="188">
        <f t="shared" si="3"/>
        <v>10192</v>
      </c>
      <c r="W18" s="188">
        <f t="shared" si="3"/>
        <v>10637.9</v>
      </c>
      <c r="X18" s="188">
        <f t="shared" si="3"/>
        <v>11083.800000000001</v>
      </c>
      <c r="Y18" s="188">
        <f t="shared" si="3"/>
        <v>11529.7</v>
      </c>
      <c r="Z18" s="188">
        <f t="shared" si="3"/>
        <v>11975.6</v>
      </c>
      <c r="AA18" s="188">
        <f t="shared" si="3"/>
        <v>12421.5</v>
      </c>
      <c r="AB18" s="188">
        <f t="shared" si="3"/>
        <v>12867.4</v>
      </c>
      <c r="AC18" s="188">
        <f t="shared" si="3"/>
        <v>13313.300000000001</v>
      </c>
      <c r="AD18" s="188">
        <f t="shared" si="3"/>
        <v>13759.2</v>
      </c>
      <c r="AE18" s="188"/>
      <c r="AF18" s="188"/>
      <c r="AG18" s="188"/>
      <c r="AH18" s="188"/>
      <c r="AI18" s="188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7" t="s">
        <v>231</v>
      </c>
      <c r="B19" s="188">
        <f t="shared" ref="B19:AD19" si="4">B16*$O$5</f>
        <v>488.99999999999994</v>
      </c>
      <c r="C19" s="188">
        <f t="shared" si="4"/>
        <v>660.15</v>
      </c>
      <c r="D19" s="188">
        <f t="shared" si="4"/>
        <v>831.3</v>
      </c>
      <c r="E19" s="188">
        <f t="shared" si="4"/>
        <v>1002.4499999999999</v>
      </c>
      <c r="F19" s="188">
        <f t="shared" si="4"/>
        <v>1173.5999999999999</v>
      </c>
      <c r="G19" s="188">
        <f t="shared" si="4"/>
        <v>1344.75</v>
      </c>
      <c r="H19" s="188">
        <f t="shared" si="4"/>
        <v>1515.8999999999999</v>
      </c>
      <c r="I19" s="188">
        <f t="shared" si="4"/>
        <v>1687.05</v>
      </c>
      <c r="J19" s="188">
        <f t="shared" si="4"/>
        <v>1858.1999999999998</v>
      </c>
      <c r="K19" s="188">
        <f t="shared" si="4"/>
        <v>2029.35</v>
      </c>
      <c r="L19" s="188">
        <f t="shared" si="4"/>
        <v>2200.5</v>
      </c>
      <c r="M19" s="188">
        <f t="shared" si="4"/>
        <v>2371.6499999999996</v>
      </c>
      <c r="N19" s="188">
        <f t="shared" si="4"/>
        <v>2542.7999999999997</v>
      </c>
      <c r="O19" s="188">
        <f t="shared" si="4"/>
        <v>2713.95</v>
      </c>
      <c r="P19" s="188">
        <f t="shared" si="4"/>
        <v>2885.1</v>
      </c>
      <c r="Q19" s="188">
        <f t="shared" si="4"/>
        <v>3056.25</v>
      </c>
      <c r="R19" s="188">
        <f t="shared" si="4"/>
        <v>3227.3999999999996</v>
      </c>
      <c r="S19" s="188">
        <f t="shared" si="4"/>
        <v>3398.5499999999997</v>
      </c>
      <c r="T19" s="188">
        <f t="shared" si="4"/>
        <v>3569.7</v>
      </c>
      <c r="U19" s="188">
        <f t="shared" si="4"/>
        <v>3740.85</v>
      </c>
      <c r="V19" s="188">
        <f t="shared" si="4"/>
        <v>3911.9999999999995</v>
      </c>
      <c r="W19" s="188">
        <f t="shared" si="4"/>
        <v>4083.1499999999996</v>
      </c>
      <c r="X19" s="188">
        <f t="shared" si="4"/>
        <v>4254.2999999999993</v>
      </c>
      <c r="Y19" s="188">
        <f t="shared" si="4"/>
        <v>4425.45</v>
      </c>
      <c r="Z19" s="188">
        <f t="shared" si="4"/>
        <v>4596.5999999999995</v>
      </c>
      <c r="AA19" s="188">
        <f t="shared" si="4"/>
        <v>4767.75</v>
      </c>
      <c r="AB19" s="188">
        <f t="shared" si="4"/>
        <v>4938.8999999999996</v>
      </c>
      <c r="AC19" s="188">
        <f t="shared" si="4"/>
        <v>5110.0499999999993</v>
      </c>
      <c r="AD19" s="188">
        <f t="shared" si="4"/>
        <v>5281.2</v>
      </c>
      <c r="AE19" s="188"/>
      <c r="AF19" s="188"/>
      <c r="AG19" s="188"/>
      <c r="AH19" s="188"/>
      <c r="AI19" s="188"/>
    </row>
    <row r="20" spans="1:48" x14ac:dyDescent="0.25">
      <c r="A20" s="187" t="s">
        <v>232</v>
      </c>
      <c r="B20" s="188">
        <f t="shared" ref="B20:AD20" si="5">B16*$P$5</f>
        <v>412.24999999999994</v>
      </c>
      <c r="C20" s="188">
        <f t="shared" si="5"/>
        <v>556.53749999999991</v>
      </c>
      <c r="D20" s="188">
        <f t="shared" si="5"/>
        <v>700.82499999999993</v>
      </c>
      <c r="E20" s="188">
        <f t="shared" si="5"/>
        <v>845.11249999999995</v>
      </c>
      <c r="F20" s="188">
        <f t="shared" si="5"/>
        <v>989.39999999999986</v>
      </c>
      <c r="G20" s="188">
        <f t="shared" si="5"/>
        <v>1133.6875</v>
      </c>
      <c r="H20" s="188">
        <f t="shared" si="5"/>
        <v>1277.9749999999999</v>
      </c>
      <c r="I20" s="188">
        <f t="shared" si="5"/>
        <v>1422.2624999999998</v>
      </c>
      <c r="J20" s="188">
        <f t="shared" si="5"/>
        <v>1566.55</v>
      </c>
      <c r="K20" s="188">
        <f t="shared" si="5"/>
        <v>1710.8374999999999</v>
      </c>
      <c r="L20" s="188">
        <f t="shared" si="5"/>
        <v>1855.1249999999998</v>
      </c>
      <c r="M20" s="188">
        <f t="shared" si="5"/>
        <v>1999.4124999999999</v>
      </c>
      <c r="N20" s="188">
        <f t="shared" si="5"/>
        <v>2143.6999999999998</v>
      </c>
      <c r="O20" s="188">
        <f t="shared" si="5"/>
        <v>2287.9874999999997</v>
      </c>
      <c r="P20" s="188">
        <f t="shared" si="5"/>
        <v>2432.2749999999996</v>
      </c>
      <c r="Q20" s="188">
        <f t="shared" si="5"/>
        <v>2576.5624999999995</v>
      </c>
      <c r="R20" s="188">
        <f t="shared" si="5"/>
        <v>2720.85</v>
      </c>
      <c r="S20" s="188">
        <f t="shared" si="5"/>
        <v>2865.1374999999998</v>
      </c>
      <c r="T20" s="188">
        <f t="shared" si="5"/>
        <v>3009.4249999999997</v>
      </c>
      <c r="U20" s="188">
        <f t="shared" si="5"/>
        <v>3153.7124999999996</v>
      </c>
      <c r="V20" s="188">
        <f t="shared" si="5"/>
        <v>3297.9999999999995</v>
      </c>
      <c r="W20" s="188">
        <f t="shared" si="5"/>
        <v>3442.2874999999995</v>
      </c>
      <c r="X20" s="188">
        <f t="shared" si="5"/>
        <v>3586.5749999999998</v>
      </c>
      <c r="Y20" s="188">
        <f t="shared" si="5"/>
        <v>3730.8624999999997</v>
      </c>
      <c r="Z20" s="188">
        <f t="shared" si="5"/>
        <v>3875.1499999999996</v>
      </c>
      <c r="AA20" s="188">
        <f t="shared" si="5"/>
        <v>4019.4374999999995</v>
      </c>
      <c r="AB20" s="188">
        <f t="shared" si="5"/>
        <v>4163.7249999999995</v>
      </c>
      <c r="AC20" s="188">
        <f t="shared" si="5"/>
        <v>4308.0124999999998</v>
      </c>
      <c r="AD20" s="188">
        <f t="shared" si="5"/>
        <v>4452.2999999999993</v>
      </c>
      <c r="AE20" s="188"/>
      <c r="AF20" s="188"/>
      <c r="AG20" s="188"/>
      <c r="AH20" s="188"/>
      <c r="AI20" s="188"/>
    </row>
    <row r="21" spans="1:48" x14ac:dyDescent="0.25">
      <c r="A21" s="187" t="s">
        <v>233</v>
      </c>
      <c r="B21" s="188">
        <f t="shared" ref="B21:AD21" si="6">B16*$Q$5</f>
        <v>51</v>
      </c>
      <c r="C21" s="188">
        <f t="shared" si="6"/>
        <v>68.849999999999994</v>
      </c>
      <c r="D21" s="188">
        <f t="shared" si="6"/>
        <v>86.7</v>
      </c>
      <c r="E21" s="188">
        <f t="shared" si="6"/>
        <v>104.55</v>
      </c>
      <c r="F21" s="188">
        <f t="shared" si="6"/>
        <v>122.4</v>
      </c>
      <c r="G21" s="188">
        <f t="shared" si="6"/>
        <v>140.25</v>
      </c>
      <c r="H21" s="188">
        <f t="shared" si="6"/>
        <v>158.1</v>
      </c>
      <c r="I21" s="188">
        <f t="shared" si="6"/>
        <v>175.95000000000002</v>
      </c>
      <c r="J21" s="188">
        <f t="shared" si="6"/>
        <v>193.8</v>
      </c>
      <c r="K21" s="188">
        <f t="shared" si="6"/>
        <v>211.65</v>
      </c>
      <c r="L21" s="188">
        <f t="shared" si="6"/>
        <v>229.5</v>
      </c>
      <c r="M21" s="188">
        <f t="shared" si="6"/>
        <v>247.35</v>
      </c>
      <c r="N21" s="188">
        <f t="shared" si="6"/>
        <v>265.2</v>
      </c>
      <c r="O21" s="188">
        <f t="shared" si="6"/>
        <v>283.05</v>
      </c>
      <c r="P21" s="188">
        <f t="shared" si="6"/>
        <v>300.89999999999998</v>
      </c>
      <c r="Q21" s="188">
        <f t="shared" si="6"/>
        <v>318.75</v>
      </c>
      <c r="R21" s="188">
        <f t="shared" si="6"/>
        <v>336.6</v>
      </c>
      <c r="S21" s="188">
        <f t="shared" si="6"/>
        <v>354.45</v>
      </c>
      <c r="T21" s="188">
        <f t="shared" si="6"/>
        <v>372.3</v>
      </c>
      <c r="U21" s="188">
        <f t="shared" si="6"/>
        <v>390.15000000000003</v>
      </c>
      <c r="V21" s="188">
        <f t="shared" si="6"/>
        <v>408</v>
      </c>
      <c r="W21" s="188">
        <f t="shared" si="6"/>
        <v>425.85</v>
      </c>
      <c r="X21" s="188">
        <f t="shared" si="6"/>
        <v>443.7</v>
      </c>
      <c r="Y21" s="188">
        <f t="shared" si="6"/>
        <v>461.55</v>
      </c>
      <c r="Z21" s="188">
        <f t="shared" si="6"/>
        <v>479.40000000000003</v>
      </c>
      <c r="AA21" s="188">
        <f t="shared" si="6"/>
        <v>497.25</v>
      </c>
      <c r="AB21" s="188">
        <f t="shared" si="6"/>
        <v>515.1</v>
      </c>
      <c r="AC21" s="188">
        <f t="shared" si="6"/>
        <v>532.95000000000005</v>
      </c>
      <c r="AD21" s="188">
        <f t="shared" si="6"/>
        <v>550.79999999999995</v>
      </c>
      <c r="AE21" s="188"/>
      <c r="AF21" s="188"/>
      <c r="AG21" s="188"/>
      <c r="AH21" s="188"/>
      <c r="AI21" s="188"/>
    </row>
    <row r="22" spans="1:48" x14ac:dyDescent="0.25">
      <c r="A22" s="187" t="s">
        <v>234</v>
      </c>
      <c r="B22" s="188">
        <f t="shared" ref="B22:AD22" si="7">MIN(B$18,$C$4)</f>
        <v>1274</v>
      </c>
      <c r="C22" s="188">
        <f t="shared" si="7"/>
        <v>1719.9</v>
      </c>
      <c r="D22" s="188">
        <f t="shared" si="7"/>
        <v>2165.8000000000002</v>
      </c>
      <c r="E22" s="188">
        <f t="shared" si="7"/>
        <v>2611.6999999999998</v>
      </c>
      <c r="F22" s="188">
        <f t="shared" si="7"/>
        <v>3057.6</v>
      </c>
      <c r="G22" s="188">
        <f t="shared" si="7"/>
        <v>3503.5</v>
      </c>
      <c r="H22" s="188">
        <f t="shared" si="7"/>
        <v>3949.4</v>
      </c>
      <c r="I22" s="188">
        <f t="shared" si="7"/>
        <v>4395.3</v>
      </c>
      <c r="J22" s="188">
        <f t="shared" si="7"/>
        <v>4841.2</v>
      </c>
      <c r="K22" s="188">
        <f t="shared" si="7"/>
        <v>5287.1</v>
      </c>
      <c r="L22" s="188">
        <f t="shared" si="7"/>
        <v>5733</v>
      </c>
      <c r="M22" s="188">
        <f t="shared" si="7"/>
        <v>6178.9000000000005</v>
      </c>
      <c r="N22" s="188">
        <f t="shared" si="7"/>
        <v>6624.8</v>
      </c>
      <c r="O22" s="188">
        <f t="shared" si="7"/>
        <v>7070.7</v>
      </c>
      <c r="P22" s="188">
        <f t="shared" si="7"/>
        <v>7516.6</v>
      </c>
      <c r="Q22" s="188">
        <f t="shared" si="7"/>
        <v>7962.5</v>
      </c>
      <c r="R22" s="188">
        <f t="shared" si="7"/>
        <v>8000</v>
      </c>
      <c r="S22" s="188">
        <f t="shared" si="7"/>
        <v>8000</v>
      </c>
      <c r="T22" s="188">
        <f t="shared" si="7"/>
        <v>8000</v>
      </c>
      <c r="U22" s="188">
        <f t="shared" si="7"/>
        <v>8000</v>
      </c>
      <c r="V22" s="188">
        <f t="shared" si="7"/>
        <v>8000</v>
      </c>
      <c r="W22" s="188">
        <f t="shared" si="7"/>
        <v>8000</v>
      </c>
      <c r="X22" s="188">
        <f t="shared" si="7"/>
        <v>8000</v>
      </c>
      <c r="Y22" s="188">
        <f t="shared" si="7"/>
        <v>8000</v>
      </c>
      <c r="Z22" s="188">
        <f t="shared" si="7"/>
        <v>8000</v>
      </c>
      <c r="AA22" s="188">
        <f t="shared" si="7"/>
        <v>8000</v>
      </c>
      <c r="AB22" s="188">
        <f t="shared" si="7"/>
        <v>8000</v>
      </c>
      <c r="AC22" s="188">
        <f t="shared" si="7"/>
        <v>8000</v>
      </c>
      <c r="AD22" s="188">
        <f t="shared" si="7"/>
        <v>8000</v>
      </c>
      <c r="AE22" s="188"/>
      <c r="AF22" s="188"/>
      <c r="AG22" s="188"/>
      <c r="AH22" s="188"/>
      <c r="AI22" s="188"/>
    </row>
    <row r="23" spans="1:48" x14ac:dyDescent="0.25">
      <c r="A23" s="187" t="s">
        <v>235</v>
      </c>
      <c r="B23" s="188">
        <f t="shared" ref="B23:AD23" si="8">MIN(B$19,$C$5)</f>
        <v>488.99999999999994</v>
      </c>
      <c r="C23" s="188">
        <f t="shared" si="8"/>
        <v>660.15</v>
      </c>
      <c r="D23" s="188">
        <f t="shared" si="8"/>
        <v>831.3</v>
      </c>
      <c r="E23" s="188">
        <f t="shared" si="8"/>
        <v>1002.4499999999999</v>
      </c>
      <c r="F23" s="188">
        <f t="shared" si="8"/>
        <v>1173.5999999999999</v>
      </c>
      <c r="G23" s="188">
        <f t="shared" si="8"/>
        <v>1344.75</v>
      </c>
      <c r="H23" s="188">
        <f t="shared" si="8"/>
        <v>1515.8999999999999</v>
      </c>
      <c r="I23" s="188">
        <f t="shared" si="8"/>
        <v>1687.05</v>
      </c>
      <c r="J23" s="188">
        <f t="shared" si="8"/>
        <v>1858.1999999999998</v>
      </c>
      <c r="K23" s="188">
        <f t="shared" si="8"/>
        <v>2029.35</v>
      </c>
      <c r="L23" s="188">
        <f t="shared" si="8"/>
        <v>2200.5</v>
      </c>
      <c r="M23" s="188">
        <f t="shared" si="8"/>
        <v>2371.6499999999996</v>
      </c>
      <c r="N23" s="188">
        <f t="shared" si="8"/>
        <v>2542.7999999999997</v>
      </c>
      <c r="O23" s="188">
        <f t="shared" si="8"/>
        <v>2713.95</v>
      </c>
      <c r="P23" s="188">
        <f t="shared" si="8"/>
        <v>2885.1</v>
      </c>
      <c r="Q23" s="188">
        <f t="shared" si="8"/>
        <v>3000</v>
      </c>
      <c r="R23" s="188">
        <f t="shared" si="8"/>
        <v>3000</v>
      </c>
      <c r="S23" s="188">
        <f t="shared" si="8"/>
        <v>3000</v>
      </c>
      <c r="T23" s="188">
        <f t="shared" si="8"/>
        <v>3000</v>
      </c>
      <c r="U23" s="188">
        <f t="shared" si="8"/>
        <v>3000</v>
      </c>
      <c r="V23" s="188">
        <f t="shared" si="8"/>
        <v>3000</v>
      </c>
      <c r="W23" s="188">
        <f t="shared" si="8"/>
        <v>3000</v>
      </c>
      <c r="X23" s="188">
        <f t="shared" si="8"/>
        <v>3000</v>
      </c>
      <c r="Y23" s="188">
        <f t="shared" si="8"/>
        <v>3000</v>
      </c>
      <c r="Z23" s="188">
        <f t="shared" si="8"/>
        <v>3000</v>
      </c>
      <c r="AA23" s="188">
        <f t="shared" si="8"/>
        <v>3000</v>
      </c>
      <c r="AB23" s="188">
        <f t="shared" si="8"/>
        <v>3000</v>
      </c>
      <c r="AC23" s="188">
        <f t="shared" si="8"/>
        <v>3000</v>
      </c>
      <c r="AD23" s="188">
        <f t="shared" si="8"/>
        <v>3000</v>
      </c>
      <c r="AE23" s="188"/>
      <c r="AF23" s="188"/>
      <c r="AG23" s="188"/>
      <c r="AH23" s="188"/>
      <c r="AI23" s="188"/>
    </row>
    <row r="24" spans="1:48" x14ac:dyDescent="0.25">
      <c r="A24" s="187" t="s">
        <v>236</v>
      </c>
      <c r="B24" s="188">
        <f t="shared" ref="B24:AD24" si="9">MIN(B$20,$C$6)</f>
        <v>412.24999999999994</v>
      </c>
      <c r="C24" s="188">
        <f t="shared" si="9"/>
        <v>556.53749999999991</v>
      </c>
      <c r="D24" s="188">
        <f t="shared" si="9"/>
        <v>700.82499999999993</v>
      </c>
      <c r="E24" s="188">
        <f t="shared" si="9"/>
        <v>845.11249999999995</v>
      </c>
      <c r="F24" s="188">
        <f t="shared" si="9"/>
        <v>989.39999999999986</v>
      </c>
      <c r="G24" s="188">
        <f t="shared" si="9"/>
        <v>1133.6875</v>
      </c>
      <c r="H24" s="188">
        <f t="shared" si="9"/>
        <v>1200</v>
      </c>
      <c r="I24" s="188">
        <f t="shared" si="9"/>
        <v>1200</v>
      </c>
      <c r="J24" s="188">
        <f t="shared" si="9"/>
        <v>1200</v>
      </c>
      <c r="K24" s="188">
        <f t="shared" si="9"/>
        <v>1200</v>
      </c>
      <c r="L24" s="188">
        <f t="shared" si="9"/>
        <v>1200</v>
      </c>
      <c r="M24" s="188">
        <f t="shared" si="9"/>
        <v>1200</v>
      </c>
      <c r="N24" s="188">
        <f t="shared" si="9"/>
        <v>1200</v>
      </c>
      <c r="O24" s="188">
        <f t="shared" si="9"/>
        <v>1200</v>
      </c>
      <c r="P24" s="188">
        <f t="shared" si="9"/>
        <v>1200</v>
      </c>
      <c r="Q24" s="188">
        <f t="shared" si="9"/>
        <v>1200</v>
      </c>
      <c r="R24" s="188">
        <f t="shared" si="9"/>
        <v>1200</v>
      </c>
      <c r="S24" s="188">
        <f t="shared" si="9"/>
        <v>1200</v>
      </c>
      <c r="T24" s="188">
        <f t="shared" si="9"/>
        <v>1200</v>
      </c>
      <c r="U24" s="188">
        <f t="shared" si="9"/>
        <v>1200</v>
      </c>
      <c r="V24" s="188">
        <f t="shared" si="9"/>
        <v>1200</v>
      </c>
      <c r="W24" s="188">
        <f t="shared" si="9"/>
        <v>1200</v>
      </c>
      <c r="X24" s="188">
        <f t="shared" si="9"/>
        <v>1200</v>
      </c>
      <c r="Y24" s="188">
        <f t="shared" si="9"/>
        <v>1200</v>
      </c>
      <c r="Z24" s="188">
        <f t="shared" si="9"/>
        <v>1200</v>
      </c>
      <c r="AA24" s="188">
        <f t="shared" si="9"/>
        <v>1200</v>
      </c>
      <c r="AB24" s="188">
        <f t="shared" si="9"/>
        <v>1200</v>
      </c>
      <c r="AC24" s="188">
        <f t="shared" si="9"/>
        <v>1200</v>
      </c>
      <c r="AD24" s="188">
        <f t="shared" si="9"/>
        <v>1200</v>
      </c>
      <c r="AE24" s="188"/>
      <c r="AF24" s="188"/>
      <c r="AG24" s="188"/>
      <c r="AH24" s="188"/>
      <c r="AI24" s="188"/>
    </row>
    <row r="25" spans="1:48" x14ac:dyDescent="0.25">
      <c r="A25" s="187" t="s">
        <v>237</v>
      </c>
      <c r="B25" s="188">
        <f t="shared" ref="B25:AD25" si="10">MIN(B$21,$C$7)</f>
        <v>51</v>
      </c>
      <c r="C25" s="188">
        <f t="shared" si="10"/>
        <v>68.849999999999994</v>
      </c>
      <c r="D25" s="188">
        <f t="shared" si="10"/>
        <v>86.7</v>
      </c>
      <c r="E25" s="188">
        <f t="shared" si="10"/>
        <v>104.55</v>
      </c>
      <c r="F25" s="188">
        <f t="shared" si="10"/>
        <v>122.4</v>
      </c>
      <c r="G25" s="188">
        <f t="shared" si="10"/>
        <v>140.25</v>
      </c>
      <c r="H25" s="188">
        <f t="shared" si="10"/>
        <v>158.1</v>
      </c>
      <c r="I25" s="188">
        <f t="shared" si="10"/>
        <v>175.95000000000002</v>
      </c>
      <c r="J25" s="188">
        <f t="shared" si="10"/>
        <v>193.8</v>
      </c>
      <c r="K25" s="188">
        <f t="shared" si="10"/>
        <v>200</v>
      </c>
      <c r="L25" s="188">
        <f t="shared" si="10"/>
        <v>200</v>
      </c>
      <c r="M25" s="188">
        <f t="shared" si="10"/>
        <v>200</v>
      </c>
      <c r="N25" s="188">
        <f t="shared" si="10"/>
        <v>200</v>
      </c>
      <c r="O25" s="188">
        <f t="shared" si="10"/>
        <v>200</v>
      </c>
      <c r="P25" s="188">
        <f t="shared" si="10"/>
        <v>200</v>
      </c>
      <c r="Q25" s="188">
        <f t="shared" si="10"/>
        <v>200</v>
      </c>
      <c r="R25" s="188">
        <f t="shared" si="10"/>
        <v>200</v>
      </c>
      <c r="S25" s="188">
        <f t="shared" si="10"/>
        <v>200</v>
      </c>
      <c r="T25" s="188">
        <f t="shared" si="10"/>
        <v>200</v>
      </c>
      <c r="U25" s="188">
        <f t="shared" si="10"/>
        <v>200</v>
      </c>
      <c r="V25" s="188">
        <f t="shared" si="10"/>
        <v>200</v>
      </c>
      <c r="W25" s="188">
        <f t="shared" si="10"/>
        <v>200</v>
      </c>
      <c r="X25" s="188">
        <f t="shared" si="10"/>
        <v>200</v>
      </c>
      <c r="Y25" s="188">
        <f t="shared" si="10"/>
        <v>200</v>
      </c>
      <c r="Z25" s="188">
        <f t="shared" si="10"/>
        <v>200</v>
      </c>
      <c r="AA25" s="188">
        <f t="shared" si="10"/>
        <v>200</v>
      </c>
      <c r="AB25" s="188">
        <f t="shared" si="10"/>
        <v>200</v>
      </c>
      <c r="AC25" s="188">
        <f t="shared" si="10"/>
        <v>200</v>
      </c>
      <c r="AD25" s="188">
        <f t="shared" si="10"/>
        <v>200</v>
      </c>
      <c r="AE25" s="188"/>
      <c r="AF25" s="188"/>
      <c r="AG25" s="188"/>
      <c r="AH25" s="188"/>
      <c r="AI25" s="188"/>
    </row>
    <row r="26" spans="1:48" x14ac:dyDescent="0.25">
      <c r="A26" s="189" t="s">
        <v>238</v>
      </c>
      <c r="B26" s="190">
        <f>IF(B22&gt;$B$4,(B22-$B$4)*$H$4,0)</f>
        <v>0</v>
      </c>
      <c r="C26" s="190">
        <v>0</v>
      </c>
      <c r="D26" s="190">
        <f>IF(D22&gt;$B$4,(D22-$B$4)*$H$4,0)</f>
        <v>0</v>
      </c>
      <c r="E26" s="190">
        <v>0</v>
      </c>
      <c r="F26" s="190">
        <f>IF(F22&gt;$B$4,(F22-$B$4)*$H$4,0)</f>
        <v>0</v>
      </c>
      <c r="G26" s="190">
        <v>0</v>
      </c>
      <c r="H26" s="190">
        <f>IF(H22&gt;$B$4,(H22-$B$4)*$H$4,0)</f>
        <v>0</v>
      </c>
      <c r="I26" s="190">
        <v>0</v>
      </c>
      <c r="J26" s="190">
        <f>IF(J22&gt;$B$4,(J22-$B$4)*$H$4,0)</f>
        <v>0</v>
      </c>
      <c r="K26" s="190">
        <v>0</v>
      </c>
      <c r="L26" s="190">
        <f>IF(L22&gt;$B$4,(L22-$B$4)*$H$4,0)</f>
        <v>0</v>
      </c>
      <c r="M26" s="190">
        <v>0</v>
      </c>
      <c r="N26" s="190">
        <f>IF(N22&gt;$B$4,(N22-$B$4)*$H$4,0)</f>
        <v>0</v>
      </c>
      <c r="O26" s="190">
        <v>0</v>
      </c>
      <c r="P26" s="190">
        <f>IF(P22&gt;$B$4,(P22-$B$4)*$H$4,0)</f>
        <v>0</v>
      </c>
      <c r="Q26" s="190">
        <v>0</v>
      </c>
      <c r="R26" s="190">
        <f>IF(R22&gt;$B$4,(R22-$B$4)*$H$4,0)</f>
        <v>0</v>
      </c>
      <c r="S26" s="190">
        <v>0</v>
      </c>
      <c r="T26" s="190">
        <f>IF(T22&gt;$B$4,(T22-$B$4)*$H$4,0)</f>
        <v>0</v>
      </c>
      <c r="U26" s="190">
        <v>0</v>
      </c>
      <c r="V26" s="190">
        <f>IF(V22&gt;$B$4,(V22-$B$4)*$H$4,0)</f>
        <v>0</v>
      </c>
      <c r="W26" s="190">
        <v>0</v>
      </c>
      <c r="X26" s="190">
        <f>IF(X22&gt;$B$4,(X22-$B$4)*$H$4,0)</f>
        <v>0</v>
      </c>
      <c r="Y26" s="190">
        <v>0</v>
      </c>
      <c r="Z26" s="190">
        <f>IF(Z22&gt;$B$4,(Z22-$B$4)*$H$4,0)</f>
        <v>0</v>
      </c>
      <c r="AA26" s="190">
        <v>0</v>
      </c>
      <c r="AB26" s="190">
        <f>IF(AB22&gt;$B$4,(AB22-$B$4)*$H$4,0)</f>
        <v>0</v>
      </c>
      <c r="AC26" s="190">
        <v>0</v>
      </c>
      <c r="AD26" s="190">
        <f>IF(AD22&gt;$B$4,(AD22-$B$4)*$H$4,0)</f>
        <v>0</v>
      </c>
      <c r="AE26" s="190">
        <v>0</v>
      </c>
      <c r="AF26" s="190">
        <f>IF(AF22&gt;$B$4,(AF22-$B$4)*$H$4,0)</f>
        <v>0</v>
      </c>
      <c r="AG26" s="190">
        <v>0</v>
      </c>
      <c r="AH26" s="190">
        <f>IF(AH22&gt;$B$4,(AH22-$B$4)*$H$4,0)</f>
        <v>0</v>
      </c>
      <c r="AI26" s="190">
        <v>0</v>
      </c>
      <c r="AJ26" s="190">
        <f>IF(AJ22&gt;$B$4,(AJ22-$B$4)*$H$4,0)</f>
        <v>0</v>
      </c>
      <c r="AK26" s="190">
        <v>0</v>
      </c>
    </row>
    <row r="27" spans="1:48" x14ac:dyDescent="0.25">
      <c r="A27" s="189" t="s">
        <v>239</v>
      </c>
      <c r="B27" s="190">
        <f>IF(B23&gt;$B$5,(B23-$B$5)*$H$5,0)</f>
        <v>0</v>
      </c>
      <c r="C27" s="190">
        <v>0</v>
      </c>
      <c r="D27" s="190">
        <f>IF(D23&gt;$B$5,(D23-$B$5)*$H$5,0)</f>
        <v>0</v>
      </c>
      <c r="E27" s="190">
        <v>0</v>
      </c>
      <c r="F27" s="190">
        <f>IF(F23&gt;$B$5,(F23-$B$5)*$H$5,0)</f>
        <v>0</v>
      </c>
      <c r="G27" s="190">
        <v>0</v>
      </c>
      <c r="H27" s="190">
        <f>IF(H23&gt;$B$5,(H23-$B$5)*$H$5,0)</f>
        <v>0</v>
      </c>
      <c r="I27" s="190">
        <v>0</v>
      </c>
      <c r="J27" s="190">
        <f>IF(J23&gt;$B$5,(J23-$B$5)*$H$5,0)</f>
        <v>0</v>
      </c>
      <c r="K27" s="190">
        <v>0</v>
      </c>
      <c r="L27" s="190">
        <f>IF(L23&gt;$B$5,(L23-$B$5)*$H$5,0)</f>
        <v>0</v>
      </c>
      <c r="M27" s="190">
        <v>0</v>
      </c>
      <c r="N27" s="190">
        <f>IF(N23&gt;$B$5,(N23-$B$5)*$H$5,0)</f>
        <v>0</v>
      </c>
      <c r="O27" s="190">
        <v>0</v>
      </c>
      <c r="P27" s="190">
        <f>IF(P23&gt;$B$5,(P23-$B$5)*$H$5,0)</f>
        <v>0</v>
      </c>
      <c r="Q27" s="190">
        <v>0</v>
      </c>
      <c r="R27" s="190">
        <f>IF(R23&gt;$B$5,(R23-$B$5)*$H$5,0)</f>
        <v>0</v>
      </c>
      <c r="S27" s="190">
        <v>0</v>
      </c>
      <c r="T27" s="190">
        <f>IF(T23&gt;$B$5,(T23-$B$5)*$H$5,0)</f>
        <v>0</v>
      </c>
      <c r="U27" s="190">
        <v>0</v>
      </c>
      <c r="V27" s="190">
        <f>IF(V23&gt;$B$5,(V23-$B$5)*$H$5,0)</f>
        <v>0</v>
      </c>
      <c r="W27" s="190">
        <v>0</v>
      </c>
      <c r="X27" s="190">
        <f>IF(X23&gt;$B$5,(X23-$B$5)*$H$5,0)</f>
        <v>0</v>
      </c>
      <c r="Y27" s="190">
        <v>0</v>
      </c>
      <c r="Z27" s="190">
        <f>IF(Z23&gt;$B$5,(Z23-$B$5)*$H$5,0)</f>
        <v>0</v>
      </c>
      <c r="AA27" s="190">
        <v>0</v>
      </c>
      <c r="AB27" s="190">
        <f>IF(AB23&gt;$B$5,(AB23-$B$5)*$H$5,0)</f>
        <v>0</v>
      </c>
      <c r="AC27" s="190">
        <v>0</v>
      </c>
      <c r="AD27" s="190">
        <f>IF(AD23&gt;$B$5,(AD23-$B$5)*$H$5,0)</f>
        <v>0</v>
      </c>
      <c r="AE27" s="190">
        <v>0</v>
      </c>
      <c r="AF27" s="190">
        <f>IF(AF23&gt;$B$5,(AF23-$B$5)*$H$5,0)</f>
        <v>0</v>
      </c>
      <c r="AG27" s="190">
        <v>0</v>
      </c>
      <c r="AH27" s="190">
        <f>IF(AH23&gt;$B$5,(AH23-$B$5)*$H$5,0)</f>
        <v>0</v>
      </c>
      <c r="AI27" s="190">
        <v>0</v>
      </c>
      <c r="AJ27" s="190">
        <f>IF(AJ23&gt;$B$5,(AJ23-$B$5)*$H$5,0)</f>
        <v>0</v>
      </c>
      <c r="AK27" s="190">
        <v>0</v>
      </c>
    </row>
    <row r="28" spans="1:48" x14ac:dyDescent="0.25">
      <c r="A28" s="189" t="s">
        <v>240</v>
      </c>
      <c r="B28" s="190">
        <f>IF(B24&gt;$B$6,(B24-$B$6)*$H$6,0)</f>
        <v>0</v>
      </c>
      <c r="C28" s="190">
        <v>0</v>
      </c>
      <c r="D28" s="190">
        <f>IF(D24&gt;$B$6,(D24-$B$6)*$H$6,0)</f>
        <v>0</v>
      </c>
      <c r="E28" s="190">
        <v>0</v>
      </c>
      <c r="F28" s="190">
        <f>IF(F24&gt;$B$6,(F24-$B$6)*$H$6,0)</f>
        <v>0</v>
      </c>
      <c r="G28" s="190">
        <v>0</v>
      </c>
      <c r="H28" s="190">
        <f>IF(H24&gt;$B$6,(H24-$B$6)*$H$6,0)</f>
        <v>3800</v>
      </c>
      <c r="I28" s="190">
        <v>0</v>
      </c>
      <c r="J28" s="190">
        <f>IF(J24&gt;$B$6,(J24-$B$6)*$H$6,0)</f>
        <v>3800</v>
      </c>
      <c r="K28" s="190">
        <v>0</v>
      </c>
      <c r="L28" s="190">
        <f>IF(L24&gt;$B$6,(L24-$B$6)*$H$6,0)</f>
        <v>3800</v>
      </c>
      <c r="M28" s="190">
        <v>0</v>
      </c>
      <c r="N28" s="190">
        <f>IF(N24&gt;$B$6,(N24-$B$6)*$H$6,0)</f>
        <v>3800</v>
      </c>
      <c r="O28" s="190">
        <v>0</v>
      </c>
      <c r="P28" s="190">
        <f>IF(P24&gt;$B$6,(P24-$B$6)*$H$6,0)</f>
        <v>3800</v>
      </c>
      <c r="Q28" s="190">
        <v>0</v>
      </c>
      <c r="R28" s="190">
        <f>IF(R24&gt;$B$6,(R24-$B$6)*$H$6,0)</f>
        <v>3800</v>
      </c>
      <c r="S28" s="190">
        <v>0</v>
      </c>
      <c r="T28" s="190">
        <f>IF(T24&gt;$B$6,(T24-$B$6)*$H$6,0)</f>
        <v>3800</v>
      </c>
      <c r="U28" s="190">
        <v>0</v>
      </c>
      <c r="V28" s="190">
        <f>IF(V24&gt;$B$6,(V24-$B$6)*$H$6,0)</f>
        <v>3800</v>
      </c>
      <c r="W28" s="190">
        <v>0</v>
      </c>
      <c r="X28" s="190">
        <f>IF(X24&gt;$B$6,(X24-$B$6)*$H$6,0)</f>
        <v>3800</v>
      </c>
      <c r="Y28" s="190">
        <v>0</v>
      </c>
      <c r="Z28" s="190">
        <f>IF(Z24&gt;$B$6,(Z24-$B$6)*$H$6,0)</f>
        <v>3800</v>
      </c>
      <c r="AA28" s="190">
        <v>0</v>
      </c>
      <c r="AB28" s="190">
        <f>IF(AB24&gt;$B$6,(AB24-$B$6)*$H$6,0)</f>
        <v>3800</v>
      </c>
      <c r="AC28" s="190">
        <v>0</v>
      </c>
      <c r="AD28" s="190">
        <f>IF(AD24&gt;$B$6,(AD24-$B$6)*$H$6,0)</f>
        <v>3800</v>
      </c>
      <c r="AE28" s="190">
        <v>0</v>
      </c>
      <c r="AF28" s="190">
        <f>IF(AF24&gt;$B$6,(AF24-$B$6)*$H$6,0)</f>
        <v>0</v>
      </c>
      <c r="AG28" s="190">
        <v>0</v>
      </c>
      <c r="AH28" s="190">
        <f>IF(AH24&gt;$B$6,(AH24-$B$6)*$H$6,0)</f>
        <v>0</v>
      </c>
      <c r="AI28" s="190">
        <v>0</v>
      </c>
      <c r="AJ28" s="190">
        <f>IF(AJ24&gt;$B$6,(AJ24-$B$6)*$H$6,0)</f>
        <v>0</v>
      </c>
      <c r="AK28" s="190">
        <v>0</v>
      </c>
    </row>
    <row r="29" spans="1:48" x14ac:dyDescent="0.25">
      <c r="A29" s="189" t="s">
        <v>241</v>
      </c>
      <c r="B29" s="190">
        <f>IF(B25&gt;$B$7,(B25-$B$7)*$H$7,0)</f>
        <v>1785</v>
      </c>
      <c r="C29" s="190">
        <v>0</v>
      </c>
      <c r="D29" s="190">
        <f>IF(D25&gt;$B$7,(D25-$B$7)*$H$7,0)</f>
        <v>3034.5</v>
      </c>
      <c r="E29" s="190">
        <v>0</v>
      </c>
      <c r="F29" s="190">
        <f>IF(F25&gt;$B$7,(F25-$B$7)*$H$7,0)</f>
        <v>4284</v>
      </c>
      <c r="G29" s="190">
        <v>0</v>
      </c>
      <c r="H29" s="190">
        <f>IF(H25&gt;$B$7,(H25-$B$7)*$H$7,0)</f>
        <v>5533.5</v>
      </c>
      <c r="I29" s="190">
        <v>0</v>
      </c>
      <c r="J29" s="190">
        <f>IF(J25&gt;$B$7,(J25-$B$7)*$H$7,0)</f>
        <v>6783</v>
      </c>
      <c r="K29" s="190">
        <v>0</v>
      </c>
      <c r="L29" s="190">
        <f>IF(L25&gt;$B$7,(L25-$B$7)*$H$7,0)</f>
        <v>7000</v>
      </c>
      <c r="M29" s="190">
        <v>0</v>
      </c>
      <c r="N29" s="190">
        <f>IF(N25&gt;$B$7,(N25-$B$7)*$H$7,0)</f>
        <v>7000</v>
      </c>
      <c r="O29" s="190">
        <v>0</v>
      </c>
      <c r="P29" s="190">
        <f>IF(P25&gt;$B$7,(P25-$B$7)*$H$7,0)</f>
        <v>7000</v>
      </c>
      <c r="Q29" s="190">
        <v>0</v>
      </c>
      <c r="R29" s="190">
        <f>IF(R25&gt;$B$7,(R25-$B$7)*$H$7,0)</f>
        <v>7000</v>
      </c>
      <c r="S29" s="190">
        <v>0</v>
      </c>
      <c r="T29" s="190">
        <f>IF(T25&gt;$B$7,(T25-$B$7)*$H$7,0)</f>
        <v>7000</v>
      </c>
      <c r="U29" s="190">
        <v>0</v>
      </c>
      <c r="V29" s="190">
        <f>IF(V25&gt;$B$7,(V25-$B$7)*$H$7,0)</f>
        <v>7000</v>
      </c>
      <c r="W29" s="190">
        <v>0</v>
      </c>
      <c r="X29" s="190">
        <f>IF(X25&gt;$B$7,(X25-$B$7)*$H$7,0)</f>
        <v>7000</v>
      </c>
      <c r="Y29" s="190">
        <v>0</v>
      </c>
      <c r="Z29" s="190">
        <f>IF(Z25&gt;$B$7,(Z25-$B$7)*$H$7,0)</f>
        <v>7000</v>
      </c>
      <c r="AA29" s="190">
        <v>0</v>
      </c>
      <c r="AB29" s="190">
        <f>IF(AB25&gt;$B$7,(AB25-$B$7)*$H$7,0)</f>
        <v>7000</v>
      </c>
      <c r="AC29" s="190">
        <v>0</v>
      </c>
      <c r="AD29" s="190">
        <f>IF(AD25&gt;$B$7,(AD25-$B$7)*$H$7,0)</f>
        <v>7000</v>
      </c>
      <c r="AE29" s="190">
        <v>0</v>
      </c>
      <c r="AF29" s="190">
        <f>IF(AF25&gt;$B$7,(AF25-$B$7)*$H$7,0)</f>
        <v>0</v>
      </c>
      <c r="AG29" s="190">
        <v>0</v>
      </c>
      <c r="AH29" s="190">
        <f>IF(AH25&gt;$B$7,(AH25-$B$7)*$H$7,0)</f>
        <v>0</v>
      </c>
      <c r="AI29" s="190">
        <v>0</v>
      </c>
      <c r="AJ29" s="190">
        <f>IF(AJ25&gt;$B$7,(AJ25-$B$7)*$H$7,0)</f>
        <v>0</v>
      </c>
      <c r="AK29" s="190">
        <v>0</v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</row>
    <row r="30" spans="1:48" x14ac:dyDescent="0.25">
      <c r="A30" s="192" t="s">
        <v>242</v>
      </c>
      <c r="B30" s="193">
        <f>G4+G5+G6+G7</f>
        <v>700</v>
      </c>
      <c r="C30" s="193">
        <f t="shared" ref="C30:AD30" si="11">B30</f>
        <v>700</v>
      </c>
      <c r="D30" s="193">
        <f t="shared" si="11"/>
        <v>700</v>
      </c>
      <c r="E30" s="193">
        <f t="shared" si="11"/>
        <v>700</v>
      </c>
      <c r="F30" s="193">
        <f t="shared" si="11"/>
        <v>700</v>
      </c>
      <c r="G30" s="193">
        <f t="shared" si="11"/>
        <v>700</v>
      </c>
      <c r="H30" s="193">
        <f t="shared" si="11"/>
        <v>700</v>
      </c>
      <c r="I30" s="193">
        <f t="shared" si="11"/>
        <v>700</v>
      </c>
      <c r="J30" s="193">
        <f t="shared" si="11"/>
        <v>700</v>
      </c>
      <c r="K30" s="193">
        <f t="shared" si="11"/>
        <v>700</v>
      </c>
      <c r="L30" s="193">
        <f t="shared" si="11"/>
        <v>700</v>
      </c>
      <c r="M30" s="193">
        <f t="shared" si="11"/>
        <v>700</v>
      </c>
      <c r="N30" s="193">
        <f t="shared" si="11"/>
        <v>700</v>
      </c>
      <c r="O30" s="193">
        <f t="shared" si="11"/>
        <v>700</v>
      </c>
      <c r="P30" s="193">
        <f t="shared" si="11"/>
        <v>700</v>
      </c>
      <c r="Q30" s="193">
        <f t="shared" si="11"/>
        <v>700</v>
      </c>
      <c r="R30" s="193">
        <f t="shared" si="11"/>
        <v>700</v>
      </c>
      <c r="S30" s="193">
        <f t="shared" si="11"/>
        <v>700</v>
      </c>
      <c r="T30" s="193">
        <f t="shared" si="11"/>
        <v>700</v>
      </c>
      <c r="U30" s="193">
        <f t="shared" si="11"/>
        <v>700</v>
      </c>
      <c r="V30" s="193">
        <f t="shared" si="11"/>
        <v>700</v>
      </c>
      <c r="W30" s="193">
        <f t="shared" si="11"/>
        <v>700</v>
      </c>
      <c r="X30" s="193">
        <f t="shared" si="11"/>
        <v>700</v>
      </c>
      <c r="Y30" s="193">
        <f t="shared" si="11"/>
        <v>700</v>
      </c>
      <c r="Z30" s="193">
        <f t="shared" si="11"/>
        <v>700</v>
      </c>
      <c r="AA30" s="193">
        <f t="shared" si="11"/>
        <v>700</v>
      </c>
      <c r="AB30" s="193">
        <f t="shared" si="11"/>
        <v>700</v>
      </c>
      <c r="AC30" s="193">
        <f t="shared" si="11"/>
        <v>700</v>
      </c>
      <c r="AD30" s="193">
        <f t="shared" si="11"/>
        <v>700</v>
      </c>
      <c r="AE30" s="193"/>
      <c r="AF30" s="193"/>
      <c r="AG30" s="193"/>
      <c r="AH30" s="193"/>
      <c r="AI30" s="193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</row>
    <row r="31" spans="1:48" x14ac:dyDescent="0.25">
      <c r="A31" s="194" t="s">
        <v>243</v>
      </c>
      <c r="B31" s="195">
        <f t="shared" ref="B31:AD31" si="12">B26+B27+B28+B29-B30</f>
        <v>1085</v>
      </c>
      <c r="C31" s="195">
        <f t="shared" si="12"/>
        <v>-700</v>
      </c>
      <c r="D31" s="195">
        <f t="shared" si="12"/>
        <v>2334.5</v>
      </c>
      <c r="E31" s="195">
        <f t="shared" si="12"/>
        <v>-700</v>
      </c>
      <c r="F31" s="195">
        <f t="shared" si="12"/>
        <v>3584</v>
      </c>
      <c r="G31" s="195">
        <f t="shared" si="12"/>
        <v>-700</v>
      </c>
      <c r="H31" s="195">
        <f t="shared" si="12"/>
        <v>8633.5</v>
      </c>
      <c r="I31" s="195">
        <f t="shared" si="12"/>
        <v>-700</v>
      </c>
      <c r="J31" s="195">
        <f t="shared" si="12"/>
        <v>9883</v>
      </c>
      <c r="K31" s="195">
        <f t="shared" si="12"/>
        <v>-700</v>
      </c>
      <c r="L31" s="195">
        <f t="shared" si="12"/>
        <v>10100</v>
      </c>
      <c r="M31" s="195">
        <f t="shared" si="12"/>
        <v>-700</v>
      </c>
      <c r="N31" s="195">
        <f t="shared" si="12"/>
        <v>10100</v>
      </c>
      <c r="O31" s="195">
        <f t="shared" si="12"/>
        <v>-700</v>
      </c>
      <c r="P31" s="195">
        <f t="shared" si="12"/>
        <v>10100</v>
      </c>
      <c r="Q31" s="195">
        <f t="shared" si="12"/>
        <v>-700</v>
      </c>
      <c r="R31" s="195">
        <f t="shared" si="12"/>
        <v>10100</v>
      </c>
      <c r="S31" s="195">
        <f t="shared" si="12"/>
        <v>-700</v>
      </c>
      <c r="T31" s="195">
        <f t="shared" si="12"/>
        <v>10100</v>
      </c>
      <c r="U31" s="195">
        <f t="shared" si="12"/>
        <v>-700</v>
      </c>
      <c r="V31" s="195">
        <f t="shared" si="12"/>
        <v>10100</v>
      </c>
      <c r="W31" s="195">
        <f t="shared" si="12"/>
        <v>-700</v>
      </c>
      <c r="X31" s="195">
        <f t="shared" si="12"/>
        <v>10100</v>
      </c>
      <c r="Y31" s="195">
        <f t="shared" si="12"/>
        <v>-700</v>
      </c>
      <c r="Z31" s="195">
        <f t="shared" si="12"/>
        <v>10100</v>
      </c>
      <c r="AA31" s="195">
        <f t="shared" si="12"/>
        <v>-700</v>
      </c>
      <c r="AB31" s="195">
        <f t="shared" si="12"/>
        <v>10100</v>
      </c>
      <c r="AC31" s="195">
        <f t="shared" si="12"/>
        <v>-700</v>
      </c>
      <c r="AD31" s="195">
        <f t="shared" si="12"/>
        <v>10100</v>
      </c>
      <c r="AE31" s="195"/>
      <c r="AF31" s="195"/>
      <c r="AG31" s="195"/>
      <c r="AH31" s="195"/>
      <c r="AI31" s="195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</row>
    <row r="32" spans="1:48" x14ac:dyDescent="0.25">
      <c r="A32" s="197" t="s">
        <v>244</v>
      </c>
      <c r="B32" s="195">
        <f>-B12-B11+B31</f>
        <v>-86915</v>
      </c>
      <c r="C32" s="195">
        <f t="shared" ref="C32:AD32" si="13">B32+C31</f>
        <v>-87615</v>
      </c>
      <c r="D32" s="195">
        <f t="shared" si="13"/>
        <v>-85280.5</v>
      </c>
      <c r="E32" s="195">
        <f t="shared" si="13"/>
        <v>-85980.5</v>
      </c>
      <c r="F32" s="195">
        <f t="shared" si="13"/>
        <v>-82396.5</v>
      </c>
      <c r="G32" s="195">
        <f t="shared" si="13"/>
        <v>-83096.5</v>
      </c>
      <c r="H32" s="195">
        <f t="shared" si="13"/>
        <v>-74463</v>
      </c>
      <c r="I32" s="195">
        <f t="shared" si="13"/>
        <v>-75163</v>
      </c>
      <c r="J32" s="195">
        <f t="shared" si="13"/>
        <v>-65280</v>
      </c>
      <c r="K32" s="195">
        <f t="shared" si="13"/>
        <v>-65980</v>
      </c>
      <c r="L32" s="195">
        <f t="shared" si="13"/>
        <v>-55880</v>
      </c>
      <c r="M32" s="195">
        <f t="shared" si="13"/>
        <v>-56580</v>
      </c>
      <c r="N32" s="195">
        <f t="shared" si="13"/>
        <v>-46480</v>
      </c>
      <c r="O32" s="195">
        <f t="shared" si="13"/>
        <v>-47180</v>
      </c>
      <c r="P32" s="195">
        <f t="shared" si="13"/>
        <v>-37080</v>
      </c>
      <c r="Q32" s="195">
        <f t="shared" si="13"/>
        <v>-37780</v>
      </c>
      <c r="R32" s="195">
        <f t="shared" si="13"/>
        <v>-27680</v>
      </c>
      <c r="S32" s="195">
        <f t="shared" si="13"/>
        <v>-28380</v>
      </c>
      <c r="T32" s="195">
        <f t="shared" si="13"/>
        <v>-18280</v>
      </c>
      <c r="U32" s="195">
        <f t="shared" si="13"/>
        <v>-18980</v>
      </c>
      <c r="V32" s="195">
        <f t="shared" si="13"/>
        <v>-8880</v>
      </c>
      <c r="W32" s="195">
        <f t="shared" si="13"/>
        <v>-9580</v>
      </c>
      <c r="X32" s="195">
        <f t="shared" si="13"/>
        <v>520</v>
      </c>
      <c r="Y32" s="195">
        <f t="shared" si="13"/>
        <v>-180</v>
      </c>
      <c r="Z32" s="195">
        <f t="shared" si="13"/>
        <v>9920</v>
      </c>
      <c r="AA32" s="195">
        <f t="shared" si="13"/>
        <v>9220</v>
      </c>
      <c r="AB32" s="195">
        <f t="shared" si="13"/>
        <v>19320</v>
      </c>
      <c r="AC32" s="195">
        <f t="shared" si="13"/>
        <v>18620</v>
      </c>
      <c r="AD32" s="195">
        <f t="shared" si="13"/>
        <v>28720</v>
      </c>
      <c r="AE32" s="195"/>
      <c r="AF32" s="195"/>
      <c r="AG32" s="195"/>
      <c r="AH32" s="195"/>
      <c r="AI32" s="195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</row>
    <row r="33" spans="2:35" x14ac:dyDescent="0.25">
      <c r="B33" s="178">
        <f t="shared" ref="B33:AD33" si="14">B32/$B$13</f>
        <v>-0.98767045454545455</v>
      </c>
      <c r="C33" s="178">
        <f t="shared" si="14"/>
        <v>-0.99562499999999998</v>
      </c>
      <c r="D33" s="178">
        <f t="shared" si="14"/>
        <v>-0.96909659090909095</v>
      </c>
      <c r="E33" s="178">
        <f t="shared" si="14"/>
        <v>-0.97705113636363639</v>
      </c>
      <c r="F33" s="178">
        <f t="shared" si="14"/>
        <v>-0.93632386363636366</v>
      </c>
      <c r="G33" s="178">
        <f t="shared" si="14"/>
        <v>-0.9442784090909091</v>
      </c>
      <c r="H33" s="178">
        <f t="shared" si="14"/>
        <v>-0.84617045454545459</v>
      </c>
      <c r="I33" s="178">
        <f t="shared" si="14"/>
        <v>-0.85412500000000002</v>
      </c>
      <c r="J33" s="178">
        <f t="shared" si="14"/>
        <v>-0.74181818181818182</v>
      </c>
      <c r="K33" s="178">
        <f t="shared" si="14"/>
        <v>-0.74977272727272726</v>
      </c>
      <c r="L33" s="178">
        <f t="shared" si="14"/>
        <v>-0.63500000000000001</v>
      </c>
      <c r="M33" s="178">
        <f t="shared" si="14"/>
        <v>-0.64295454545454545</v>
      </c>
      <c r="N33" s="178">
        <f t="shared" si="14"/>
        <v>-0.5281818181818182</v>
      </c>
      <c r="O33" s="178">
        <f t="shared" si="14"/>
        <v>-0.53613636363636363</v>
      </c>
      <c r="P33" s="178">
        <f t="shared" si="14"/>
        <v>-0.42136363636363638</v>
      </c>
      <c r="Q33" s="178">
        <f t="shared" si="14"/>
        <v>-0.42931818181818182</v>
      </c>
      <c r="R33" s="178">
        <f t="shared" si="14"/>
        <v>-0.31454545454545457</v>
      </c>
      <c r="S33" s="178">
        <f t="shared" si="14"/>
        <v>-0.32250000000000001</v>
      </c>
      <c r="T33" s="178">
        <f t="shared" si="14"/>
        <v>-0.20772727272727273</v>
      </c>
      <c r="U33" s="178">
        <f t="shared" si="14"/>
        <v>-0.21568181818181817</v>
      </c>
      <c r="V33" s="178">
        <f t="shared" si="14"/>
        <v>-0.10090909090909091</v>
      </c>
      <c r="W33" s="178">
        <f t="shared" si="14"/>
        <v>-0.10886363636363636</v>
      </c>
      <c r="X33" s="178">
        <f t="shared" si="14"/>
        <v>5.909090909090909E-3</v>
      </c>
      <c r="Y33" s="178">
        <f t="shared" si="14"/>
        <v>-2.0454545454545456E-3</v>
      </c>
      <c r="Z33" s="178">
        <f t="shared" si="14"/>
        <v>0.11272727272727273</v>
      </c>
      <c r="AA33" s="178">
        <f t="shared" si="14"/>
        <v>0.10477272727272727</v>
      </c>
      <c r="AB33" s="178">
        <f t="shared" si="14"/>
        <v>0.21954545454545454</v>
      </c>
      <c r="AC33" s="178">
        <f t="shared" si="14"/>
        <v>0.21159090909090908</v>
      </c>
      <c r="AD33" s="178">
        <f t="shared" si="14"/>
        <v>0.32636363636363636</v>
      </c>
      <c r="AE33" s="178"/>
      <c r="AF33" s="178"/>
      <c r="AG33" s="178"/>
      <c r="AH33" s="178"/>
      <c r="AI33" s="178"/>
    </row>
    <row r="36" spans="2:35" x14ac:dyDescent="0.25">
      <c r="K36" s="178"/>
    </row>
    <row r="37" spans="2:35" x14ac:dyDescent="0.25">
      <c r="K37" s="178"/>
    </row>
    <row r="38" spans="2:35" x14ac:dyDescent="0.25">
      <c r="K38" s="178"/>
    </row>
    <row r="39" spans="2:35" x14ac:dyDescent="0.25">
      <c r="K39" s="178"/>
    </row>
  </sheetData>
  <mergeCells count="3">
    <mergeCell ref="D2:E2"/>
    <mergeCell ref="F2:G2"/>
    <mergeCell ref="H2:I2"/>
  </mergeCells>
  <conditionalFormatting sqref="B32:AD32"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2019-07-03T15:49:27Z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