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7350" activeTab="1"/>
  </bookViews>
  <sheets>
    <sheet name="OBIWAN-grow" sheetId="440" r:id="rId1"/>
    <sheet name="SIMULADOR&gt;22-12-17_v2" sheetId="436" r:id="rId2"/>
    <sheet name="SIMULADOR&gt;22-12-17" sheetId="435" r:id="rId3"/>
    <sheet name="SIMULADOR" sheetId="285" r:id="rId4"/>
    <sheet name="SIMULADOR_sinJC" sheetId="273" r:id="rId5"/>
  </sheets>
  <calcPr calcId="152511"/>
  <fileRecoveryPr autoRecover="0"/>
</workbook>
</file>

<file path=xl/calcChain.xml><?xml version="1.0" encoding="utf-8"?>
<calcChain xmlns="http://schemas.openxmlformats.org/spreadsheetml/2006/main">
  <c r="BF48" i="440" l="1"/>
  <c r="BF47" i="440"/>
  <c r="BF46" i="440"/>
  <c r="BE45" i="440"/>
  <c r="BE44" i="440"/>
  <c r="BF45" i="440" s="1"/>
  <c r="BD44" i="440"/>
  <c r="BE43" i="440"/>
  <c r="BD43" i="440"/>
  <c r="BC43" i="440"/>
  <c r="BF42" i="440"/>
  <c r="BE42" i="440"/>
  <c r="BF43" i="440" s="1"/>
  <c r="BD42" i="440"/>
  <c r="BC42" i="440"/>
  <c r="BF41" i="440"/>
  <c r="BE41" i="440"/>
  <c r="BD41" i="440"/>
  <c r="BC41" i="440"/>
  <c r="BF40" i="440"/>
  <c r="BE40" i="440"/>
  <c r="BD40" i="440"/>
  <c r="BC40" i="440"/>
  <c r="BC39" i="440"/>
  <c r="AS38" i="440"/>
  <c r="AR38" i="440"/>
  <c r="AQ38" i="440"/>
  <c r="AP38" i="440"/>
  <c r="AO38" i="440"/>
  <c r="AN38" i="440"/>
  <c r="AM38" i="440"/>
  <c r="AL38" i="440"/>
  <c r="AK38" i="440"/>
  <c r="AJ38" i="440"/>
  <c r="AI38" i="440"/>
  <c r="AH38" i="440"/>
  <c r="AG38" i="440"/>
  <c r="AF38" i="440"/>
  <c r="AE38" i="440"/>
  <c r="AD38" i="440"/>
  <c r="AC38" i="440"/>
  <c r="AB38" i="440"/>
  <c r="AA38" i="440"/>
  <c r="Z38" i="440"/>
  <c r="Y38" i="440"/>
  <c r="X38" i="440"/>
  <c r="W38" i="440"/>
  <c r="V38" i="440"/>
  <c r="U38" i="440"/>
  <c r="T38" i="440"/>
  <c r="S38" i="440"/>
  <c r="R38" i="440"/>
  <c r="Q38" i="440"/>
  <c r="P38" i="440"/>
  <c r="O38" i="440"/>
  <c r="N38" i="440"/>
  <c r="M38" i="440"/>
  <c r="L38" i="440"/>
  <c r="K38" i="440"/>
  <c r="J38" i="440"/>
  <c r="I38" i="440"/>
  <c r="H38" i="440"/>
  <c r="G38" i="440"/>
  <c r="BH36" i="440"/>
  <c r="BH42" i="440" s="1"/>
  <c r="BH47" i="440" s="1"/>
  <c r="BH52" i="440" s="1"/>
  <c r="BH55" i="440" s="1"/>
  <c r="BH57" i="440" s="1"/>
  <c r="BL13" i="440" s="1"/>
  <c r="BF34" i="440"/>
  <c r="BF33" i="440"/>
  <c r="C33" i="440"/>
  <c r="B33" i="440"/>
  <c r="C32" i="440"/>
  <c r="B32" i="440"/>
  <c r="BE31" i="440"/>
  <c r="BH30" i="440"/>
  <c r="BH37" i="440" s="1"/>
  <c r="BH43" i="440" s="1"/>
  <c r="BH48" i="440" s="1"/>
  <c r="BH53" i="440" s="1"/>
  <c r="BH56" i="440" s="1"/>
  <c r="BH58" i="440" s="1"/>
  <c r="BH59" i="440" s="1"/>
  <c r="BE30" i="440"/>
  <c r="BD30" i="440"/>
  <c r="E30" i="440"/>
  <c r="D30" i="440"/>
  <c r="BH29" i="440"/>
  <c r="BE29" i="440"/>
  <c r="BD29" i="440"/>
  <c r="BC29" i="440"/>
  <c r="C29" i="440"/>
  <c r="B29" i="440"/>
  <c r="BH28" i="440"/>
  <c r="BH35" i="440" s="1"/>
  <c r="BH41" i="440" s="1"/>
  <c r="BH46" i="440" s="1"/>
  <c r="BH51" i="440" s="1"/>
  <c r="BH54" i="440" s="1"/>
  <c r="BL12" i="440" s="1"/>
  <c r="BP47" i="440" s="1"/>
  <c r="BF28" i="440"/>
  <c r="BE28" i="440"/>
  <c r="BD28" i="440"/>
  <c r="BC28" i="440"/>
  <c r="BH27" i="440"/>
  <c r="BH34" i="440" s="1"/>
  <c r="BH40" i="440" s="1"/>
  <c r="BH45" i="440" s="1"/>
  <c r="BH50" i="440" s="1"/>
  <c r="BF27" i="440"/>
  <c r="BE27" i="440"/>
  <c r="BD27" i="440"/>
  <c r="BC27" i="440"/>
  <c r="C27" i="440"/>
  <c r="B27" i="440"/>
  <c r="BH26" i="440"/>
  <c r="BH33" i="440" s="1"/>
  <c r="BH39" i="440" s="1"/>
  <c r="BH44" i="440" s="1"/>
  <c r="BF26" i="440"/>
  <c r="BE26" i="440"/>
  <c r="BD26" i="440"/>
  <c r="BC26" i="440"/>
  <c r="E26" i="440"/>
  <c r="E27" i="440" s="1"/>
  <c r="D26" i="440"/>
  <c r="C26" i="440"/>
  <c r="B26" i="440"/>
  <c r="BH25" i="440"/>
  <c r="BH32" i="440" s="1"/>
  <c r="BH38" i="440" s="1"/>
  <c r="BC25" i="440"/>
  <c r="E25" i="440"/>
  <c r="D25" i="440"/>
  <c r="C25" i="440"/>
  <c r="B25" i="440"/>
  <c r="BH24" i="440"/>
  <c r="BH31" i="440" s="1"/>
  <c r="BL8" i="440" s="1"/>
  <c r="BP18" i="440" s="1"/>
  <c r="BP22" i="440" s="1"/>
  <c r="BP28" i="440" s="1"/>
  <c r="BP35" i="440" s="1"/>
  <c r="BP43" i="440" s="1"/>
  <c r="BH23" i="440"/>
  <c r="B22" i="440"/>
  <c r="C22" i="440" s="1"/>
  <c r="B20" i="440"/>
  <c r="B21" i="440" s="1"/>
  <c r="AK19" i="440"/>
  <c r="AG19" i="440"/>
  <c r="Z19" i="440"/>
  <c r="P19" i="440"/>
  <c r="AA18" i="440"/>
  <c r="Q18" i="440"/>
  <c r="AK17" i="440"/>
  <c r="AG17" i="440"/>
  <c r="AN17" i="440" s="1"/>
  <c r="Z17" i="440"/>
  <c r="P17" i="440"/>
  <c r="AA16" i="440"/>
  <c r="Q16" i="440"/>
  <c r="C16" i="440"/>
  <c r="B16" i="440"/>
  <c r="AA15" i="440"/>
  <c r="Q15" i="440"/>
  <c r="AN14" i="440"/>
  <c r="Z14" i="440"/>
  <c r="P14" i="440"/>
  <c r="BP13" i="440"/>
  <c r="BP17" i="440" s="1"/>
  <c r="BP21" i="440" s="1"/>
  <c r="BP27" i="440" s="1"/>
  <c r="BP34" i="440" s="1"/>
  <c r="BP42" i="440" s="1"/>
  <c r="Z13" i="440"/>
  <c r="P13" i="440"/>
  <c r="BP12" i="440"/>
  <c r="BP16" i="440" s="1"/>
  <c r="BP20" i="440" s="1"/>
  <c r="BP26" i="440" s="1"/>
  <c r="BP33" i="440" s="1"/>
  <c r="BP41" i="440" s="1"/>
  <c r="AA12" i="440"/>
  <c r="Q12" i="440"/>
  <c r="BL11" i="440"/>
  <c r="BP38" i="440" s="1"/>
  <c r="BP46" i="440" s="1"/>
  <c r="AK11" i="440"/>
  <c r="AG11" i="440"/>
  <c r="Z11" i="440"/>
  <c r="P11" i="440"/>
  <c r="BL10" i="440"/>
  <c r="BP30" i="440" s="1"/>
  <c r="BP37" i="440" s="1"/>
  <c r="BP45" i="440" s="1"/>
  <c r="AK10" i="440"/>
  <c r="AG10" i="440"/>
  <c r="Z10" i="440"/>
  <c r="P10" i="440"/>
  <c r="BP9" i="440"/>
  <c r="BL9" i="440"/>
  <c r="BP23" i="440" s="1"/>
  <c r="BP29" i="440" s="1"/>
  <c r="BP36" i="440" s="1"/>
  <c r="BP44" i="440" s="1"/>
  <c r="AK9" i="440"/>
  <c r="AG9" i="440"/>
  <c r="Z9" i="440"/>
  <c r="P9" i="440"/>
  <c r="AK8" i="440"/>
  <c r="AG8" i="440"/>
  <c r="Z8" i="440"/>
  <c r="P8" i="440"/>
  <c r="BL7" i="440"/>
  <c r="Z7" i="440"/>
  <c r="AA7" i="440" s="1"/>
  <c r="Q7" i="440"/>
  <c r="P7" i="440"/>
  <c r="BP6" i="440"/>
  <c r="BP8" i="440" s="1"/>
  <c r="BP11" i="440" s="1"/>
  <c r="BP15" i="440" s="1"/>
  <c r="BP19" i="440" s="1"/>
  <c r="BP25" i="440" s="1"/>
  <c r="BP32" i="440" s="1"/>
  <c r="BP40" i="440" s="1"/>
  <c r="BL6" i="440"/>
  <c r="AK6" i="440"/>
  <c r="AG6" i="440"/>
  <c r="Z6" i="440"/>
  <c r="P6" i="440"/>
  <c r="BP5" i="440"/>
  <c r="BP7" i="440" s="1"/>
  <c r="BP10" i="440" s="1"/>
  <c r="BP14" i="440" s="1"/>
  <c r="BH49" i="440" s="1"/>
  <c r="BP24" i="440" s="1"/>
  <c r="BP31" i="440" s="1"/>
  <c r="BP39" i="440" s="1"/>
  <c r="BL14" i="440" s="1"/>
  <c r="AK5" i="440"/>
  <c r="AG5" i="440"/>
  <c r="Z5" i="440"/>
  <c r="P5" i="440"/>
  <c r="D3" i="440"/>
  <c r="G3" i="440" s="1"/>
  <c r="AI2" i="440"/>
  <c r="S2" i="440"/>
  <c r="S1" i="440"/>
  <c r="K3" i="440" l="1"/>
  <c r="K1" i="440"/>
  <c r="R18" i="440"/>
  <c r="R7" i="440"/>
  <c r="R12" i="440"/>
  <c r="AB7" i="440"/>
  <c r="R15" i="440"/>
  <c r="AB15" i="440"/>
  <c r="AB16" i="440"/>
  <c r="AC16" i="440" s="1"/>
  <c r="AB12" i="440"/>
  <c r="AC12" i="440" s="1"/>
  <c r="AN19" i="440"/>
  <c r="AN6" i="440"/>
  <c r="AN10" i="440"/>
  <c r="AN11" i="440"/>
  <c r="AN8" i="440"/>
  <c r="AN9" i="440"/>
  <c r="AN5" i="440"/>
  <c r="G2" i="440"/>
  <c r="G1" i="440"/>
  <c r="K2" i="440"/>
  <c r="AC15" i="440"/>
  <c r="AC7" i="440"/>
  <c r="C31" i="440"/>
  <c r="W39" i="440" s="1"/>
  <c r="S18" i="440"/>
  <c r="S7" i="440"/>
  <c r="S12" i="440"/>
  <c r="S15" i="440"/>
  <c r="B23" i="440"/>
  <c r="C23" i="440" s="1"/>
  <c r="BF30" i="440"/>
  <c r="BF29" i="440"/>
  <c r="BF32" i="440"/>
  <c r="BF31" i="440"/>
  <c r="R16" i="440"/>
  <c r="AB18" i="440"/>
  <c r="E23" i="440"/>
  <c r="D27" i="440"/>
  <c r="B31" i="440" s="1"/>
  <c r="D23" i="440"/>
  <c r="BF44" i="440"/>
  <c r="Z14" i="436"/>
  <c r="P14" i="436"/>
  <c r="AI19" i="440" l="1"/>
  <c r="AI11" i="440"/>
  <c r="AI10" i="440"/>
  <c r="AI17" i="440"/>
  <c r="O17" i="440" s="1"/>
  <c r="Q17" i="440" s="1"/>
  <c r="R17" i="440" s="1"/>
  <c r="S17" i="440" s="1"/>
  <c r="AI8" i="440"/>
  <c r="Y11" i="440"/>
  <c r="AA11" i="440" s="1"/>
  <c r="AB11" i="440" s="1"/>
  <c r="AC11" i="440" s="1"/>
  <c r="O11" i="440"/>
  <c r="Q11" i="440" s="1"/>
  <c r="R11" i="440" s="1"/>
  <c r="S11" i="440" s="1"/>
  <c r="AI9" i="440"/>
  <c r="AI6" i="440"/>
  <c r="AI5" i="440"/>
  <c r="O5" i="440" s="1"/>
  <c r="Q5" i="440" s="1"/>
  <c r="R5" i="440" s="1"/>
  <c r="S5" i="440" s="1"/>
  <c r="AI14" i="440"/>
  <c r="AI13" i="440"/>
  <c r="Y13" i="440" s="1"/>
  <c r="AA13" i="440" s="1"/>
  <c r="AB13" i="440" s="1"/>
  <c r="T34" i="440"/>
  <c r="W25" i="440"/>
  <c r="T46" i="440"/>
  <c r="T42" i="440"/>
  <c r="T45" i="440"/>
  <c r="T43" i="440"/>
  <c r="T49" i="440"/>
  <c r="T32" i="440"/>
  <c r="C34" i="440"/>
  <c r="T28" i="440"/>
  <c r="T25" i="440"/>
  <c r="T30" i="440"/>
  <c r="T27" i="440"/>
  <c r="T31" i="440"/>
  <c r="T26" i="440"/>
  <c r="T29" i="440"/>
  <c r="C24" i="440"/>
  <c r="T39" i="440"/>
  <c r="T41" i="440"/>
  <c r="S16" i="440"/>
  <c r="AC18" i="440"/>
  <c r="T35" i="440"/>
  <c r="T33" i="440"/>
  <c r="T48" i="440"/>
  <c r="B34" i="440"/>
  <c r="B24" i="440"/>
  <c r="T47" i="440"/>
  <c r="T44" i="440"/>
  <c r="T40" i="440"/>
  <c r="AI19" i="436"/>
  <c r="AI14" i="436"/>
  <c r="AI9" i="436"/>
  <c r="AN19" i="436"/>
  <c r="AN17" i="436"/>
  <c r="AI17" i="436" s="1"/>
  <c r="AN14" i="436"/>
  <c r="AN11" i="436"/>
  <c r="AI11" i="436" s="1"/>
  <c r="AN10" i="436"/>
  <c r="AI10" i="436" s="1"/>
  <c r="AN9" i="436"/>
  <c r="AN8" i="436"/>
  <c r="AI8" i="436" s="1"/>
  <c r="AN6" i="436"/>
  <c r="AI6" i="436" s="1"/>
  <c r="AN5" i="436"/>
  <c r="AI13" i="436" l="1"/>
  <c r="AI5" i="436"/>
  <c r="Y14" i="440"/>
  <c r="AA14" i="440" s="1"/>
  <c r="AB14" i="440" s="1"/>
  <c r="AC14" i="440" s="1"/>
  <c r="O14" i="440"/>
  <c r="Q14" i="440" s="1"/>
  <c r="R14" i="440" s="1"/>
  <c r="S14" i="440" s="1"/>
  <c r="O19" i="440"/>
  <c r="Q19" i="440" s="1"/>
  <c r="R19" i="440" s="1"/>
  <c r="S19" i="440" s="1"/>
  <c r="Y19" i="440"/>
  <c r="AA19" i="440" s="1"/>
  <c r="AB19" i="440" s="1"/>
  <c r="AC19" i="440" s="1"/>
  <c r="Y17" i="440"/>
  <c r="AA17" i="440" s="1"/>
  <c r="AB17" i="440" s="1"/>
  <c r="AC17" i="440" s="1"/>
  <c r="Y10" i="440"/>
  <c r="AA10" i="440" s="1"/>
  <c r="AB10" i="440" s="1"/>
  <c r="AC10" i="440" s="1"/>
  <c r="O10" i="440"/>
  <c r="Q10" i="440" s="1"/>
  <c r="R10" i="440" s="1"/>
  <c r="S10" i="440" s="1"/>
  <c r="O13" i="440"/>
  <c r="Q13" i="440" s="1"/>
  <c r="R13" i="440" s="1"/>
  <c r="S13" i="440" s="1"/>
  <c r="O8" i="440"/>
  <c r="Q8" i="440" s="1"/>
  <c r="R8" i="440" s="1"/>
  <c r="S8" i="440" s="1"/>
  <c r="Y8" i="440"/>
  <c r="AA8" i="440" s="1"/>
  <c r="AB8" i="440" s="1"/>
  <c r="AC8" i="440" s="1"/>
  <c r="Y6" i="440"/>
  <c r="AA6" i="440" s="1"/>
  <c r="AB6" i="440" s="1"/>
  <c r="AC6" i="440" s="1"/>
  <c r="O6" i="440"/>
  <c r="Q6" i="440" s="1"/>
  <c r="R6" i="440" s="1"/>
  <c r="S6" i="440" s="1"/>
  <c r="Y5" i="440"/>
  <c r="AA5" i="440" s="1"/>
  <c r="AB5" i="440" s="1"/>
  <c r="AC5" i="440" s="1"/>
  <c r="Y9" i="440"/>
  <c r="AA9" i="440" s="1"/>
  <c r="AB9" i="440" s="1"/>
  <c r="AC9" i="440" s="1"/>
  <c r="O9" i="440"/>
  <c r="Q9" i="440" s="1"/>
  <c r="R9" i="440" s="1"/>
  <c r="S9" i="440" s="1"/>
  <c r="T23" i="440"/>
  <c r="T37" i="440"/>
  <c r="AC13" i="440"/>
  <c r="N30" i="440"/>
  <c r="P30" i="440" s="1"/>
  <c r="R35" i="440" s="1"/>
  <c r="N27" i="440"/>
  <c r="P27" i="440" s="1"/>
  <c r="N26" i="440"/>
  <c r="N29" i="440"/>
  <c r="P29" i="440" s="1"/>
  <c r="N28" i="440"/>
  <c r="P28" i="440" s="1"/>
  <c r="N25" i="440"/>
  <c r="N43" i="440"/>
  <c r="P43" i="440" s="1"/>
  <c r="N41" i="440"/>
  <c r="P41" i="440" s="1"/>
  <c r="N44" i="440"/>
  <c r="P44" i="440" s="1"/>
  <c r="N39" i="440"/>
  <c r="N40" i="440"/>
  <c r="P40" i="440" s="1"/>
  <c r="N42" i="440"/>
  <c r="P42" i="440" s="1"/>
  <c r="AG19" i="436"/>
  <c r="AK19" i="436"/>
  <c r="Z17" i="436"/>
  <c r="P17" i="436"/>
  <c r="AK17" i="436"/>
  <c r="AG17" i="436"/>
  <c r="AK11" i="436"/>
  <c r="AG11" i="436"/>
  <c r="AG10" i="436"/>
  <c r="AK10" i="436"/>
  <c r="AK9" i="436"/>
  <c r="AG9" i="436"/>
  <c r="AK8" i="436"/>
  <c r="AG8" i="436"/>
  <c r="AK6" i="436"/>
  <c r="AG6" i="436"/>
  <c r="AK5" i="436"/>
  <c r="AG5" i="436"/>
  <c r="AI2" i="436"/>
  <c r="D3" i="436"/>
  <c r="G1" i="436" s="1"/>
  <c r="K1" i="436"/>
  <c r="BF48" i="436"/>
  <c r="BF47" i="436"/>
  <c r="BF46" i="436"/>
  <c r="BE45" i="436"/>
  <c r="BE44" i="436"/>
  <c r="BF45" i="436" s="1"/>
  <c r="BD44" i="436"/>
  <c r="BF43" i="436"/>
  <c r="BE43" i="436"/>
  <c r="BF44" i="436" s="1"/>
  <c r="BD43" i="436"/>
  <c r="BC43" i="436"/>
  <c r="BF42" i="436"/>
  <c r="BE42" i="436"/>
  <c r="BD42" i="436"/>
  <c r="BC42" i="436"/>
  <c r="BF41" i="436"/>
  <c r="BE41" i="436"/>
  <c r="BD41" i="436"/>
  <c r="BC41" i="436"/>
  <c r="BF40" i="436"/>
  <c r="BE40" i="436"/>
  <c r="BD40" i="436"/>
  <c r="BC40" i="436"/>
  <c r="BC39" i="436"/>
  <c r="AS38" i="436"/>
  <c r="AR38" i="436"/>
  <c r="AQ38" i="436"/>
  <c r="AP38" i="436"/>
  <c r="AO38" i="436"/>
  <c r="AN38" i="436"/>
  <c r="AM38" i="436"/>
  <c r="AL38" i="436"/>
  <c r="AK38" i="436"/>
  <c r="AJ38" i="436"/>
  <c r="AI38" i="436"/>
  <c r="AH38" i="436"/>
  <c r="AG38" i="436"/>
  <c r="AF38" i="436"/>
  <c r="AE38" i="436"/>
  <c r="AD38" i="436"/>
  <c r="AC38" i="436"/>
  <c r="AB38" i="436"/>
  <c r="AA38" i="436"/>
  <c r="Z38" i="436"/>
  <c r="Y38" i="436"/>
  <c r="X38" i="436"/>
  <c r="W38" i="436"/>
  <c r="V38" i="436"/>
  <c r="U38" i="436"/>
  <c r="T38" i="436"/>
  <c r="S38" i="436"/>
  <c r="R38" i="436"/>
  <c r="Q38" i="436"/>
  <c r="P38" i="436"/>
  <c r="O38" i="436"/>
  <c r="N38" i="436"/>
  <c r="M38" i="436"/>
  <c r="L38" i="436"/>
  <c r="K38" i="436"/>
  <c r="J38" i="436"/>
  <c r="I38" i="436"/>
  <c r="H38" i="436"/>
  <c r="G38" i="436"/>
  <c r="BF34" i="436"/>
  <c r="BF33" i="436"/>
  <c r="C33" i="436"/>
  <c r="B33" i="436"/>
  <c r="C32" i="436"/>
  <c r="B32" i="436"/>
  <c r="BE31" i="436"/>
  <c r="BF32" i="436" s="1"/>
  <c r="BH30" i="436"/>
  <c r="BH37" i="436" s="1"/>
  <c r="BH43" i="436" s="1"/>
  <c r="BH48" i="436" s="1"/>
  <c r="BH53" i="436" s="1"/>
  <c r="BH56" i="436" s="1"/>
  <c r="BH58" i="436" s="1"/>
  <c r="BH59" i="436" s="1"/>
  <c r="BE30" i="436"/>
  <c r="BF31" i="436" s="1"/>
  <c r="BD30" i="436"/>
  <c r="E30" i="436"/>
  <c r="D30" i="436"/>
  <c r="BH29" i="436"/>
  <c r="BH36" i="436" s="1"/>
  <c r="BH42" i="436" s="1"/>
  <c r="BH47" i="436" s="1"/>
  <c r="BH52" i="436" s="1"/>
  <c r="BH55" i="436" s="1"/>
  <c r="BH57" i="436" s="1"/>
  <c r="BL13" i="436" s="1"/>
  <c r="BE29" i="436"/>
  <c r="BF30" i="436" s="1"/>
  <c r="BD29" i="436"/>
  <c r="BC29" i="436"/>
  <c r="C29" i="436"/>
  <c r="B29" i="436"/>
  <c r="BP28" i="436"/>
  <c r="BP35" i="436" s="1"/>
  <c r="BP43" i="436" s="1"/>
  <c r="BH28" i="436"/>
  <c r="BH35" i="436" s="1"/>
  <c r="BH41" i="436" s="1"/>
  <c r="BH46" i="436" s="1"/>
  <c r="BH51" i="436" s="1"/>
  <c r="BH54" i="436" s="1"/>
  <c r="BE28" i="436"/>
  <c r="BF29" i="436" s="1"/>
  <c r="BD28" i="436"/>
  <c r="BC28" i="436"/>
  <c r="BH27" i="436"/>
  <c r="BH34" i="436" s="1"/>
  <c r="BH40" i="436" s="1"/>
  <c r="BH45" i="436" s="1"/>
  <c r="BH50" i="436" s="1"/>
  <c r="BF27" i="436"/>
  <c r="BE27" i="436"/>
  <c r="BF28" i="436" s="1"/>
  <c r="BD27" i="436"/>
  <c r="BC27" i="436"/>
  <c r="C27" i="436"/>
  <c r="B27" i="436"/>
  <c r="BH26" i="436"/>
  <c r="BH33" i="436" s="1"/>
  <c r="BH39" i="436" s="1"/>
  <c r="BH44" i="436" s="1"/>
  <c r="BF26" i="436"/>
  <c r="BE26" i="436"/>
  <c r="BD26" i="436"/>
  <c r="BC26" i="436"/>
  <c r="E26" i="436"/>
  <c r="E27" i="436" s="1"/>
  <c r="D26" i="436"/>
  <c r="D27" i="436" s="1"/>
  <c r="C26" i="436"/>
  <c r="B26" i="436"/>
  <c r="BH25" i="436"/>
  <c r="BH32" i="436" s="1"/>
  <c r="BH38" i="436" s="1"/>
  <c r="BC25" i="436"/>
  <c r="E25" i="436"/>
  <c r="D25" i="436"/>
  <c r="D23" i="436" s="1"/>
  <c r="C25" i="436"/>
  <c r="B25" i="436"/>
  <c r="BH24" i="436"/>
  <c r="BH31" i="436" s="1"/>
  <c r="BH23" i="436"/>
  <c r="BL7" i="436" s="1"/>
  <c r="BP13" i="436" s="1"/>
  <c r="BP17" i="436" s="1"/>
  <c r="BP21" i="436" s="1"/>
  <c r="BP27" i="436" s="1"/>
  <c r="BP34" i="436" s="1"/>
  <c r="BP42" i="436" s="1"/>
  <c r="B22" i="436"/>
  <c r="C22" i="436" s="1"/>
  <c r="BP20" i="436"/>
  <c r="BP26" i="436" s="1"/>
  <c r="BP33" i="436" s="1"/>
  <c r="BP41" i="436" s="1"/>
  <c r="B20" i="436"/>
  <c r="B21" i="436" s="1"/>
  <c r="Z19" i="436"/>
  <c r="P19" i="436"/>
  <c r="Q18" i="436"/>
  <c r="AA16" i="436"/>
  <c r="Q16" i="436"/>
  <c r="C16" i="436"/>
  <c r="B16" i="436"/>
  <c r="AA15" i="436"/>
  <c r="Q15" i="436"/>
  <c r="Z13" i="436"/>
  <c r="P13" i="436"/>
  <c r="BP12" i="436"/>
  <c r="BP16" i="436" s="1"/>
  <c r="BL12" i="436"/>
  <c r="BP47" i="436" s="1"/>
  <c r="AA12" i="436"/>
  <c r="Q12" i="436"/>
  <c r="BL11" i="436"/>
  <c r="BP38" i="436" s="1"/>
  <c r="BP46" i="436" s="1"/>
  <c r="Z11" i="436"/>
  <c r="P11" i="436"/>
  <c r="BL10" i="436"/>
  <c r="BP30" i="436" s="1"/>
  <c r="BP37" i="436" s="1"/>
  <c r="BP45" i="436" s="1"/>
  <c r="Z10" i="436"/>
  <c r="P10" i="436"/>
  <c r="BP9" i="436"/>
  <c r="BL9" i="436"/>
  <c r="BP23" i="436" s="1"/>
  <c r="BP29" i="436" s="1"/>
  <c r="BP36" i="436" s="1"/>
  <c r="BP44" i="436" s="1"/>
  <c r="Z9" i="436"/>
  <c r="P9" i="436"/>
  <c r="BL8" i="436"/>
  <c r="BP18" i="436" s="1"/>
  <c r="BP22" i="436" s="1"/>
  <c r="Z8" i="436"/>
  <c r="P8" i="436"/>
  <c r="AA7" i="436"/>
  <c r="Z7" i="436"/>
  <c r="Q7" i="436"/>
  <c r="P7" i="436"/>
  <c r="BP6" i="436"/>
  <c r="BP8" i="436" s="1"/>
  <c r="BP11" i="436" s="1"/>
  <c r="BP15" i="436" s="1"/>
  <c r="BP19" i="436" s="1"/>
  <c r="BP25" i="436" s="1"/>
  <c r="BP32" i="436" s="1"/>
  <c r="BP40" i="436" s="1"/>
  <c r="BL6" i="436"/>
  <c r="Z6" i="436"/>
  <c r="P6" i="436"/>
  <c r="BP5" i="436"/>
  <c r="BP7" i="436" s="1"/>
  <c r="BP10" i="436" s="1"/>
  <c r="BP14" i="436" s="1"/>
  <c r="BH49" i="436" s="1"/>
  <c r="BP24" i="436" s="1"/>
  <c r="BP31" i="436" s="1"/>
  <c r="BP39" i="436" s="1"/>
  <c r="BL14" i="436" s="1"/>
  <c r="Z5" i="436"/>
  <c r="P5" i="436"/>
  <c r="K3" i="436"/>
  <c r="K2" i="436"/>
  <c r="S2" i="436"/>
  <c r="S1" i="436"/>
  <c r="O5" i="435"/>
  <c r="R33" i="440" l="1"/>
  <c r="T13" i="440"/>
  <c r="T6" i="440"/>
  <c r="AD13" i="440"/>
  <c r="U13" i="440"/>
  <c r="AD16" i="440"/>
  <c r="AD17" i="440"/>
  <c r="AD12" i="440"/>
  <c r="AE13" i="440"/>
  <c r="AD10" i="440"/>
  <c r="U17" i="440"/>
  <c r="T17" i="440"/>
  <c r="T14" i="440"/>
  <c r="U15" i="440"/>
  <c r="U14" i="440"/>
  <c r="T19" i="440"/>
  <c r="AE6" i="440"/>
  <c r="AE7" i="440"/>
  <c r="AD7" i="440"/>
  <c r="AC20" i="440"/>
  <c r="L39" i="440" s="1"/>
  <c r="AE8" i="440"/>
  <c r="AE12" i="440"/>
  <c r="AE18" i="440"/>
  <c r="AD19" i="440"/>
  <c r="AE9" i="440"/>
  <c r="AD14" i="440"/>
  <c r="AD15" i="440"/>
  <c r="AE14" i="440"/>
  <c r="AE10" i="440"/>
  <c r="AD11" i="440"/>
  <c r="U18" i="440"/>
  <c r="AE11" i="440"/>
  <c r="U5" i="440"/>
  <c r="T8" i="440"/>
  <c r="T16" i="440"/>
  <c r="T15" i="440"/>
  <c r="S20" i="440"/>
  <c r="AE5" i="440"/>
  <c r="AD18" i="440"/>
  <c r="AD8" i="440"/>
  <c r="AD6" i="440"/>
  <c r="AD9" i="440"/>
  <c r="T7" i="440"/>
  <c r="U16" i="440"/>
  <c r="AE17" i="440"/>
  <c r="U10" i="440"/>
  <c r="T11" i="440"/>
  <c r="T5" i="440"/>
  <c r="T10" i="440"/>
  <c r="T9" i="440"/>
  <c r="T12" i="440"/>
  <c r="T18" i="440"/>
  <c r="AE16" i="440"/>
  <c r="AE15" i="440"/>
  <c r="AD5" i="440"/>
  <c r="R47" i="440"/>
  <c r="R49" i="440"/>
  <c r="R48" i="440"/>
  <c r="R46" i="440"/>
  <c r="R45" i="440"/>
  <c r="L25" i="440"/>
  <c r="R34" i="440"/>
  <c r="U11" i="440"/>
  <c r="U9" i="440"/>
  <c r="U8" i="440"/>
  <c r="P26" i="440"/>
  <c r="R31" i="440" s="1"/>
  <c r="N37" i="440"/>
  <c r="P39" i="440"/>
  <c r="R44" i="440" s="1"/>
  <c r="N23" i="440"/>
  <c r="P25" i="440"/>
  <c r="R32" i="440"/>
  <c r="U12" i="440"/>
  <c r="U6" i="440"/>
  <c r="U7" i="440"/>
  <c r="Y17" i="436"/>
  <c r="O13" i="436"/>
  <c r="Y9" i="436"/>
  <c r="Y5" i="436"/>
  <c r="O6" i="436"/>
  <c r="Y6" i="436"/>
  <c r="O8" i="436"/>
  <c r="Y11" i="436"/>
  <c r="Y10" i="436"/>
  <c r="Y8" i="436"/>
  <c r="Y13" i="436"/>
  <c r="O9" i="436"/>
  <c r="O17" i="436"/>
  <c r="B31" i="436"/>
  <c r="W25" i="436" s="1"/>
  <c r="E23" i="436"/>
  <c r="AA18" i="436"/>
  <c r="G2" i="436"/>
  <c r="G3" i="436"/>
  <c r="B23" i="436"/>
  <c r="T43" i="436" s="1"/>
  <c r="C31" i="436"/>
  <c r="W39" i="436" s="1"/>
  <c r="R5" i="435"/>
  <c r="T20" i="440" l="1"/>
  <c r="AD20" i="440"/>
  <c r="AE20" i="440"/>
  <c r="L41" i="440" s="1"/>
  <c r="U20" i="440"/>
  <c r="L27" i="440" s="1"/>
  <c r="R29" i="440"/>
  <c r="R28" i="440"/>
  <c r="R25" i="440"/>
  <c r="R30" i="440"/>
  <c r="P23" i="440"/>
  <c r="R27" i="440"/>
  <c r="R26" i="440"/>
  <c r="R41" i="440"/>
  <c r="R39" i="440"/>
  <c r="P37" i="440"/>
  <c r="R43" i="440"/>
  <c r="R40" i="440"/>
  <c r="V40" i="440" s="1"/>
  <c r="R42" i="440"/>
  <c r="O10" i="436"/>
  <c r="Q10" i="436" s="1"/>
  <c r="R10" i="436" s="1"/>
  <c r="O11" i="436"/>
  <c r="Q11" i="436" s="1"/>
  <c r="R11" i="436" s="1"/>
  <c r="O5" i="436"/>
  <c r="Q5" i="436" s="1"/>
  <c r="R5" i="436" s="1"/>
  <c r="Y19" i="436"/>
  <c r="AA19" i="436" s="1"/>
  <c r="AB19" i="436" s="1"/>
  <c r="O19" i="436"/>
  <c r="Q19" i="436" s="1"/>
  <c r="R19" i="436" s="1"/>
  <c r="Y14" i="436"/>
  <c r="AA14" i="436" s="1"/>
  <c r="AB14" i="436" s="1"/>
  <c r="O14" i="436"/>
  <c r="Q14" i="436" s="1"/>
  <c r="R14" i="436" s="1"/>
  <c r="T39" i="436"/>
  <c r="T41" i="436"/>
  <c r="T46" i="436"/>
  <c r="T48" i="436"/>
  <c r="T45" i="436"/>
  <c r="T49" i="436"/>
  <c r="T42" i="436"/>
  <c r="AA10" i="436"/>
  <c r="AB10" i="436" s="1"/>
  <c r="Q13" i="436"/>
  <c r="R13" i="436" s="1"/>
  <c r="AA13" i="436"/>
  <c r="AB13" i="436" s="1"/>
  <c r="AA11" i="436"/>
  <c r="AB11" i="436" s="1"/>
  <c r="Q8" i="436"/>
  <c r="R8" i="436" s="1"/>
  <c r="AA8" i="436"/>
  <c r="AB8" i="436" s="1"/>
  <c r="AA6" i="436"/>
  <c r="AB6" i="436" s="1"/>
  <c r="Q6" i="436"/>
  <c r="R6" i="436" s="1"/>
  <c r="AA5" i="436"/>
  <c r="AB5" i="436" s="1"/>
  <c r="Q17" i="436"/>
  <c r="R17" i="436" s="1"/>
  <c r="AA17" i="436"/>
  <c r="AB17" i="436" s="1"/>
  <c r="Q9" i="436"/>
  <c r="R9" i="436" s="1"/>
  <c r="AA9" i="436"/>
  <c r="AB9" i="436" s="1"/>
  <c r="R16" i="436"/>
  <c r="AB15" i="436"/>
  <c r="R12" i="436"/>
  <c r="R7" i="436"/>
  <c r="AB16" i="436"/>
  <c r="R15" i="436"/>
  <c r="R18" i="436"/>
  <c r="AB7" i="436"/>
  <c r="AB18" i="436"/>
  <c r="AB12" i="436"/>
  <c r="B34" i="436"/>
  <c r="T47" i="436"/>
  <c r="T44" i="436"/>
  <c r="T40" i="436"/>
  <c r="B24" i="436"/>
  <c r="C23" i="436"/>
  <c r="Z14" i="435"/>
  <c r="P14" i="435"/>
  <c r="Y14" i="435"/>
  <c r="O14" i="435"/>
  <c r="Y11" i="435"/>
  <c r="O11" i="435"/>
  <c r="Y10" i="435"/>
  <c r="O10" i="435"/>
  <c r="Y9" i="435"/>
  <c r="O9" i="435"/>
  <c r="Y8" i="435"/>
  <c r="O8" i="435"/>
  <c r="Y6" i="435"/>
  <c r="O6" i="435"/>
  <c r="Y5" i="435"/>
  <c r="Z9" i="435"/>
  <c r="P9" i="435"/>
  <c r="Z7" i="435"/>
  <c r="P7" i="435"/>
  <c r="V1" i="435"/>
  <c r="AE2" i="435"/>
  <c r="U2" i="435"/>
  <c r="V27" i="440" l="1"/>
  <c r="AC27" i="440" s="1"/>
  <c r="V41" i="440"/>
  <c r="AC39" i="440" s="1"/>
  <c r="L40" i="440"/>
  <c r="AF20" i="440"/>
  <c r="L42" i="440" s="1"/>
  <c r="V26" i="440"/>
  <c r="AA25" i="440" s="1"/>
  <c r="L26" i="440"/>
  <c r="V20" i="440"/>
  <c r="L28" i="440" s="1"/>
  <c r="V25" i="440"/>
  <c r="R23" i="440"/>
  <c r="V34" i="440"/>
  <c r="V30" i="440"/>
  <c r="V31" i="440"/>
  <c r="V29" i="440"/>
  <c r="V33" i="440"/>
  <c r="V32" i="440"/>
  <c r="AC40" i="440"/>
  <c r="AC41" i="440"/>
  <c r="AC26" i="440"/>
  <c r="V28" i="440"/>
  <c r="AA39" i="440"/>
  <c r="AA40" i="440"/>
  <c r="V42" i="440"/>
  <c r="R37" i="440"/>
  <c r="V39" i="440"/>
  <c r="V43" i="440"/>
  <c r="V44" i="440"/>
  <c r="V47" i="440"/>
  <c r="V45" i="440"/>
  <c r="V46" i="440"/>
  <c r="V48" i="440"/>
  <c r="T37" i="436"/>
  <c r="S18" i="436"/>
  <c r="AC15" i="436"/>
  <c r="S5" i="436"/>
  <c r="AC12" i="436"/>
  <c r="AC7" i="436"/>
  <c r="AC14" i="436"/>
  <c r="S11" i="436"/>
  <c r="S7" i="436"/>
  <c r="AC13" i="436"/>
  <c r="AC17" i="436"/>
  <c r="S6" i="436"/>
  <c r="S12" i="436"/>
  <c r="C34" i="436"/>
  <c r="T27" i="436"/>
  <c r="T32" i="436"/>
  <c r="T26" i="436"/>
  <c r="C24" i="436"/>
  <c r="T28" i="436"/>
  <c r="T25" i="436"/>
  <c r="T29" i="436"/>
  <c r="T34" i="436"/>
  <c r="T33" i="436"/>
  <c r="T30" i="436"/>
  <c r="T35" i="436"/>
  <c r="T31" i="436"/>
  <c r="N30" i="436"/>
  <c r="P30" i="436" s="1"/>
  <c r="R35" i="436" s="1"/>
  <c r="N26" i="436"/>
  <c r="N28" i="436"/>
  <c r="P28" i="436" s="1"/>
  <c r="N25" i="436"/>
  <c r="N29" i="436"/>
  <c r="P29" i="436" s="1"/>
  <c r="R34" i="436" s="1"/>
  <c r="N27" i="436"/>
  <c r="P27" i="436" s="1"/>
  <c r="AC6" i="436"/>
  <c r="S13" i="436"/>
  <c r="S8" i="436"/>
  <c r="S17" i="436"/>
  <c r="S15" i="436"/>
  <c r="AC9" i="436"/>
  <c r="S14" i="436"/>
  <c r="S19" i="436"/>
  <c r="S9" i="436"/>
  <c r="AC10" i="436"/>
  <c r="AC8" i="436"/>
  <c r="AC18" i="436"/>
  <c r="AC11" i="436"/>
  <c r="AC5" i="436"/>
  <c r="AC16" i="436"/>
  <c r="S10" i="436"/>
  <c r="AC19" i="436"/>
  <c r="S16" i="436"/>
  <c r="O10" i="285"/>
  <c r="Y10" i="285"/>
  <c r="Y19" i="285"/>
  <c r="Y17" i="285"/>
  <c r="Y16" i="285"/>
  <c r="Y14" i="285"/>
  <c r="Y11" i="285"/>
  <c r="Y9" i="285"/>
  <c r="Y8" i="285"/>
  <c r="Y6" i="285"/>
  <c r="Y5" i="285"/>
  <c r="O19" i="285"/>
  <c r="O17" i="285"/>
  <c r="O16" i="285"/>
  <c r="O14" i="285"/>
  <c r="O11" i="285"/>
  <c r="O9" i="285"/>
  <c r="O8" i="285"/>
  <c r="O6" i="285"/>
  <c r="O5" i="285"/>
  <c r="AC25" i="440" l="1"/>
  <c r="AC23" i="440" s="1"/>
  <c r="AC37" i="440"/>
  <c r="L37" i="440"/>
  <c r="AA37" i="440"/>
  <c r="AA26" i="440"/>
  <c r="AA23" i="440" s="1"/>
  <c r="L23" i="440"/>
  <c r="AG42" i="440"/>
  <c r="AG40" i="440"/>
  <c r="AG41" i="440"/>
  <c r="AG39" i="440"/>
  <c r="AG43" i="440"/>
  <c r="AO47" i="440"/>
  <c r="AO46" i="440"/>
  <c r="AO40" i="440"/>
  <c r="AO39" i="440"/>
  <c r="AO44" i="440"/>
  <c r="AO42" i="440"/>
  <c r="AO41" i="440"/>
  <c r="AO45" i="440"/>
  <c r="AO43" i="440"/>
  <c r="Y39" i="440"/>
  <c r="V37" i="440"/>
  <c r="V49" i="440" s="1"/>
  <c r="V36" i="440" s="1"/>
  <c r="AM29" i="440"/>
  <c r="AM26" i="440"/>
  <c r="AM27" i="440"/>
  <c r="AM25" i="440"/>
  <c r="AM31" i="440"/>
  <c r="AM32" i="440"/>
  <c r="AM30" i="440"/>
  <c r="AM28" i="440"/>
  <c r="V23" i="440"/>
  <c r="V35" i="440" s="1"/>
  <c r="V22" i="440" s="1"/>
  <c r="Y25" i="440"/>
  <c r="AK44" i="440"/>
  <c r="AK42" i="440"/>
  <c r="AK43" i="440"/>
  <c r="AK45" i="440"/>
  <c r="AK41" i="440"/>
  <c r="AK39" i="440"/>
  <c r="AK40" i="440"/>
  <c r="AQ47" i="440"/>
  <c r="AQ41" i="440"/>
  <c r="AQ45" i="440"/>
  <c r="AQ42" i="440"/>
  <c r="AQ40" i="440"/>
  <c r="AQ39" i="440"/>
  <c r="AQ46" i="440"/>
  <c r="AQ43" i="440"/>
  <c r="AQ48" i="440"/>
  <c r="AQ44" i="440"/>
  <c r="AE27" i="440"/>
  <c r="AE28" i="440"/>
  <c r="AE26" i="440"/>
  <c r="AE25" i="440"/>
  <c r="AO30" i="440"/>
  <c r="AO31" i="440"/>
  <c r="AO25" i="440"/>
  <c r="AO28" i="440"/>
  <c r="AO26" i="440"/>
  <c r="AO32" i="440"/>
  <c r="AO29" i="440"/>
  <c r="AO33" i="440"/>
  <c r="AO27" i="440"/>
  <c r="AI28" i="440"/>
  <c r="AI29" i="440"/>
  <c r="AI30" i="440"/>
  <c r="AI27" i="440"/>
  <c r="AI26" i="440"/>
  <c r="AI25" i="440"/>
  <c r="AK31" i="440"/>
  <c r="AK26" i="440"/>
  <c r="AK27" i="440"/>
  <c r="AK30" i="440"/>
  <c r="AK29" i="440"/>
  <c r="AK25" i="440"/>
  <c r="AK28" i="440"/>
  <c r="AM44" i="440"/>
  <c r="AM41" i="440"/>
  <c r="AM46" i="440"/>
  <c r="AM43" i="440"/>
  <c r="AM45" i="440"/>
  <c r="AM39" i="440"/>
  <c r="AM42" i="440"/>
  <c r="AM40" i="440"/>
  <c r="AI44" i="440"/>
  <c r="AI40" i="440"/>
  <c r="AI39" i="440"/>
  <c r="AI41" i="440"/>
  <c r="AI43" i="440"/>
  <c r="AI42" i="440"/>
  <c r="AE42" i="440"/>
  <c r="AE39" i="440"/>
  <c r="AE40" i="440"/>
  <c r="AE41" i="440"/>
  <c r="AG29" i="440"/>
  <c r="AG27" i="440"/>
  <c r="AG25" i="440"/>
  <c r="AG26" i="440"/>
  <c r="AG28" i="440"/>
  <c r="AQ30" i="440"/>
  <c r="AQ33" i="440"/>
  <c r="AQ27" i="440"/>
  <c r="AQ34" i="440"/>
  <c r="AQ26" i="440"/>
  <c r="AQ32" i="440"/>
  <c r="AQ25" i="440"/>
  <c r="AQ31" i="440"/>
  <c r="AQ28" i="440"/>
  <c r="AQ29" i="440"/>
  <c r="AD19" i="436"/>
  <c r="U10" i="436"/>
  <c r="AE5" i="436"/>
  <c r="U7" i="436"/>
  <c r="U9" i="436"/>
  <c r="AD11" i="436"/>
  <c r="AE15" i="436"/>
  <c r="T7" i="436"/>
  <c r="U5" i="436"/>
  <c r="AE10" i="436"/>
  <c r="U13" i="436"/>
  <c r="T6" i="436"/>
  <c r="U11" i="436"/>
  <c r="U16" i="436"/>
  <c r="T17" i="436"/>
  <c r="AE7" i="436"/>
  <c r="U12" i="436"/>
  <c r="AE12" i="436"/>
  <c r="AD16" i="436"/>
  <c r="AC20" i="436"/>
  <c r="L39" i="436" s="1"/>
  <c r="AD8" i="436"/>
  <c r="T19" i="436"/>
  <c r="T14" i="436"/>
  <c r="T15" i="436"/>
  <c r="U17" i="436"/>
  <c r="T8" i="436"/>
  <c r="AD13" i="436"/>
  <c r="AD14" i="436"/>
  <c r="AD15" i="436"/>
  <c r="T16" i="436"/>
  <c r="T10" i="436"/>
  <c r="AE16" i="436"/>
  <c r="AE11" i="436"/>
  <c r="AD18" i="436"/>
  <c r="AE8" i="436"/>
  <c r="AD9" i="436"/>
  <c r="AD6" i="436"/>
  <c r="P25" i="436"/>
  <c r="N23" i="436"/>
  <c r="N43" i="436"/>
  <c r="P43" i="436" s="1"/>
  <c r="N41" i="436"/>
  <c r="P41" i="436" s="1"/>
  <c r="N44" i="436"/>
  <c r="P44" i="436" s="1"/>
  <c r="N40" i="436"/>
  <c r="P40" i="436" s="1"/>
  <c r="N42" i="436"/>
  <c r="P42" i="436" s="1"/>
  <c r="N39" i="436"/>
  <c r="U6" i="436"/>
  <c r="AE17" i="436"/>
  <c r="AE13" i="436"/>
  <c r="T11" i="436"/>
  <c r="AE14" i="436"/>
  <c r="AD7" i="436"/>
  <c r="T18" i="436"/>
  <c r="AD5" i="436"/>
  <c r="AE18" i="436"/>
  <c r="AD10" i="436"/>
  <c r="T9" i="436"/>
  <c r="U15" i="436"/>
  <c r="U8" i="436"/>
  <c r="T13" i="436"/>
  <c r="AE6" i="436"/>
  <c r="R33" i="436"/>
  <c r="AD17" i="436"/>
  <c r="T5" i="436"/>
  <c r="U18" i="436"/>
  <c r="U14" i="436"/>
  <c r="AE9" i="436"/>
  <c r="R32" i="436"/>
  <c r="P26" i="436"/>
  <c r="R31" i="436" s="1"/>
  <c r="T23" i="436"/>
  <c r="T12" i="436"/>
  <c r="AD12" i="436"/>
  <c r="S20" i="436"/>
  <c r="L25" i="436" s="1"/>
  <c r="Y19" i="435"/>
  <c r="Y18" i="435"/>
  <c r="Y17" i="435"/>
  <c r="Y13" i="435"/>
  <c r="O13" i="435"/>
  <c r="O19" i="435"/>
  <c r="O18" i="435"/>
  <c r="O17" i="435"/>
  <c r="P13" i="285"/>
  <c r="Z13" i="285"/>
  <c r="P13" i="435"/>
  <c r="AI37" i="440" l="1"/>
  <c r="AK37" i="440"/>
  <c r="AO37" i="440"/>
  <c r="AM37" i="440"/>
  <c r="AQ37" i="440"/>
  <c r="AG37" i="440"/>
  <c r="AG23" i="440"/>
  <c r="AE37" i="440"/>
  <c r="AI23" i="440"/>
  <c r="AO23" i="440"/>
  <c r="AK23" i="440"/>
  <c r="AQ23" i="440"/>
  <c r="AE23" i="440"/>
  <c r="AM23" i="440"/>
  <c r="AS30" i="440"/>
  <c r="AS25" i="440"/>
  <c r="J25" i="440" s="1"/>
  <c r="AS33" i="440"/>
  <c r="J33" i="440" s="1"/>
  <c r="AS29" i="440"/>
  <c r="J29" i="440" s="1"/>
  <c r="AS34" i="440"/>
  <c r="J34" i="440" s="1"/>
  <c r="AS32" i="440"/>
  <c r="J32" i="440" s="1"/>
  <c r="AS35" i="440"/>
  <c r="J35" i="440" s="1"/>
  <c r="AS31" i="440"/>
  <c r="J31" i="440" s="1"/>
  <c r="AS28" i="440"/>
  <c r="J28" i="440" s="1"/>
  <c r="AS26" i="440"/>
  <c r="J26" i="440" s="1"/>
  <c r="AS27" i="440"/>
  <c r="J27" i="440" s="1"/>
  <c r="Y37" i="440"/>
  <c r="J30" i="440"/>
  <c r="Y23" i="440"/>
  <c r="AS42" i="440"/>
  <c r="J42" i="440" s="1"/>
  <c r="AS45" i="440"/>
  <c r="J45" i="440" s="1"/>
  <c r="AS49" i="440"/>
  <c r="J49" i="440" s="1"/>
  <c r="AS44" i="440"/>
  <c r="J44" i="440" s="1"/>
  <c r="AS39" i="440"/>
  <c r="AS48" i="440"/>
  <c r="J48" i="440" s="1"/>
  <c r="AS46" i="440"/>
  <c r="J46" i="440" s="1"/>
  <c r="AS43" i="440"/>
  <c r="J43" i="440" s="1"/>
  <c r="AS47" i="440"/>
  <c r="J47" i="440" s="1"/>
  <c r="AS41" i="440"/>
  <c r="J41" i="440" s="1"/>
  <c r="AS40" i="440"/>
  <c r="J40" i="440" s="1"/>
  <c r="AE20" i="436"/>
  <c r="L41" i="436" s="1"/>
  <c r="T20" i="436"/>
  <c r="L26" i="436" s="1"/>
  <c r="U20" i="436"/>
  <c r="L27" i="436" s="1"/>
  <c r="AD20" i="436"/>
  <c r="L40" i="436" s="1"/>
  <c r="P39" i="436"/>
  <c r="R40" i="436" s="1"/>
  <c r="N37" i="436"/>
  <c r="R28" i="436"/>
  <c r="R25" i="436"/>
  <c r="R29" i="436"/>
  <c r="R27" i="436"/>
  <c r="P23" i="436"/>
  <c r="R30" i="436"/>
  <c r="R26" i="436"/>
  <c r="R47" i="436"/>
  <c r="R44" i="436"/>
  <c r="R49" i="436"/>
  <c r="R46" i="436"/>
  <c r="R45" i="436"/>
  <c r="R48" i="436"/>
  <c r="Z13" i="435"/>
  <c r="AS37" i="440" l="1"/>
  <c r="AS23" i="440"/>
  <c r="AS22" i="440" s="1"/>
  <c r="H46" i="440"/>
  <c r="H33" i="440"/>
  <c r="H27" i="440"/>
  <c r="H45" i="440"/>
  <c r="H26" i="440"/>
  <c r="H28" i="440"/>
  <c r="H48" i="440"/>
  <c r="H43" i="440"/>
  <c r="H44" i="440"/>
  <c r="H47" i="440"/>
  <c r="H49" i="440"/>
  <c r="J23" i="440"/>
  <c r="H25" i="440"/>
  <c r="H34" i="440"/>
  <c r="H31" i="440"/>
  <c r="H30" i="440"/>
  <c r="AS36" i="440"/>
  <c r="H35" i="440"/>
  <c r="H32" i="440"/>
  <c r="H29" i="440"/>
  <c r="J39" i="440"/>
  <c r="H42" i="440" s="1"/>
  <c r="V26" i="436"/>
  <c r="AA25" i="436" s="1"/>
  <c r="R43" i="436"/>
  <c r="V20" i="436"/>
  <c r="L28" i="436" s="1"/>
  <c r="AF20" i="436"/>
  <c r="L42" i="436" s="1"/>
  <c r="R42" i="436"/>
  <c r="R23" i="436"/>
  <c r="V25" i="436"/>
  <c r="V31" i="436"/>
  <c r="V33" i="436"/>
  <c r="V34" i="436"/>
  <c r="V29" i="436"/>
  <c r="V30" i="436"/>
  <c r="V32" i="436"/>
  <c r="R41" i="436"/>
  <c r="V28" i="436"/>
  <c r="V27" i="436"/>
  <c r="R39" i="436"/>
  <c r="P37" i="436"/>
  <c r="Q9" i="435"/>
  <c r="BF48" i="435"/>
  <c r="BF47" i="435"/>
  <c r="BF46" i="435"/>
  <c r="BE45" i="435"/>
  <c r="BE44" i="435"/>
  <c r="BF45" i="435" s="1"/>
  <c r="BD44" i="435"/>
  <c r="BE43" i="435"/>
  <c r="BF44" i="435" s="1"/>
  <c r="BD43" i="435"/>
  <c r="BC43" i="435"/>
  <c r="BH42" i="435"/>
  <c r="BH47" i="435" s="1"/>
  <c r="BH52" i="435" s="1"/>
  <c r="BH55" i="435" s="1"/>
  <c r="BH57" i="435" s="1"/>
  <c r="BL13" i="435" s="1"/>
  <c r="BF42" i="435"/>
  <c r="BE42" i="435"/>
  <c r="BF43" i="435" s="1"/>
  <c r="BD42" i="435"/>
  <c r="BC42" i="435"/>
  <c r="BF41" i="435"/>
  <c r="BE41" i="435"/>
  <c r="BD41" i="435"/>
  <c r="BC41" i="435"/>
  <c r="BF40" i="435"/>
  <c r="BE40" i="435"/>
  <c r="BD40" i="435"/>
  <c r="BC40" i="435"/>
  <c r="BC39" i="435"/>
  <c r="AS38" i="435"/>
  <c r="AR38" i="435"/>
  <c r="AQ38" i="435"/>
  <c r="AP38" i="435"/>
  <c r="AO38" i="435"/>
  <c r="AN38" i="435"/>
  <c r="AM38" i="435"/>
  <c r="AL38" i="435"/>
  <c r="AK38" i="435"/>
  <c r="AJ38" i="435"/>
  <c r="AI38" i="435"/>
  <c r="AH38" i="435"/>
  <c r="AG38" i="435"/>
  <c r="AF38" i="435"/>
  <c r="AE38" i="435"/>
  <c r="AD38" i="435"/>
  <c r="AC38" i="435"/>
  <c r="AB38" i="435"/>
  <c r="AA38" i="435"/>
  <c r="Z38" i="435"/>
  <c r="Y38" i="435"/>
  <c r="X38" i="435"/>
  <c r="W38" i="435"/>
  <c r="V38" i="435"/>
  <c r="U38" i="435"/>
  <c r="T38" i="435"/>
  <c r="S38" i="435"/>
  <c r="R38" i="435"/>
  <c r="Q38" i="435"/>
  <c r="P38" i="435"/>
  <c r="O38" i="435"/>
  <c r="N38" i="435"/>
  <c r="M38" i="435"/>
  <c r="L38" i="435"/>
  <c r="K38" i="435"/>
  <c r="J38" i="435"/>
  <c r="I38" i="435"/>
  <c r="H38" i="435"/>
  <c r="G38" i="435"/>
  <c r="BH36" i="435"/>
  <c r="BF34" i="435"/>
  <c r="BF33" i="435"/>
  <c r="C33" i="435"/>
  <c r="B33" i="435"/>
  <c r="C32" i="435"/>
  <c r="B32" i="435"/>
  <c r="BE31" i="435"/>
  <c r="BH30" i="435"/>
  <c r="BH37" i="435" s="1"/>
  <c r="BH43" i="435" s="1"/>
  <c r="BH48" i="435" s="1"/>
  <c r="BH53" i="435" s="1"/>
  <c r="BH56" i="435" s="1"/>
  <c r="BH58" i="435" s="1"/>
  <c r="BH59" i="435" s="1"/>
  <c r="BE30" i="435"/>
  <c r="BD30" i="435"/>
  <c r="E30" i="435"/>
  <c r="D30" i="435"/>
  <c r="BH29" i="435"/>
  <c r="BE29" i="435"/>
  <c r="BF30" i="435" s="1"/>
  <c r="BD29" i="435"/>
  <c r="BC29" i="435"/>
  <c r="C29" i="435"/>
  <c r="B29" i="435"/>
  <c r="BH28" i="435"/>
  <c r="BH35" i="435" s="1"/>
  <c r="BH41" i="435" s="1"/>
  <c r="BH46" i="435" s="1"/>
  <c r="BH51" i="435" s="1"/>
  <c r="BH54" i="435" s="1"/>
  <c r="BE28" i="435"/>
  <c r="BD28" i="435"/>
  <c r="BC28" i="435"/>
  <c r="BH27" i="435"/>
  <c r="BH34" i="435" s="1"/>
  <c r="BH40" i="435" s="1"/>
  <c r="BH45" i="435" s="1"/>
  <c r="BH50" i="435" s="1"/>
  <c r="BF27" i="435"/>
  <c r="BE27" i="435"/>
  <c r="BF28" i="435" s="1"/>
  <c r="BD27" i="435"/>
  <c r="BC27" i="435"/>
  <c r="C27" i="435"/>
  <c r="B27" i="435"/>
  <c r="BH26" i="435"/>
  <c r="BH33" i="435" s="1"/>
  <c r="BH39" i="435" s="1"/>
  <c r="BH44" i="435" s="1"/>
  <c r="BF26" i="435"/>
  <c r="BE26" i="435"/>
  <c r="BD26" i="435"/>
  <c r="BC26" i="435"/>
  <c r="E26" i="435"/>
  <c r="E27" i="435" s="1"/>
  <c r="D26" i="435"/>
  <c r="D27" i="435" s="1"/>
  <c r="C26" i="435"/>
  <c r="B26" i="435"/>
  <c r="BH25" i="435"/>
  <c r="BH32" i="435" s="1"/>
  <c r="BH38" i="435" s="1"/>
  <c r="BC25" i="435"/>
  <c r="E25" i="435"/>
  <c r="D25" i="435"/>
  <c r="C25" i="435"/>
  <c r="B25" i="435"/>
  <c r="BH24" i="435"/>
  <c r="BH31" i="435" s="1"/>
  <c r="BH23" i="435"/>
  <c r="B22" i="435"/>
  <c r="C22" i="435" s="1"/>
  <c r="B20" i="435"/>
  <c r="B21" i="435" s="1"/>
  <c r="Z19" i="435"/>
  <c r="AA19" i="435"/>
  <c r="P19" i="435"/>
  <c r="Q19" i="435" s="1"/>
  <c r="AA18" i="435"/>
  <c r="Q18" i="435"/>
  <c r="Z17" i="435"/>
  <c r="AA17" i="435"/>
  <c r="P17" i="435"/>
  <c r="AA16" i="435"/>
  <c r="Q16" i="435"/>
  <c r="C16" i="435"/>
  <c r="B16" i="435"/>
  <c r="AA15" i="435"/>
  <c r="Q15" i="435"/>
  <c r="AA14" i="435"/>
  <c r="Q14" i="435"/>
  <c r="AA13" i="435"/>
  <c r="Q13" i="435"/>
  <c r="BL12" i="435"/>
  <c r="BP47" i="435" s="1"/>
  <c r="AA12" i="435"/>
  <c r="Q12" i="435"/>
  <c r="BL11" i="435"/>
  <c r="BP38" i="435" s="1"/>
  <c r="BP46" i="435" s="1"/>
  <c r="Z11" i="435"/>
  <c r="AA11" i="435"/>
  <c r="P11" i="435"/>
  <c r="Q11" i="435" s="1"/>
  <c r="BL10" i="435"/>
  <c r="BP30" i="435" s="1"/>
  <c r="BP37" i="435" s="1"/>
  <c r="BP45" i="435" s="1"/>
  <c r="AA10" i="435"/>
  <c r="Z10" i="435"/>
  <c r="P10" i="435"/>
  <c r="Q10" i="435" s="1"/>
  <c r="BP9" i="435"/>
  <c r="BP12" i="435" s="1"/>
  <c r="BP16" i="435" s="1"/>
  <c r="BP20" i="435" s="1"/>
  <c r="BP26" i="435" s="1"/>
  <c r="BP33" i="435" s="1"/>
  <c r="BP41" i="435" s="1"/>
  <c r="BL9" i="435"/>
  <c r="BP23" i="435" s="1"/>
  <c r="BP29" i="435" s="1"/>
  <c r="BP36" i="435" s="1"/>
  <c r="BP44" i="435" s="1"/>
  <c r="AA9" i="435"/>
  <c r="BP8" i="435"/>
  <c r="BP11" i="435" s="1"/>
  <c r="BP15" i="435" s="1"/>
  <c r="BP19" i="435" s="1"/>
  <c r="BP25" i="435" s="1"/>
  <c r="BP32" i="435" s="1"/>
  <c r="BP40" i="435" s="1"/>
  <c r="BL8" i="435"/>
  <c r="BP18" i="435" s="1"/>
  <c r="BP22" i="435" s="1"/>
  <c r="BP28" i="435" s="1"/>
  <c r="BP35" i="435" s="1"/>
  <c r="BP43" i="435" s="1"/>
  <c r="Z8" i="435"/>
  <c r="AA8" i="435"/>
  <c r="P8" i="435"/>
  <c r="Q8" i="435" s="1"/>
  <c r="BP7" i="435"/>
  <c r="BP10" i="435" s="1"/>
  <c r="BP14" i="435" s="1"/>
  <c r="BH49" i="435" s="1"/>
  <c r="BP24" i="435" s="1"/>
  <c r="BP31" i="435" s="1"/>
  <c r="BP39" i="435" s="1"/>
  <c r="BL14" i="435" s="1"/>
  <c r="BL7" i="435"/>
  <c r="BP13" i="435" s="1"/>
  <c r="BP17" i="435" s="1"/>
  <c r="BP21" i="435" s="1"/>
  <c r="BP27" i="435" s="1"/>
  <c r="BP34" i="435" s="1"/>
  <c r="BP42" i="435" s="1"/>
  <c r="AA7" i="435"/>
  <c r="Q7" i="435"/>
  <c r="BP6" i="435"/>
  <c r="BL6" i="435"/>
  <c r="Z6" i="435"/>
  <c r="P6" i="435"/>
  <c r="Q6" i="435" s="1"/>
  <c r="BP5" i="435"/>
  <c r="Z5" i="435"/>
  <c r="AA5" i="435"/>
  <c r="P5" i="435"/>
  <c r="Q5" i="435" s="1"/>
  <c r="D3" i="435"/>
  <c r="S2" i="435"/>
  <c r="S1" i="435"/>
  <c r="BJ19" i="440" l="1"/>
  <c r="BJ22" i="440"/>
  <c r="BJ20" i="440"/>
  <c r="BJ16" i="440"/>
  <c r="BR38" i="440"/>
  <c r="BJ57" i="440"/>
  <c r="BR37" i="440"/>
  <c r="BR36" i="440"/>
  <c r="BJ27" i="440"/>
  <c r="BR35" i="440"/>
  <c r="BN14" i="440"/>
  <c r="BJ26" i="440"/>
  <c r="BJ18" i="440"/>
  <c r="BJ23" i="440"/>
  <c r="BR34" i="440"/>
  <c r="BJ15" i="440"/>
  <c r="BN12" i="440"/>
  <c r="BJ39" i="440"/>
  <c r="BJ42" i="440"/>
  <c r="BJ41" i="440"/>
  <c r="BJ40" i="440"/>
  <c r="BJ38" i="440"/>
  <c r="BN8" i="440"/>
  <c r="BJ43" i="440"/>
  <c r="BR13" i="440"/>
  <c r="BJ48" i="440"/>
  <c r="BJ47" i="440"/>
  <c r="BJ46" i="440"/>
  <c r="BJ45" i="440"/>
  <c r="BJ44" i="440"/>
  <c r="BR18" i="440"/>
  <c r="BN9" i="440"/>
  <c r="BR17" i="440"/>
  <c r="BJ30" i="440"/>
  <c r="BJ25" i="440"/>
  <c r="BJ17" i="440"/>
  <c r="BJ21" i="440"/>
  <c r="BJ58" i="440"/>
  <c r="BJ28" i="440"/>
  <c r="BJ55" i="440"/>
  <c r="BR30" i="440"/>
  <c r="BJ54" i="440"/>
  <c r="BJ56" i="440"/>
  <c r="BR29" i="440"/>
  <c r="BR27" i="440"/>
  <c r="BR28" i="440"/>
  <c r="BN11" i="440"/>
  <c r="BJ53" i="440"/>
  <c r="BJ51" i="440"/>
  <c r="BJ50" i="440"/>
  <c r="BR22" i="440"/>
  <c r="BR23" i="440"/>
  <c r="BJ52" i="440"/>
  <c r="BR21" i="440"/>
  <c r="BN10" i="440"/>
  <c r="BJ24" i="440"/>
  <c r="BJ29" i="440"/>
  <c r="J37" i="440"/>
  <c r="H39" i="440"/>
  <c r="BR24" i="440" s="1"/>
  <c r="H23" i="440"/>
  <c r="BJ10" i="440"/>
  <c r="BJ8" i="440"/>
  <c r="BJ11" i="440"/>
  <c r="BJ7" i="440"/>
  <c r="BJ13" i="440"/>
  <c r="BJ12" i="440"/>
  <c r="BJ6" i="440"/>
  <c r="BJ9" i="440"/>
  <c r="BJ59" i="440"/>
  <c r="BR45" i="440"/>
  <c r="BR44" i="440"/>
  <c r="BR43" i="440"/>
  <c r="BR46" i="440"/>
  <c r="BR47" i="440"/>
  <c r="BN13" i="440"/>
  <c r="BR42" i="440"/>
  <c r="H41" i="440"/>
  <c r="BR12" i="440" s="1"/>
  <c r="BJ32" i="440"/>
  <c r="BJ31" i="440"/>
  <c r="BJ35" i="440"/>
  <c r="BJ33" i="440"/>
  <c r="BJ37" i="440"/>
  <c r="BJ36" i="440"/>
  <c r="BJ34" i="440"/>
  <c r="BN7" i="440"/>
  <c r="H40" i="440"/>
  <c r="BR40" i="440" s="1"/>
  <c r="AA26" i="436"/>
  <c r="AA23" i="436"/>
  <c r="L23" i="436"/>
  <c r="R37" i="436"/>
  <c r="V39" i="436"/>
  <c r="V48" i="436"/>
  <c r="V45" i="436"/>
  <c r="V46" i="436"/>
  <c r="V43" i="436"/>
  <c r="V44" i="436"/>
  <c r="V47" i="436"/>
  <c r="AO33" i="436"/>
  <c r="AO29" i="436"/>
  <c r="AO25" i="436"/>
  <c r="AO32" i="436"/>
  <c r="AO27" i="436"/>
  <c r="AO26" i="436"/>
  <c r="AO28" i="436"/>
  <c r="AO30" i="436"/>
  <c r="AO31" i="436"/>
  <c r="AC27" i="436"/>
  <c r="AC25" i="436"/>
  <c r="AC26" i="436"/>
  <c r="AI29" i="436"/>
  <c r="AI25" i="436"/>
  <c r="AI28" i="436"/>
  <c r="AI30" i="436"/>
  <c r="AI27" i="436"/>
  <c r="AI26" i="436"/>
  <c r="AK27" i="436"/>
  <c r="AK29" i="436"/>
  <c r="AK25" i="436"/>
  <c r="AK26" i="436"/>
  <c r="AK31" i="436"/>
  <c r="AK28" i="436"/>
  <c r="AK30" i="436"/>
  <c r="V41" i="436"/>
  <c r="AG27" i="436"/>
  <c r="AG26" i="436"/>
  <c r="AG25" i="436"/>
  <c r="AG28" i="436"/>
  <c r="AG29" i="436"/>
  <c r="Y25" i="436"/>
  <c r="V23" i="436"/>
  <c r="V35" i="436" s="1"/>
  <c r="V22" i="436" s="1"/>
  <c r="V42" i="436"/>
  <c r="AE28" i="436"/>
  <c r="AE26" i="436"/>
  <c r="AE27" i="436"/>
  <c r="AE25" i="436"/>
  <c r="AM32" i="436"/>
  <c r="AM27" i="436"/>
  <c r="AM25" i="436"/>
  <c r="AM30" i="436"/>
  <c r="AM31" i="436"/>
  <c r="AM29" i="436"/>
  <c r="AM26" i="436"/>
  <c r="AM28" i="436"/>
  <c r="AQ34" i="436"/>
  <c r="AQ25" i="436"/>
  <c r="AQ26" i="436"/>
  <c r="AQ32" i="436"/>
  <c r="AQ27" i="436"/>
  <c r="AQ31" i="436"/>
  <c r="AQ33" i="436"/>
  <c r="AQ29" i="436"/>
  <c r="AQ28" i="436"/>
  <c r="AQ30" i="436"/>
  <c r="V40" i="436"/>
  <c r="E23" i="435"/>
  <c r="AA6" i="435"/>
  <c r="D23" i="435"/>
  <c r="Q17" i="435"/>
  <c r="B23" i="435"/>
  <c r="C23" i="435" s="1"/>
  <c r="K3" i="435"/>
  <c r="K1" i="435"/>
  <c r="G3" i="435"/>
  <c r="K2" i="435"/>
  <c r="G1" i="435"/>
  <c r="G2" i="435"/>
  <c r="B31" i="435"/>
  <c r="W25" i="435" s="1"/>
  <c r="C31" i="435"/>
  <c r="W39" i="435" s="1"/>
  <c r="BF29" i="435"/>
  <c r="BF32" i="435"/>
  <c r="BF31" i="435"/>
  <c r="BR7" i="440" l="1"/>
  <c r="BR39" i="440"/>
  <c r="BR9" i="440"/>
  <c r="BR14" i="440"/>
  <c r="BN4" i="440"/>
  <c r="BR26" i="440"/>
  <c r="BR11" i="440"/>
  <c r="BR41" i="440"/>
  <c r="BR16" i="440"/>
  <c r="BR6" i="440"/>
  <c r="BR32" i="440"/>
  <c r="BN5" i="440"/>
  <c r="BR33" i="440"/>
  <c r="BJ14" i="440"/>
  <c r="BN6" i="440"/>
  <c r="BJ4" i="440"/>
  <c r="H37" i="440"/>
  <c r="BR31" i="440"/>
  <c r="BR4" i="440"/>
  <c r="BR5" i="440"/>
  <c r="BR20" i="440"/>
  <c r="BJ49" i="440"/>
  <c r="BR25" i="440"/>
  <c r="BR15" i="440"/>
  <c r="BR10" i="440"/>
  <c r="BR8" i="440"/>
  <c r="BJ5" i="440"/>
  <c r="BR19" i="440"/>
  <c r="AG23" i="436"/>
  <c r="AC23" i="436"/>
  <c r="L37" i="436"/>
  <c r="AA39" i="436"/>
  <c r="AA40" i="436"/>
  <c r="AM23" i="436"/>
  <c r="AC40" i="436"/>
  <c r="AC41" i="436"/>
  <c r="AC39" i="436"/>
  <c r="AI23" i="436"/>
  <c r="AI44" i="436"/>
  <c r="AI40" i="436"/>
  <c r="AI41" i="436"/>
  <c r="AI43" i="436"/>
  <c r="AI39" i="436"/>
  <c r="AI42" i="436"/>
  <c r="AK44" i="436"/>
  <c r="AK45" i="436"/>
  <c r="AK39" i="436"/>
  <c r="AK42" i="436"/>
  <c r="AK43" i="436"/>
  <c r="AK41" i="436"/>
  <c r="AK40" i="436"/>
  <c r="AS29" i="436"/>
  <c r="J29" i="436" s="1"/>
  <c r="AS30" i="436"/>
  <c r="AS25" i="436"/>
  <c r="AS26" i="436"/>
  <c r="J26" i="436" s="1"/>
  <c r="AS34" i="436"/>
  <c r="AS27" i="436"/>
  <c r="J27" i="436" s="1"/>
  <c r="AS33" i="436"/>
  <c r="AS28" i="436"/>
  <c r="J28" i="436" s="1"/>
  <c r="AS35" i="436"/>
  <c r="J35" i="436" s="1"/>
  <c r="AS32" i="436"/>
  <c r="AS31" i="436"/>
  <c r="AK23" i="436"/>
  <c r="J33" i="436"/>
  <c r="AG42" i="436"/>
  <c r="AG43" i="436"/>
  <c r="AG40" i="436"/>
  <c r="AG41" i="436"/>
  <c r="AG39" i="436"/>
  <c r="AQ47" i="436"/>
  <c r="AQ41" i="436"/>
  <c r="AQ43" i="436"/>
  <c r="AQ44" i="436"/>
  <c r="AQ39" i="436"/>
  <c r="AQ46" i="436"/>
  <c r="AQ45" i="436"/>
  <c r="AQ42" i="436"/>
  <c r="AQ48" i="436"/>
  <c r="AQ40" i="436"/>
  <c r="J34" i="436"/>
  <c r="J32" i="436"/>
  <c r="J25" i="436"/>
  <c r="Y23" i="436"/>
  <c r="J30" i="436"/>
  <c r="AM41" i="436"/>
  <c r="AM39" i="436"/>
  <c r="AM46" i="436"/>
  <c r="AM44" i="436"/>
  <c r="AM43" i="436"/>
  <c r="AM45" i="436"/>
  <c r="AM42" i="436"/>
  <c r="AM40" i="436"/>
  <c r="Y39" i="436"/>
  <c r="V37" i="436"/>
  <c r="V49" i="436" s="1"/>
  <c r="AQ23" i="436"/>
  <c r="AE23" i="436"/>
  <c r="AE41" i="436"/>
  <c r="AE39" i="436"/>
  <c r="AE40" i="436"/>
  <c r="AE42" i="436"/>
  <c r="J31" i="436"/>
  <c r="AO23" i="436"/>
  <c r="AO47" i="436"/>
  <c r="AO44" i="436"/>
  <c r="AO41" i="436"/>
  <c r="AO46" i="436"/>
  <c r="AO43" i="436"/>
  <c r="AO42" i="436"/>
  <c r="AO45" i="436"/>
  <c r="AO39" i="436"/>
  <c r="AO40" i="436"/>
  <c r="B34" i="435"/>
  <c r="B24" i="435"/>
  <c r="T39" i="435"/>
  <c r="T49" i="435"/>
  <c r="T42" i="435"/>
  <c r="T46" i="435"/>
  <c r="T43" i="435"/>
  <c r="T41" i="435"/>
  <c r="T47" i="435"/>
  <c r="T33" i="435"/>
  <c r="T35" i="435"/>
  <c r="T44" i="435"/>
  <c r="T48" i="435"/>
  <c r="N30" i="435"/>
  <c r="P30" i="435" s="1"/>
  <c r="R35" i="435" s="1"/>
  <c r="N29" i="435"/>
  <c r="P29" i="435" s="1"/>
  <c r="N26" i="435"/>
  <c r="N28" i="435"/>
  <c r="P28" i="435" s="1"/>
  <c r="N25" i="435"/>
  <c r="N27" i="435"/>
  <c r="P27" i="435" s="1"/>
  <c r="L1" i="435"/>
  <c r="T45" i="435"/>
  <c r="T34" i="435"/>
  <c r="T32" i="435"/>
  <c r="C34" i="435"/>
  <c r="T30" i="435"/>
  <c r="T26" i="435"/>
  <c r="C24" i="435"/>
  <c r="T31" i="435"/>
  <c r="T29" i="435"/>
  <c r="T28" i="435"/>
  <c r="T25" i="435"/>
  <c r="T27" i="435"/>
  <c r="T40" i="435"/>
  <c r="H1" i="435"/>
  <c r="B38" i="440" l="1"/>
  <c r="B39" i="440"/>
  <c r="B37" i="440"/>
  <c r="H31" i="436"/>
  <c r="AE37" i="436"/>
  <c r="H26" i="436"/>
  <c r="AI37" i="436"/>
  <c r="H27" i="436"/>
  <c r="AO37" i="436"/>
  <c r="H30" i="436"/>
  <c r="H32" i="436"/>
  <c r="AG37" i="436"/>
  <c r="AS49" i="436"/>
  <c r="J49" i="436" s="1"/>
  <c r="AS46" i="436"/>
  <c r="J46" i="436" s="1"/>
  <c r="AS43" i="436"/>
  <c r="J43" i="436" s="1"/>
  <c r="AS45" i="436"/>
  <c r="AS44" i="436"/>
  <c r="AS40" i="436"/>
  <c r="J40" i="436" s="1"/>
  <c r="AS48" i="436"/>
  <c r="J48" i="436" s="1"/>
  <c r="AS42" i="436"/>
  <c r="AS41" i="436"/>
  <c r="J41" i="436" s="1"/>
  <c r="AS47" i="436"/>
  <c r="J47" i="436" s="1"/>
  <c r="AS39" i="436"/>
  <c r="J39" i="436" s="1"/>
  <c r="H34" i="436"/>
  <c r="H33" i="436"/>
  <c r="H35" i="436"/>
  <c r="AC37" i="436"/>
  <c r="H29" i="436"/>
  <c r="V36" i="436"/>
  <c r="AM37" i="436"/>
  <c r="J23" i="436"/>
  <c r="H25" i="436"/>
  <c r="AK37" i="436"/>
  <c r="J44" i="436"/>
  <c r="AA37" i="436"/>
  <c r="J42" i="436"/>
  <c r="Y37" i="436"/>
  <c r="H28" i="436"/>
  <c r="AQ37" i="436"/>
  <c r="AS23" i="436"/>
  <c r="AS22" i="436" s="1"/>
  <c r="J45" i="436"/>
  <c r="R34" i="435"/>
  <c r="T37" i="435"/>
  <c r="T23" i="435"/>
  <c r="R33" i="435"/>
  <c r="N43" i="435"/>
  <c r="P43" i="435" s="1"/>
  <c r="N41" i="435"/>
  <c r="P41" i="435" s="1"/>
  <c r="N44" i="435"/>
  <c r="P44" i="435" s="1"/>
  <c r="N39" i="435"/>
  <c r="N42" i="435"/>
  <c r="P42" i="435" s="1"/>
  <c r="N40" i="435"/>
  <c r="P40" i="435" s="1"/>
  <c r="M1" i="435"/>
  <c r="M2" i="435" s="1"/>
  <c r="P26" i="435"/>
  <c r="R31" i="435" s="1"/>
  <c r="R32" i="435"/>
  <c r="P25" i="435"/>
  <c r="N23" i="435"/>
  <c r="B36" i="440" l="1"/>
  <c r="H43" i="436"/>
  <c r="BJ16" i="436" s="1"/>
  <c r="H48" i="436"/>
  <c r="BJ21" i="436" s="1"/>
  <c r="H45" i="436"/>
  <c r="BN10" i="436" s="1"/>
  <c r="H42" i="436"/>
  <c r="BR21" i="436" s="1"/>
  <c r="H44" i="436"/>
  <c r="BR36" i="436" s="1"/>
  <c r="H46" i="436"/>
  <c r="BR38" i="436" s="1"/>
  <c r="H47" i="436"/>
  <c r="BJ35" i="436" s="1"/>
  <c r="AS37" i="436"/>
  <c r="AS36" i="436" s="1"/>
  <c r="BR28" i="436"/>
  <c r="H23" i="436"/>
  <c r="BJ12" i="436"/>
  <c r="H40" i="436"/>
  <c r="BR8" i="436" s="1"/>
  <c r="BR18" i="436"/>
  <c r="J37" i="436"/>
  <c r="H39" i="436"/>
  <c r="BR31" i="436" s="1"/>
  <c r="H41" i="436"/>
  <c r="BR33" i="436" s="1"/>
  <c r="H49" i="436"/>
  <c r="R26" i="435"/>
  <c r="AB19" i="435"/>
  <c r="AB18" i="435"/>
  <c r="AB15" i="435"/>
  <c r="AB13" i="435"/>
  <c r="AB11" i="435"/>
  <c r="R9" i="435"/>
  <c r="R6" i="435"/>
  <c r="R11" i="435"/>
  <c r="AB10" i="435"/>
  <c r="R19" i="435"/>
  <c r="R17" i="435"/>
  <c r="R16" i="435"/>
  <c r="R15" i="435"/>
  <c r="R14" i="435"/>
  <c r="AB12" i="435"/>
  <c r="AB6" i="435"/>
  <c r="AB14" i="435"/>
  <c r="R18" i="435"/>
  <c r="AB17" i="435"/>
  <c r="R13" i="435"/>
  <c r="R12" i="435"/>
  <c r="R10" i="435"/>
  <c r="AB9" i="435"/>
  <c r="R8" i="435"/>
  <c r="AB7" i="435"/>
  <c r="AB16" i="435"/>
  <c r="AB8" i="435"/>
  <c r="R7" i="435"/>
  <c r="AB5" i="435"/>
  <c r="N37" i="435"/>
  <c r="P39" i="435"/>
  <c r="R40" i="435" s="1"/>
  <c r="R47" i="435"/>
  <c r="R49" i="435"/>
  <c r="R48" i="435"/>
  <c r="R46" i="435"/>
  <c r="R45" i="435"/>
  <c r="R27" i="435"/>
  <c r="P23" i="435"/>
  <c r="R30" i="435"/>
  <c r="R29" i="435"/>
  <c r="R25" i="435"/>
  <c r="R28" i="435"/>
  <c r="V1" i="285"/>
  <c r="BH52" i="285"/>
  <c r="BH55" i="285" s="1"/>
  <c r="BH57" i="285" s="1"/>
  <c r="BL13" i="285" s="1"/>
  <c r="BF48" i="285"/>
  <c r="BF47" i="285"/>
  <c r="BF46" i="285"/>
  <c r="BH45" i="285"/>
  <c r="BH50" i="285" s="1"/>
  <c r="BL11" i="285" s="1"/>
  <c r="BP38" i="285" s="1"/>
  <c r="BP46" i="285" s="1"/>
  <c r="BE45" i="285"/>
  <c r="BE44" i="285"/>
  <c r="BF45" i="285" s="1"/>
  <c r="BD44" i="285"/>
  <c r="BE43" i="285"/>
  <c r="BF44" i="285" s="1"/>
  <c r="BD43" i="285"/>
  <c r="BC43" i="285"/>
  <c r="BE42" i="285"/>
  <c r="BF43" i="285" s="1"/>
  <c r="BD42" i="285"/>
  <c r="BC42" i="285"/>
  <c r="BF41" i="285"/>
  <c r="BE41" i="285"/>
  <c r="BF42" i="285" s="1"/>
  <c r="BD41" i="285"/>
  <c r="BC41" i="285"/>
  <c r="BF40" i="285"/>
  <c r="BE40" i="285"/>
  <c r="BD40" i="285"/>
  <c r="BC40" i="285"/>
  <c r="BC39" i="285"/>
  <c r="AS38" i="285"/>
  <c r="AR38" i="285"/>
  <c r="AQ38" i="285"/>
  <c r="AP38" i="285"/>
  <c r="AO38" i="285"/>
  <c r="AN38" i="285"/>
  <c r="AM38" i="285"/>
  <c r="AL38" i="285"/>
  <c r="AK38" i="285"/>
  <c r="AJ38" i="285"/>
  <c r="AI38" i="285"/>
  <c r="AH38" i="285"/>
  <c r="AG38" i="285"/>
  <c r="AF38" i="285"/>
  <c r="AE38" i="285"/>
  <c r="AD38" i="285"/>
  <c r="AC38" i="285"/>
  <c r="AB38" i="285"/>
  <c r="AA38" i="285"/>
  <c r="Z38" i="285"/>
  <c r="Y38" i="285"/>
  <c r="X38" i="285"/>
  <c r="W38" i="285"/>
  <c r="V38" i="285"/>
  <c r="U38" i="285"/>
  <c r="T38" i="285"/>
  <c r="S38" i="285"/>
  <c r="R38" i="285"/>
  <c r="Q38" i="285"/>
  <c r="P38" i="285"/>
  <c r="O38" i="285"/>
  <c r="N38" i="285"/>
  <c r="M38" i="285"/>
  <c r="L38" i="285"/>
  <c r="K38" i="285"/>
  <c r="J38" i="285"/>
  <c r="I38" i="285"/>
  <c r="H38" i="285"/>
  <c r="G38" i="285"/>
  <c r="BF34" i="285"/>
  <c r="BF33" i="285"/>
  <c r="C33" i="285"/>
  <c r="B33" i="285"/>
  <c r="C32" i="285"/>
  <c r="B32" i="285"/>
  <c r="BE31" i="285"/>
  <c r="BF32" i="285" s="1"/>
  <c r="BH30" i="285"/>
  <c r="BH37" i="285" s="1"/>
  <c r="BH43" i="285" s="1"/>
  <c r="BH48" i="285" s="1"/>
  <c r="BH53" i="285" s="1"/>
  <c r="BH56" i="285" s="1"/>
  <c r="BH58" i="285" s="1"/>
  <c r="BH59" i="285" s="1"/>
  <c r="BE30" i="285"/>
  <c r="BD30" i="285"/>
  <c r="E30" i="285"/>
  <c r="D30" i="285"/>
  <c r="BH29" i="285"/>
  <c r="BH36" i="285" s="1"/>
  <c r="BH42" i="285" s="1"/>
  <c r="BH47" i="285" s="1"/>
  <c r="BE29" i="285"/>
  <c r="BF30" i="285" s="1"/>
  <c r="BD29" i="285"/>
  <c r="BC29" i="285"/>
  <c r="C29" i="285"/>
  <c r="B29" i="285"/>
  <c r="BH28" i="285"/>
  <c r="BH35" i="285" s="1"/>
  <c r="BH41" i="285" s="1"/>
  <c r="BH46" i="285" s="1"/>
  <c r="BH51" i="285" s="1"/>
  <c r="BH54" i="285" s="1"/>
  <c r="BL12" i="285" s="1"/>
  <c r="BP47" i="285" s="1"/>
  <c r="BE28" i="285"/>
  <c r="BF29" i="285" s="1"/>
  <c r="BD28" i="285"/>
  <c r="BC28" i="285"/>
  <c r="BH27" i="285"/>
  <c r="BH34" i="285" s="1"/>
  <c r="BH40" i="285" s="1"/>
  <c r="BF27" i="285"/>
  <c r="BE27" i="285"/>
  <c r="BD27" i="285"/>
  <c r="BC27" i="285"/>
  <c r="C27" i="285"/>
  <c r="B27" i="285"/>
  <c r="BH26" i="285"/>
  <c r="BH33" i="285" s="1"/>
  <c r="BH39" i="285" s="1"/>
  <c r="BH44" i="285" s="1"/>
  <c r="BL10" i="285" s="1"/>
  <c r="BP30" i="285" s="1"/>
  <c r="BP37" i="285" s="1"/>
  <c r="BP45" i="285" s="1"/>
  <c r="BF26" i="285"/>
  <c r="BE26" i="285"/>
  <c r="BD26" i="285"/>
  <c r="BC26" i="285"/>
  <c r="E26" i="285"/>
  <c r="E27" i="285" s="1"/>
  <c r="D26" i="285"/>
  <c r="D27" i="285" s="1"/>
  <c r="C26" i="285"/>
  <c r="B26" i="285"/>
  <c r="BH25" i="285"/>
  <c r="BH32" i="285" s="1"/>
  <c r="BH38" i="285" s="1"/>
  <c r="BC25" i="285"/>
  <c r="E25" i="285"/>
  <c r="D25" i="285"/>
  <c r="C25" i="285"/>
  <c r="B25" i="285"/>
  <c r="BH24" i="285"/>
  <c r="BH31" i="285" s="1"/>
  <c r="BH23" i="285"/>
  <c r="B22" i="285"/>
  <c r="C22" i="285" s="1"/>
  <c r="B20" i="285"/>
  <c r="B21" i="285" s="1"/>
  <c r="Z19" i="285"/>
  <c r="P19" i="285"/>
  <c r="AA18" i="285"/>
  <c r="Q18" i="285"/>
  <c r="Z17" i="285"/>
  <c r="P17" i="285"/>
  <c r="AA16" i="285"/>
  <c r="Q16" i="285"/>
  <c r="C16" i="285"/>
  <c r="B16" i="285"/>
  <c r="AA15" i="285"/>
  <c r="Q15" i="285"/>
  <c r="AA14" i="285"/>
  <c r="Q14" i="285"/>
  <c r="AA13" i="285"/>
  <c r="Q13" i="285"/>
  <c r="AA12" i="285"/>
  <c r="Q12" i="285"/>
  <c r="Z11" i="285"/>
  <c r="P11" i="285"/>
  <c r="Q11" i="285"/>
  <c r="Z10" i="285"/>
  <c r="P10" i="285"/>
  <c r="BL9" i="285"/>
  <c r="BP23" i="285" s="1"/>
  <c r="BP29" i="285" s="1"/>
  <c r="BP36" i="285" s="1"/>
  <c r="BP44" i="285" s="1"/>
  <c r="AA9" i="285"/>
  <c r="Q9" i="285"/>
  <c r="BP8" i="285"/>
  <c r="BP11" i="285" s="1"/>
  <c r="BP15" i="285" s="1"/>
  <c r="BP19" i="285" s="1"/>
  <c r="BP25" i="285" s="1"/>
  <c r="BP32" i="285" s="1"/>
  <c r="BP40" i="285" s="1"/>
  <c r="BL8" i="285"/>
  <c r="BP18" i="285" s="1"/>
  <c r="BP22" i="285" s="1"/>
  <c r="BP28" i="285" s="1"/>
  <c r="BP35" i="285" s="1"/>
  <c r="BP43" i="285" s="1"/>
  <c r="Z8" i="285"/>
  <c r="P8" i="285"/>
  <c r="BL7" i="285"/>
  <c r="BP13" i="285" s="1"/>
  <c r="BP17" i="285" s="1"/>
  <c r="BP21" i="285" s="1"/>
  <c r="BP27" i="285" s="1"/>
  <c r="BP34" i="285" s="1"/>
  <c r="BP42" i="285" s="1"/>
  <c r="AA7" i="285"/>
  <c r="Q7" i="285"/>
  <c r="BP6" i="285"/>
  <c r="BL6" i="285"/>
  <c r="BP9" i="285" s="1"/>
  <c r="BP12" i="285" s="1"/>
  <c r="BP16" i="285" s="1"/>
  <c r="BP20" i="285" s="1"/>
  <c r="BP26" i="285" s="1"/>
  <c r="BP33" i="285" s="1"/>
  <c r="BP41" i="285" s="1"/>
  <c r="Z6" i="285"/>
  <c r="AA6" i="285"/>
  <c r="P6" i="285"/>
  <c r="BP5" i="285"/>
  <c r="BP7" i="285" s="1"/>
  <c r="BP10" i="285" s="1"/>
  <c r="BP14" i="285" s="1"/>
  <c r="BH49" i="285" s="1"/>
  <c r="BP24" i="285" s="1"/>
  <c r="BP31" i="285" s="1"/>
  <c r="BP39" i="285" s="1"/>
  <c r="BL14" i="285" s="1"/>
  <c r="Z5" i="285"/>
  <c r="P5" i="285"/>
  <c r="D3" i="285"/>
  <c r="K1" i="285" s="1"/>
  <c r="S2" i="285"/>
  <c r="AF1" i="285"/>
  <c r="S1" i="285"/>
  <c r="BJ42" i="436" l="1"/>
  <c r="BJ55" i="436"/>
  <c r="BR43" i="436"/>
  <c r="BJ31" i="436"/>
  <c r="BJ7" i="436"/>
  <c r="BJ24" i="436"/>
  <c r="BN8" i="436"/>
  <c r="BR35" i="436"/>
  <c r="BJ44" i="436"/>
  <c r="BR22" i="436"/>
  <c r="BR45" i="436"/>
  <c r="BJ47" i="436"/>
  <c r="BJ9" i="436"/>
  <c r="BJ36" i="436"/>
  <c r="BR30" i="436"/>
  <c r="BN13" i="436"/>
  <c r="BJ52" i="436"/>
  <c r="BJ57" i="436"/>
  <c r="BJ29" i="436"/>
  <c r="BR34" i="436"/>
  <c r="BN7" i="436"/>
  <c r="BJ39" i="436"/>
  <c r="BJ18" i="436"/>
  <c r="BJ26" i="436"/>
  <c r="BJ15" i="436"/>
  <c r="BJ6" i="436"/>
  <c r="BR17" i="436"/>
  <c r="BR13" i="436"/>
  <c r="BJ23" i="436"/>
  <c r="BR42" i="436"/>
  <c r="BR27" i="436"/>
  <c r="BJ33" i="436"/>
  <c r="BR37" i="436"/>
  <c r="BJ32" i="436"/>
  <c r="BJ10" i="436"/>
  <c r="BR29" i="436"/>
  <c r="BJ34" i="436"/>
  <c r="BN9" i="436"/>
  <c r="BR44" i="436"/>
  <c r="BJ25" i="436"/>
  <c r="BJ38" i="436"/>
  <c r="BJ8" i="436"/>
  <c r="BJ46" i="436"/>
  <c r="BJ40" i="436"/>
  <c r="BJ45" i="436"/>
  <c r="BJ41" i="436"/>
  <c r="BR46" i="436"/>
  <c r="BN11" i="436"/>
  <c r="BR47" i="436"/>
  <c r="BJ11" i="436"/>
  <c r="BR14" i="436"/>
  <c r="BR39" i="436"/>
  <c r="BR15" i="436"/>
  <c r="BR40" i="436"/>
  <c r="BR10" i="436"/>
  <c r="BJ53" i="436"/>
  <c r="BJ22" i="436"/>
  <c r="BJ19" i="436"/>
  <c r="BJ50" i="436"/>
  <c r="BJ14" i="436"/>
  <c r="BR20" i="436"/>
  <c r="BR41" i="436"/>
  <c r="BR12" i="436"/>
  <c r="BR24" i="436"/>
  <c r="BJ20" i="436"/>
  <c r="BJ51" i="436"/>
  <c r="BR6" i="436"/>
  <c r="BJ27" i="436"/>
  <c r="BN14" i="436"/>
  <c r="H37" i="436"/>
  <c r="BJ49" i="436"/>
  <c r="BR4" i="436"/>
  <c r="BJ59" i="436"/>
  <c r="BR11" i="436"/>
  <c r="BJ43" i="436"/>
  <c r="BN4" i="436"/>
  <c r="BJ13" i="436"/>
  <c r="BJ54" i="436"/>
  <c r="BN12" i="436"/>
  <c r="BR32" i="436"/>
  <c r="BJ37" i="436"/>
  <c r="BR5" i="436"/>
  <c r="BJ28" i="436"/>
  <c r="BR16" i="436"/>
  <c r="BJ48" i="436"/>
  <c r="BN5" i="436"/>
  <c r="BR19" i="436"/>
  <c r="BJ4" i="436"/>
  <c r="BJ5" i="436"/>
  <c r="BR26" i="436"/>
  <c r="BR25" i="436"/>
  <c r="BJ56" i="436"/>
  <c r="BJ58" i="436"/>
  <c r="BR7" i="436"/>
  <c r="BR9" i="436"/>
  <c r="BN6" i="436"/>
  <c r="BJ30" i="436"/>
  <c r="BJ17" i="436"/>
  <c r="BR23" i="436"/>
  <c r="R43" i="435"/>
  <c r="V27" i="435"/>
  <c r="R41" i="435"/>
  <c r="R44" i="435"/>
  <c r="R23" i="435"/>
  <c r="V25" i="435"/>
  <c r="V33" i="435"/>
  <c r="V30" i="435"/>
  <c r="V31" i="435"/>
  <c r="V34" i="435"/>
  <c r="V32" i="435"/>
  <c r="V29" i="435"/>
  <c r="AC5" i="435"/>
  <c r="S5" i="435"/>
  <c r="S10" i="435"/>
  <c r="S18" i="435"/>
  <c r="S14" i="435"/>
  <c r="S19" i="435"/>
  <c r="S9" i="435"/>
  <c r="AC18" i="435"/>
  <c r="S7" i="435"/>
  <c r="AC7" i="435"/>
  <c r="S12" i="435"/>
  <c r="AC14" i="435"/>
  <c r="S15" i="435"/>
  <c r="AC10" i="435"/>
  <c r="AC11" i="435"/>
  <c r="AC19" i="435"/>
  <c r="V28" i="435"/>
  <c r="R39" i="435"/>
  <c r="P37" i="435"/>
  <c r="AC8" i="435"/>
  <c r="S8" i="435"/>
  <c r="S13" i="435"/>
  <c r="AC6" i="435"/>
  <c r="S16" i="435"/>
  <c r="S11" i="435"/>
  <c r="AC13" i="435"/>
  <c r="R42" i="435"/>
  <c r="AC27" i="435"/>
  <c r="AC26" i="435"/>
  <c r="AC25" i="435"/>
  <c r="AC16" i="435"/>
  <c r="AC9" i="435"/>
  <c r="AC17" i="435"/>
  <c r="AC12" i="435"/>
  <c r="S17" i="435"/>
  <c r="S6" i="435"/>
  <c r="AC15" i="435"/>
  <c r="V26" i="435"/>
  <c r="Q10" i="285"/>
  <c r="AA10" i="285"/>
  <c r="Q19" i="285"/>
  <c r="G2" i="285"/>
  <c r="G3" i="285"/>
  <c r="Q6" i="285"/>
  <c r="Q17" i="285"/>
  <c r="G1" i="285"/>
  <c r="K2" i="285"/>
  <c r="K3" i="285"/>
  <c r="Q5" i="285"/>
  <c r="AA8" i="285"/>
  <c r="BF28" i="285"/>
  <c r="BF31" i="285"/>
  <c r="AA5" i="285"/>
  <c r="AA11" i="285"/>
  <c r="AA17" i="285"/>
  <c r="D23" i="285"/>
  <c r="E23" i="285"/>
  <c r="Q8" i="285"/>
  <c r="AA19" i="285"/>
  <c r="B23" i="285"/>
  <c r="C23" i="285" s="1"/>
  <c r="B31" i="285"/>
  <c r="W25" i="285" s="1"/>
  <c r="C31" i="285"/>
  <c r="W39" i="285" s="1"/>
  <c r="B38" i="436" l="1"/>
  <c r="B37" i="436"/>
  <c r="B39" i="436"/>
  <c r="T17" i="435"/>
  <c r="AD14" i="435"/>
  <c r="AC23" i="435"/>
  <c r="U6" i="435"/>
  <c r="T13" i="435"/>
  <c r="AD16" i="435"/>
  <c r="U15" i="435"/>
  <c r="AE16" i="435"/>
  <c r="AD9" i="435"/>
  <c r="U5" i="435"/>
  <c r="T5" i="435"/>
  <c r="AD17" i="435"/>
  <c r="AD15" i="435"/>
  <c r="AD5" i="435"/>
  <c r="U7" i="435"/>
  <c r="AE18" i="435"/>
  <c r="T9" i="435"/>
  <c r="AD13" i="435"/>
  <c r="AE8" i="435"/>
  <c r="AE11" i="435"/>
  <c r="AE9" i="435"/>
  <c r="T11" i="435"/>
  <c r="U13" i="435"/>
  <c r="AD19" i="435"/>
  <c r="AD10" i="435"/>
  <c r="T12" i="435"/>
  <c r="S20" i="435"/>
  <c r="U17" i="435"/>
  <c r="AE17" i="435"/>
  <c r="AE7" i="435"/>
  <c r="AD12" i="435"/>
  <c r="U16" i="435"/>
  <c r="T14" i="435"/>
  <c r="AE5" i="435"/>
  <c r="AD18" i="435"/>
  <c r="U11" i="435"/>
  <c r="AC20" i="435"/>
  <c r="AA25" i="435"/>
  <c r="AA26" i="435"/>
  <c r="AE12" i="435"/>
  <c r="AE15" i="435"/>
  <c r="AD6" i="435"/>
  <c r="T8" i="435"/>
  <c r="T15" i="435"/>
  <c r="AE14" i="435"/>
  <c r="T7" i="435"/>
  <c r="U9" i="435"/>
  <c r="U14" i="435"/>
  <c r="T18" i="435"/>
  <c r="AM32" i="435"/>
  <c r="AM28" i="435"/>
  <c r="AM25" i="435"/>
  <c r="AM26" i="435"/>
  <c r="AM30" i="435"/>
  <c r="AM29" i="435"/>
  <c r="AM27" i="435"/>
  <c r="AM31" i="435"/>
  <c r="AO32" i="435"/>
  <c r="AO25" i="435"/>
  <c r="AO29" i="435"/>
  <c r="AO33" i="435"/>
  <c r="AO26" i="435"/>
  <c r="AO28" i="435"/>
  <c r="AO30" i="435"/>
  <c r="AO31" i="435"/>
  <c r="AO27" i="435"/>
  <c r="AE13" i="435"/>
  <c r="R37" i="435"/>
  <c r="V39" i="435"/>
  <c r="V47" i="435"/>
  <c r="V46" i="435"/>
  <c r="V43" i="435"/>
  <c r="V45" i="435"/>
  <c r="V44" i="435"/>
  <c r="V48" i="435"/>
  <c r="U12" i="435"/>
  <c r="U10" i="435"/>
  <c r="AQ32" i="435"/>
  <c r="AQ31" i="435"/>
  <c r="AQ34" i="435"/>
  <c r="AQ27" i="435"/>
  <c r="AQ29" i="435"/>
  <c r="AQ33" i="435"/>
  <c r="AQ28" i="435"/>
  <c r="AQ26" i="435"/>
  <c r="AQ25" i="435"/>
  <c r="AQ30" i="435"/>
  <c r="AE6" i="435"/>
  <c r="T6" i="435"/>
  <c r="V42" i="435"/>
  <c r="T16" i="435"/>
  <c r="U8" i="435"/>
  <c r="AD8" i="435"/>
  <c r="AE27" i="435"/>
  <c r="AE25" i="435"/>
  <c r="AE28" i="435"/>
  <c r="AE26" i="435"/>
  <c r="AD11" i="435"/>
  <c r="AE10" i="435"/>
  <c r="AD7" i="435"/>
  <c r="V40" i="435"/>
  <c r="T19" i="435"/>
  <c r="U18" i="435"/>
  <c r="V41" i="435"/>
  <c r="AK29" i="435"/>
  <c r="AK27" i="435"/>
  <c r="AK26" i="435"/>
  <c r="AK25" i="435"/>
  <c r="AK30" i="435"/>
  <c r="AK31" i="435"/>
  <c r="AK28" i="435"/>
  <c r="V23" i="435"/>
  <c r="V35" i="435" s="1"/>
  <c r="V22" i="435" s="1"/>
  <c r="Y25" i="435"/>
  <c r="T10" i="435"/>
  <c r="AG25" i="435"/>
  <c r="AG28" i="435"/>
  <c r="AG29" i="435"/>
  <c r="AG26" i="435"/>
  <c r="AG27" i="435"/>
  <c r="AI30" i="435"/>
  <c r="AI29" i="435"/>
  <c r="AI28" i="435"/>
  <c r="AI27" i="435"/>
  <c r="AI26" i="435"/>
  <c r="AI25" i="435"/>
  <c r="L1" i="285"/>
  <c r="H1" i="285"/>
  <c r="M1" i="285"/>
  <c r="M2" i="285" s="1"/>
  <c r="R17" i="285" s="1"/>
  <c r="S17" i="285" s="1"/>
  <c r="T42" i="285"/>
  <c r="T40" i="285"/>
  <c r="T47" i="285"/>
  <c r="T32" i="285"/>
  <c r="C34" i="285"/>
  <c r="T31" i="285"/>
  <c r="T28" i="285"/>
  <c r="T26" i="285"/>
  <c r="T25" i="285"/>
  <c r="T29" i="285"/>
  <c r="T27" i="285"/>
  <c r="C24" i="285"/>
  <c r="T33" i="285"/>
  <c r="T30" i="285"/>
  <c r="T35" i="285"/>
  <c r="T43" i="285"/>
  <c r="T34" i="285"/>
  <c r="B24" i="285"/>
  <c r="T48" i="285"/>
  <c r="T46" i="285"/>
  <c r="B34" i="285"/>
  <c r="T44" i="285"/>
  <c r="T49" i="285"/>
  <c r="T39" i="285"/>
  <c r="T45" i="285"/>
  <c r="T41" i="285"/>
  <c r="B36" i="436" l="1"/>
  <c r="R16" i="285"/>
  <c r="S16" i="285" s="1"/>
  <c r="R12" i="285"/>
  <c r="S12" i="285" s="1"/>
  <c r="R11" i="285"/>
  <c r="S11" i="285" s="1"/>
  <c r="AB8" i="285"/>
  <c r="AC8" i="285" s="1"/>
  <c r="R7" i="285"/>
  <c r="S7" i="285" s="1"/>
  <c r="R5" i="285"/>
  <c r="S5" i="285" s="1"/>
  <c r="AB9" i="285"/>
  <c r="AC9" i="285" s="1"/>
  <c r="AB5" i="285"/>
  <c r="AC5" i="285" s="1"/>
  <c r="AB6" i="285"/>
  <c r="AC6" i="285" s="1"/>
  <c r="R6" i="285"/>
  <c r="S6" i="285" s="1"/>
  <c r="AM23" i="435"/>
  <c r="AE23" i="435"/>
  <c r="AO23" i="435"/>
  <c r="AK23" i="435"/>
  <c r="AI23" i="435"/>
  <c r="AQ23" i="435"/>
  <c r="AA23" i="435"/>
  <c r="AG23" i="435"/>
  <c r="AE20" i="435"/>
  <c r="AD20" i="435"/>
  <c r="AD21" i="435" s="1"/>
  <c r="U20" i="435"/>
  <c r="T20" i="435"/>
  <c r="Y23" i="435"/>
  <c r="AE40" i="435"/>
  <c r="AE42" i="435"/>
  <c r="AE41" i="435"/>
  <c r="AE39" i="435"/>
  <c r="AQ39" i="435"/>
  <c r="AQ46" i="435"/>
  <c r="AQ45" i="435"/>
  <c r="AQ42" i="435"/>
  <c r="AQ43" i="435"/>
  <c r="AQ48" i="435"/>
  <c r="AQ44" i="435"/>
  <c r="AQ40" i="435"/>
  <c r="AQ47" i="435"/>
  <c r="AQ41" i="435"/>
  <c r="AM43" i="435"/>
  <c r="AM45" i="435"/>
  <c r="AM39" i="435"/>
  <c r="AM44" i="435"/>
  <c r="AM46" i="435"/>
  <c r="AM42" i="435"/>
  <c r="AM40" i="435"/>
  <c r="AM41" i="435"/>
  <c r="AS34" i="435"/>
  <c r="J34" i="435" s="1"/>
  <c r="AS25" i="435"/>
  <c r="AS35" i="435"/>
  <c r="J35" i="435" s="1"/>
  <c r="AS26" i="435"/>
  <c r="J26" i="435" s="1"/>
  <c r="AS31" i="435"/>
  <c r="J31" i="435" s="1"/>
  <c r="AS28" i="435"/>
  <c r="J28" i="435" s="1"/>
  <c r="AS30" i="435"/>
  <c r="J30" i="435" s="1"/>
  <c r="AS33" i="435"/>
  <c r="J33" i="435" s="1"/>
  <c r="AS27" i="435"/>
  <c r="J27" i="435" s="1"/>
  <c r="AS32" i="435"/>
  <c r="AS29" i="435"/>
  <c r="J29" i="435" s="1"/>
  <c r="AC40" i="435"/>
  <c r="AC41" i="435"/>
  <c r="AC39" i="435"/>
  <c r="AA40" i="435"/>
  <c r="AA39" i="435"/>
  <c r="AI41" i="435"/>
  <c r="AI43" i="435"/>
  <c r="AI39" i="435"/>
  <c r="AI42" i="435"/>
  <c r="AI44" i="435"/>
  <c r="AI40" i="435"/>
  <c r="AO41" i="435"/>
  <c r="AO46" i="435"/>
  <c r="AO45" i="435"/>
  <c r="AO39" i="435"/>
  <c r="AO44" i="435"/>
  <c r="AO42" i="435"/>
  <c r="AO43" i="435"/>
  <c r="AO47" i="435"/>
  <c r="AO40" i="435"/>
  <c r="AK41" i="435"/>
  <c r="AK42" i="435"/>
  <c r="AK43" i="435"/>
  <c r="AK40" i="435"/>
  <c r="AK45" i="435"/>
  <c r="AK44" i="435"/>
  <c r="AK39" i="435"/>
  <c r="AG42" i="435"/>
  <c r="AG41" i="435"/>
  <c r="AG39" i="435"/>
  <c r="AG43" i="435"/>
  <c r="AG40" i="435"/>
  <c r="Y39" i="435"/>
  <c r="V37" i="435"/>
  <c r="V49" i="435" s="1"/>
  <c r="V36" i="435" s="1"/>
  <c r="J32" i="435"/>
  <c r="R13" i="285"/>
  <c r="S13" i="285" s="1"/>
  <c r="AB10" i="285"/>
  <c r="AC10" i="285" s="1"/>
  <c r="AB11" i="285"/>
  <c r="AC11" i="285" s="1"/>
  <c r="AB15" i="285"/>
  <c r="AC15" i="285" s="1"/>
  <c r="R9" i="285"/>
  <c r="S9" i="285" s="1"/>
  <c r="AB12" i="285"/>
  <c r="R18" i="285"/>
  <c r="S18" i="285" s="1"/>
  <c r="R8" i="285"/>
  <c r="S8" i="285" s="1"/>
  <c r="AB13" i="285"/>
  <c r="AC13" i="285" s="1"/>
  <c r="AD12" i="285" s="1"/>
  <c r="AB17" i="285"/>
  <c r="AC17" i="285" s="1"/>
  <c r="AB14" i="285"/>
  <c r="AC14" i="285" s="1"/>
  <c r="AB18" i="285"/>
  <c r="AC18" i="285" s="1"/>
  <c r="R14" i="285"/>
  <c r="S14" i="285" s="1"/>
  <c r="R19" i="285"/>
  <c r="S19" i="285" s="1"/>
  <c r="AB16" i="285"/>
  <c r="AC16" i="285" s="1"/>
  <c r="AB19" i="285"/>
  <c r="AC19" i="285" s="1"/>
  <c r="AB7" i="285"/>
  <c r="AC7" i="285" s="1"/>
  <c r="R15" i="285"/>
  <c r="S15" i="285" s="1"/>
  <c r="R10" i="285"/>
  <c r="S10" i="285" s="1"/>
  <c r="T37" i="285"/>
  <c r="T23" i="285"/>
  <c r="AC12" i="285"/>
  <c r="N29" i="285"/>
  <c r="P29" i="285" s="1"/>
  <c r="N27" i="285"/>
  <c r="P27" i="285" s="1"/>
  <c r="N30" i="285"/>
  <c r="P30" i="285" s="1"/>
  <c r="R35" i="285" s="1"/>
  <c r="N28" i="285"/>
  <c r="P28" i="285" s="1"/>
  <c r="N26" i="285"/>
  <c r="N25" i="285"/>
  <c r="N43" i="285"/>
  <c r="P43" i="285" s="1"/>
  <c r="N41" i="285"/>
  <c r="P41" i="285" s="1"/>
  <c r="N39" i="285"/>
  <c r="N44" i="285"/>
  <c r="P44" i="285" s="1"/>
  <c r="N42" i="285"/>
  <c r="P42" i="285" s="1"/>
  <c r="N40" i="285"/>
  <c r="P40" i="285" s="1"/>
  <c r="AE21" i="435" l="1"/>
  <c r="L41" i="435" s="1"/>
  <c r="T21" i="435"/>
  <c r="L26" i="435" s="1"/>
  <c r="U21" i="435"/>
  <c r="L27" i="435" s="1"/>
  <c r="T7" i="285"/>
  <c r="T10" i="285"/>
  <c r="AI37" i="435"/>
  <c r="AC37" i="435"/>
  <c r="AS23" i="435"/>
  <c r="AG37" i="435"/>
  <c r="AM37" i="435"/>
  <c r="AQ37" i="435"/>
  <c r="AK37" i="435"/>
  <c r="AO37" i="435"/>
  <c r="AE37" i="435"/>
  <c r="AA37" i="435"/>
  <c r="J25" i="435"/>
  <c r="J23" i="435" s="1"/>
  <c r="AF20" i="435"/>
  <c r="V20" i="435"/>
  <c r="AS46" i="435"/>
  <c r="AS43" i="435"/>
  <c r="J43" i="435" s="1"/>
  <c r="AS47" i="435"/>
  <c r="AS41" i="435"/>
  <c r="J41" i="435" s="1"/>
  <c r="AS48" i="435"/>
  <c r="AS45" i="435"/>
  <c r="J45" i="435" s="1"/>
  <c r="AS40" i="435"/>
  <c r="J40" i="435" s="1"/>
  <c r="AS49" i="435"/>
  <c r="J49" i="435" s="1"/>
  <c r="AS42" i="435"/>
  <c r="J42" i="435" s="1"/>
  <c r="AS44" i="435"/>
  <c r="J44" i="435" s="1"/>
  <c r="AS39" i="435"/>
  <c r="J47" i="435"/>
  <c r="J48" i="435"/>
  <c r="AS22" i="435"/>
  <c r="J39" i="435"/>
  <c r="Y37" i="435"/>
  <c r="J46" i="435"/>
  <c r="U7" i="285"/>
  <c r="AE14" i="285"/>
  <c r="U13" i="285"/>
  <c r="T13" i="285"/>
  <c r="AD6" i="285"/>
  <c r="T14" i="285"/>
  <c r="U10" i="285"/>
  <c r="T19" i="285"/>
  <c r="AE9" i="285"/>
  <c r="T18" i="285"/>
  <c r="U14" i="285"/>
  <c r="U12" i="285"/>
  <c r="T17" i="285"/>
  <c r="AE12" i="285"/>
  <c r="T12" i="285"/>
  <c r="T6" i="285"/>
  <c r="U18" i="285"/>
  <c r="T16" i="285"/>
  <c r="U6" i="285"/>
  <c r="U17" i="285"/>
  <c r="AE15" i="285"/>
  <c r="U16" i="285"/>
  <c r="T5" i="285"/>
  <c r="T20" i="285" s="1"/>
  <c r="T21" i="285" s="1"/>
  <c r="S20" i="285"/>
  <c r="T15" i="285"/>
  <c r="U8" i="285"/>
  <c r="U5" i="285"/>
  <c r="U20" i="285" s="1"/>
  <c r="U21" i="285" s="1"/>
  <c r="L27" i="285" s="1"/>
  <c r="U11" i="285"/>
  <c r="T8" i="285"/>
  <c r="U9" i="285"/>
  <c r="AD9" i="285"/>
  <c r="U15" i="285"/>
  <c r="T9" i="285"/>
  <c r="T11" i="285"/>
  <c r="AE17" i="285"/>
  <c r="AE5" i="285"/>
  <c r="AE8" i="285"/>
  <c r="AE16" i="285"/>
  <c r="AD19" i="285"/>
  <c r="AE13" i="285"/>
  <c r="AD13" i="285"/>
  <c r="AE6" i="285"/>
  <c r="AE7" i="285"/>
  <c r="AD7" i="285"/>
  <c r="AD8" i="285"/>
  <c r="AD10" i="285"/>
  <c r="AE10" i="285"/>
  <c r="AD16" i="285"/>
  <c r="AC20" i="285"/>
  <c r="AD11" i="285"/>
  <c r="AD14" i="285"/>
  <c r="AD17" i="285"/>
  <c r="AD18" i="285"/>
  <c r="AE18" i="285"/>
  <c r="AD15" i="285"/>
  <c r="AD5" i="285"/>
  <c r="AE11" i="285"/>
  <c r="AE20" i="285" s="1"/>
  <c r="AE21" i="285" s="1"/>
  <c r="L41" i="285" s="1"/>
  <c r="R32" i="285"/>
  <c r="P25" i="285"/>
  <c r="N23" i="285"/>
  <c r="P26" i="285"/>
  <c r="R31" i="285" s="1"/>
  <c r="R34" i="285"/>
  <c r="R49" i="285"/>
  <c r="R48" i="285"/>
  <c r="R46" i="285"/>
  <c r="R47" i="285"/>
  <c r="R45" i="285"/>
  <c r="R33" i="285"/>
  <c r="N37" i="285"/>
  <c r="P39" i="285"/>
  <c r="AF21" i="435" l="1"/>
  <c r="AC21" i="435" s="1"/>
  <c r="L39" i="435" s="1"/>
  <c r="V21" i="435"/>
  <c r="L28" i="435" s="1"/>
  <c r="J37" i="435"/>
  <c r="AS37" i="435"/>
  <c r="AS36" i="435" s="1"/>
  <c r="L40" i="435"/>
  <c r="L26" i="285"/>
  <c r="AD20" i="285"/>
  <c r="AD21" i="285" s="1"/>
  <c r="V20" i="285"/>
  <c r="R39" i="285"/>
  <c r="P37" i="285"/>
  <c r="R44" i="285"/>
  <c r="R26" i="285"/>
  <c r="R30" i="285"/>
  <c r="R28" i="285"/>
  <c r="R25" i="285"/>
  <c r="R29" i="285"/>
  <c r="R27" i="285"/>
  <c r="P23" i="285"/>
  <c r="R42" i="285"/>
  <c r="R40" i="285"/>
  <c r="R43" i="285"/>
  <c r="R41" i="285"/>
  <c r="L42" i="435" l="1"/>
  <c r="L37" i="435" s="1"/>
  <c r="S21" i="435"/>
  <c r="L25" i="435" s="1"/>
  <c r="H33" i="435" s="1"/>
  <c r="H39" i="435"/>
  <c r="H41" i="435"/>
  <c r="H40" i="435"/>
  <c r="L40" i="285"/>
  <c r="V21" i="285"/>
  <c r="AF20" i="285"/>
  <c r="V40" i="285"/>
  <c r="AA39" i="285" s="1"/>
  <c r="V26" i="285"/>
  <c r="AA26" i="285" s="1"/>
  <c r="R23" i="285"/>
  <c r="V25" i="285"/>
  <c r="V29" i="285"/>
  <c r="V32" i="285"/>
  <c r="V30" i="285"/>
  <c r="V33" i="285"/>
  <c r="V31" i="285"/>
  <c r="V34" i="285"/>
  <c r="V42" i="285"/>
  <c r="V41" i="285"/>
  <c r="V28" i="285"/>
  <c r="V27" i="285"/>
  <c r="V39" i="285"/>
  <c r="R37" i="285"/>
  <c r="V43" i="285"/>
  <c r="V46" i="285"/>
  <c r="V47" i="285"/>
  <c r="V44" i="285"/>
  <c r="V45" i="285"/>
  <c r="V48" i="285"/>
  <c r="H42" i="435" l="1"/>
  <c r="H49" i="435"/>
  <c r="H43" i="435"/>
  <c r="BR35" i="435" s="1"/>
  <c r="H47" i="435"/>
  <c r="H27" i="435"/>
  <c r="H34" i="435"/>
  <c r="BJ59" i="435" s="1"/>
  <c r="H29" i="435"/>
  <c r="BJ43" i="435" s="1"/>
  <c r="L23" i="435"/>
  <c r="H28" i="435"/>
  <c r="BR8" i="435" s="1"/>
  <c r="H25" i="435"/>
  <c r="BJ5" i="435" s="1"/>
  <c r="H32" i="435"/>
  <c r="BR27" i="435" s="1"/>
  <c r="H26" i="435"/>
  <c r="H31" i="435"/>
  <c r="H35" i="435"/>
  <c r="BN14" i="435" s="1"/>
  <c r="H30" i="435"/>
  <c r="BR16" i="435" s="1"/>
  <c r="H44" i="435"/>
  <c r="H48" i="435"/>
  <c r="H46" i="435"/>
  <c r="H45" i="435"/>
  <c r="BN12" i="435"/>
  <c r="BN6" i="435"/>
  <c r="BN7" i="435"/>
  <c r="BR5" i="435"/>
  <c r="BR31" i="435"/>
  <c r="BJ58" i="435"/>
  <c r="BR33" i="435"/>
  <c r="BR32" i="435"/>
  <c r="BR34" i="435"/>
  <c r="AA40" i="285"/>
  <c r="L28" i="285"/>
  <c r="S21" i="285"/>
  <c r="L25" i="285" s="1"/>
  <c r="L23" i="285" s="1"/>
  <c r="AF21" i="285"/>
  <c r="AA25" i="285"/>
  <c r="AA23" i="285" s="1"/>
  <c r="AA37" i="285"/>
  <c r="AI41" i="285"/>
  <c r="AI44" i="285"/>
  <c r="AI40" i="285"/>
  <c r="AI39" i="285"/>
  <c r="AI43" i="285"/>
  <c r="AI42" i="285"/>
  <c r="AE28" i="285"/>
  <c r="AE26" i="285"/>
  <c r="AE27" i="285"/>
  <c r="AE25" i="285"/>
  <c r="AI26" i="285"/>
  <c r="AI27" i="285"/>
  <c r="AI25" i="285"/>
  <c r="AI30" i="285"/>
  <c r="AI29" i="285"/>
  <c r="AI28" i="285"/>
  <c r="Y25" i="285"/>
  <c r="V23" i="285"/>
  <c r="V35" i="285" s="1"/>
  <c r="V22" i="285" s="1"/>
  <c r="AC39" i="285"/>
  <c r="AC40" i="285"/>
  <c r="AC41" i="285"/>
  <c r="AQ31" i="285"/>
  <c r="AQ27" i="285"/>
  <c r="AQ25" i="285"/>
  <c r="AQ30" i="285"/>
  <c r="AQ29" i="285"/>
  <c r="AQ26" i="285"/>
  <c r="AQ33" i="285"/>
  <c r="AQ34" i="285"/>
  <c r="AQ28" i="285"/>
  <c r="AQ32" i="285"/>
  <c r="AG42" i="285"/>
  <c r="AG39" i="285"/>
  <c r="AG43" i="285"/>
  <c r="AG41" i="285"/>
  <c r="AG40" i="285"/>
  <c r="AQ47" i="285"/>
  <c r="AQ40" i="285"/>
  <c r="AQ45" i="285"/>
  <c r="AQ42" i="285"/>
  <c r="AQ44" i="285"/>
  <c r="AQ46" i="285"/>
  <c r="AQ39" i="285"/>
  <c r="AQ43" i="285"/>
  <c r="AQ41" i="285"/>
  <c r="AQ48" i="285"/>
  <c r="AO46" i="285"/>
  <c r="AO43" i="285"/>
  <c r="AO42" i="285"/>
  <c r="AO39" i="285"/>
  <c r="AO45" i="285"/>
  <c r="AO41" i="285"/>
  <c r="AO47" i="285"/>
  <c r="AO44" i="285"/>
  <c r="AO40" i="285"/>
  <c r="V37" i="285"/>
  <c r="V49" i="285" s="1"/>
  <c r="V36" i="285" s="1"/>
  <c r="Y39" i="285"/>
  <c r="AE42" i="285"/>
  <c r="AE40" i="285"/>
  <c r="AE39" i="285"/>
  <c r="AE41" i="285"/>
  <c r="AK31" i="285"/>
  <c r="AK29" i="285"/>
  <c r="AK28" i="285"/>
  <c r="AK25" i="285"/>
  <c r="AK30" i="285"/>
  <c r="AK26" i="285"/>
  <c r="AK27" i="285"/>
  <c r="AM31" i="285"/>
  <c r="AM30" i="285"/>
  <c r="AM29" i="285"/>
  <c r="AM27" i="285"/>
  <c r="AM26" i="285"/>
  <c r="AM25" i="285"/>
  <c r="AM32" i="285"/>
  <c r="AM28" i="285"/>
  <c r="AK39" i="285"/>
  <c r="AK40" i="285"/>
  <c r="AK45" i="285"/>
  <c r="AK42" i="285"/>
  <c r="AK41" i="285"/>
  <c r="AK44" i="285"/>
  <c r="AK43" i="285"/>
  <c r="AM43" i="285"/>
  <c r="AM42" i="285"/>
  <c r="AM44" i="285"/>
  <c r="AM40" i="285"/>
  <c r="AM46" i="285"/>
  <c r="AM45" i="285"/>
  <c r="AM41" i="285"/>
  <c r="AM39" i="285"/>
  <c r="AC26" i="285"/>
  <c r="AC27" i="285"/>
  <c r="AC25" i="285"/>
  <c r="AO27" i="285"/>
  <c r="AO30" i="285"/>
  <c r="AO29" i="285"/>
  <c r="AO25" i="285"/>
  <c r="AO32" i="285"/>
  <c r="AO33" i="285"/>
  <c r="AO28" i="285"/>
  <c r="AO26" i="285"/>
  <c r="AO31" i="285"/>
  <c r="AG29" i="285"/>
  <c r="AG27" i="285"/>
  <c r="AG28" i="285"/>
  <c r="AG26" i="285"/>
  <c r="AG25" i="285"/>
  <c r="BJ20" i="435" l="1"/>
  <c r="BR43" i="435"/>
  <c r="BR39" i="435"/>
  <c r="BJ4" i="435"/>
  <c r="BJ11" i="435"/>
  <c r="BR44" i="435"/>
  <c r="BR41" i="435"/>
  <c r="BR40" i="435"/>
  <c r="BR47" i="435"/>
  <c r="BJ13" i="435"/>
  <c r="BJ51" i="435"/>
  <c r="BJ24" i="435"/>
  <c r="BR42" i="435"/>
  <c r="BJ6" i="435"/>
  <c r="BN4" i="435"/>
  <c r="BJ37" i="435"/>
  <c r="BJ28" i="435"/>
  <c r="BR22" i="435"/>
  <c r="BJ23" i="435"/>
  <c r="BJ30" i="435"/>
  <c r="BR6" i="435"/>
  <c r="BR28" i="435"/>
  <c r="BR24" i="435"/>
  <c r="BJ54" i="435"/>
  <c r="BJ41" i="435"/>
  <c r="BJ33" i="435"/>
  <c r="BJ56" i="435"/>
  <c r="BR26" i="435"/>
  <c r="BR25" i="435"/>
  <c r="BJ7" i="435"/>
  <c r="BR29" i="435"/>
  <c r="BJ8" i="435"/>
  <c r="BJ25" i="435"/>
  <c r="BR36" i="435"/>
  <c r="BN8" i="435"/>
  <c r="BR10" i="435"/>
  <c r="BR11" i="435"/>
  <c r="BR12" i="435"/>
  <c r="BR13" i="435"/>
  <c r="BJ34" i="435"/>
  <c r="BR9" i="435"/>
  <c r="BR7" i="435"/>
  <c r="BJ31" i="435"/>
  <c r="BJ35" i="435"/>
  <c r="BJ36" i="435"/>
  <c r="BJ15" i="435"/>
  <c r="BN13" i="435"/>
  <c r="BJ12" i="435"/>
  <c r="BJ55" i="435"/>
  <c r="BJ9" i="435"/>
  <c r="BR45" i="435"/>
  <c r="BR30" i="435"/>
  <c r="BN10" i="435"/>
  <c r="BR15" i="435"/>
  <c r="H23" i="435"/>
  <c r="BJ17" i="435"/>
  <c r="BJ48" i="435"/>
  <c r="BR4" i="435"/>
  <c r="BJ22" i="435"/>
  <c r="BR14" i="435"/>
  <c r="BR18" i="435"/>
  <c r="BN5" i="435"/>
  <c r="BR17" i="435"/>
  <c r="BJ46" i="435"/>
  <c r="BR20" i="435"/>
  <c r="BJ14" i="435"/>
  <c r="BJ16" i="435"/>
  <c r="BJ49" i="435"/>
  <c r="BJ18" i="435"/>
  <c r="BJ50" i="435"/>
  <c r="BR21" i="435"/>
  <c r="BJ53" i="435"/>
  <c r="BR19" i="435"/>
  <c r="BJ10" i="435"/>
  <c r="BJ45" i="435"/>
  <c r="BJ52" i="435"/>
  <c r="BJ19" i="435"/>
  <c r="BJ21" i="435"/>
  <c r="BJ27" i="435"/>
  <c r="BJ40" i="435"/>
  <c r="BR38" i="435"/>
  <c r="BN11" i="435"/>
  <c r="BR46" i="435"/>
  <c r="BJ57" i="435"/>
  <c r="BJ47" i="435"/>
  <c r="BJ29" i="435"/>
  <c r="BJ38" i="435"/>
  <c r="BJ44" i="435"/>
  <c r="BN9" i="435"/>
  <c r="BJ26" i="435"/>
  <c r="BJ39" i="435"/>
  <c r="BR23" i="435"/>
  <c r="BJ32" i="435"/>
  <c r="H37" i="435"/>
  <c r="BJ42" i="435"/>
  <c r="BR37" i="435"/>
  <c r="L42" i="285"/>
  <c r="AC21" i="285"/>
  <c r="L39" i="285" s="1"/>
  <c r="L37" i="285" s="1"/>
  <c r="AK23" i="285"/>
  <c r="AK37" i="285"/>
  <c r="AG23" i="285"/>
  <c r="AE37" i="285"/>
  <c r="AG37" i="285"/>
  <c r="AE23" i="285"/>
  <c r="AO37" i="285"/>
  <c r="AM37" i="285"/>
  <c r="AQ23" i="285"/>
  <c r="AI23" i="285"/>
  <c r="AO23" i="285"/>
  <c r="AC23" i="285"/>
  <c r="AM23" i="285"/>
  <c r="AQ37" i="285"/>
  <c r="AC37" i="285"/>
  <c r="AI37" i="285"/>
  <c r="AS31" i="285"/>
  <c r="J31" i="285" s="1"/>
  <c r="AS29" i="285"/>
  <c r="J29" i="285" s="1"/>
  <c r="AS30" i="285"/>
  <c r="J30" i="285" s="1"/>
  <c r="AS25" i="285"/>
  <c r="AS35" i="285"/>
  <c r="J35" i="285" s="1"/>
  <c r="AS34" i="285"/>
  <c r="J34" i="285" s="1"/>
  <c r="AS28" i="285"/>
  <c r="J28" i="285" s="1"/>
  <c r="AS32" i="285"/>
  <c r="J32" i="285" s="1"/>
  <c r="AS33" i="285"/>
  <c r="J33" i="285" s="1"/>
  <c r="AS26" i="285"/>
  <c r="J26" i="285" s="1"/>
  <c r="AS27" i="285"/>
  <c r="J27" i="285" s="1"/>
  <c r="Y37" i="285"/>
  <c r="AS47" i="285"/>
  <c r="J47" i="285" s="1"/>
  <c r="AS39" i="285"/>
  <c r="AS45" i="285"/>
  <c r="J45" i="285" s="1"/>
  <c r="AS43" i="285"/>
  <c r="J43" i="285" s="1"/>
  <c r="AS42" i="285"/>
  <c r="J42" i="285" s="1"/>
  <c r="AS48" i="285"/>
  <c r="J48" i="285" s="1"/>
  <c r="AS44" i="285"/>
  <c r="J44" i="285" s="1"/>
  <c r="AS49" i="285"/>
  <c r="J49" i="285" s="1"/>
  <c r="AS46" i="285"/>
  <c r="J46" i="285" s="1"/>
  <c r="AS41" i="285"/>
  <c r="J41" i="285" s="1"/>
  <c r="AS40" i="285"/>
  <c r="J40" i="285" s="1"/>
  <c r="Y23" i="285"/>
  <c r="B37" i="435" l="1"/>
  <c r="B39" i="435"/>
  <c r="B38" i="435"/>
  <c r="AS23" i="285"/>
  <c r="AS22" i="285" s="1"/>
  <c r="AS37" i="285"/>
  <c r="AS36" i="285" s="1"/>
  <c r="H46" i="285"/>
  <c r="H32" i="285"/>
  <c r="H47" i="285"/>
  <c r="H44" i="285"/>
  <c r="H45" i="285"/>
  <c r="H48" i="285"/>
  <c r="H33" i="285"/>
  <c r="J39" i="285"/>
  <c r="H41" i="285" s="1"/>
  <c r="H43" i="285"/>
  <c r="H31" i="285"/>
  <c r="H34" i="285"/>
  <c r="H49" i="285"/>
  <c r="H29" i="285"/>
  <c r="J25" i="285"/>
  <c r="H27" i="285" s="1"/>
  <c r="H30" i="285"/>
  <c r="H35" i="285"/>
  <c r="B36" i="435" l="1"/>
  <c r="BN11" i="285"/>
  <c r="BJ55" i="285"/>
  <c r="BJ56" i="285"/>
  <c r="BR28" i="285"/>
  <c r="BR26" i="285"/>
  <c r="BR30" i="285"/>
  <c r="BN14" i="285"/>
  <c r="BJ54" i="285"/>
  <c r="BR29" i="285"/>
  <c r="H26" i="285"/>
  <c r="BJ18" i="285" s="1"/>
  <c r="BJ30" i="285"/>
  <c r="BJ28" i="285"/>
  <c r="BJ29" i="285"/>
  <c r="BJ27" i="285"/>
  <c r="BJ26" i="285"/>
  <c r="BJ24" i="285"/>
  <c r="BJ25" i="285"/>
  <c r="BN6" i="285"/>
  <c r="BJ53" i="285"/>
  <c r="BJ51" i="285"/>
  <c r="BJ52" i="285"/>
  <c r="BJ50" i="285"/>
  <c r="BR23" i="285"/>
  <c r="BR22" i="285"/>
  <c r="BN10" i="285"/>
  <c r="BR20" i="285"/>
  <c r="BJ47" i="285"/>
  <c r="BJ46" i="285"/>
  <c r="BJ44" i="285"/>
  <c r="BJ48" i="285"/>
  <c r="BJ45" i="285"/>
  <c r="BR16" i="285"/>
  <c r="BR18" i="285"/>
  <c r="BN9" i="285"/>
  <c r="BJ41" i="285"/>
  <c r="BJ40" i="285"/>
  <c r="BJ43" i="285"/>
  <c r="BJ39" i="285"/>
  <c r="BJ38" i="285"/>
  <c r="BR12" i="285"/>
  <c r="BJ42" i="285"/>
  <c r="BN8" i="285"/>
  <c r="J23" i="285"/>
  <c r="H25" i="285"/>
  <c r="BJ57" i="285"/>
  <c r="BR38" i="285"/>
  <c r="BR33" i="285"/>
  <c r="BR37" i="285"/>
  <c r="BR36" i="285"/>
  <c r="BR35" i="285"/>
  <c r="BJ58" i="285"/>
  <c r="BN12" i="285"/>
  <c r="H28" i="285"/>
  <c r="BJ59" i="285"/>
  <c r="BR45" i="285"/>
  <c r="BR43" i="285"/>
  <c r="BR47" i="285"/>
  <c r="BR41" i="285"/>
  <c r="BN13" i="285"/>
  <c r="BR46" i="285"/>
  <c r="BR44" i="285"/>
  <c r="J37" i="285"/>
  <c r="H39" i="285"/>
  <c r="BR5" i="285" s="1"/>
  <c r="H40" i="285"/>
  <c r="BR25" i="285" s="1"/>
  <c r="H42" i="285"/>
  <c r="BR27" i="285" s="1"/>
  <c r="BJ21" i="285" l="1"/>
  <c r="BJ17" i="285"/>
  <c r="BJ22" i="285"/>
  <c r="BJ19" i="285"/>
  <c r="BJ14" i="285"/>
  <c r="BJ20" i="285"/>
  <c r="BJ16" i="285"/>
  <c r="BR31" i="285"/>
  <c r="BR39" i="285"/>
  <c r="BR40" i="285"/>
  <c r="BN5" i="285"/>
  <c r="BR11" i="285"/>
  <c r="BR34" i="285"/>
  <c r="BR4" i="285"/>
  <c r="BR13" i="285"/>
  <c r="BR14" i="285"/>
  <c r="BR21" i="285"/>
  <c r="H37" i="285"/>
  <c r="BR24" i="285"/>
  <c r="BR42" i="285"/>
  <c r="BR32" i="285"/>
  <c r="BJ15" i="285"/>
  <c r="BR19" i="285"/>
  <c r="BJ49" i="285"/>
  <c r="BR6" i="285"/>
  <c r="BJ32" i="285"/>
  <c r="BJ34" i="285"/>
  <c r="BJ33" i="285"/>
  <c r="BJ37" i="285"/>
  <c r="BJ36" i="285"/>
  <c r="BJ35" i="285"/>
  <c r="BJ31" i="285"/>
  <c r="BR8" i="285"/>
  <c r="BR7" i="285"/>
  <c r="BR9" i="285"/>
  <c r="BN7" i="285"/>
  <c r="BJ12" i="285"/>
  <c r="H23" i="285"/>
  <c r="BJ10" i="285"/>
  <c r="BJ8" i="285"/>
  <c r="BJ9" i="285"/>
  <c r="BJ5" i="285"/>
  <c r="BN4" i="285"/>
  <c r="BJ11" i="285"/>
  <c r="BJ4" i="285"/>
  <c r="BJ7" i="285"/>
  <c r="BJ6" i="285"/>
  <c r="BJ13" i="285"/>
  <c r="BR10" i="285"/>
  <c r="BR17" i="285"/>
  <c r="BR15" i="285"/>
  <c r="BJ23" i="285"/>
  <c r="B38" i="285" l="1"/>
  <c r="B37" i="285"/>
  <c r="B39" i="285"/>
  <c r="B36" i="285" l="1"/>
  <c r="C16" i="273" l="1"/>
  <c r="B33" i="273"/>
  <c r="C33" i="273"/>
  <c r="B16" i="273"/>
  <c r="BF48" i="273"/>
  <c r="BF47" i="273"/>
  <c r="BF46" i="273"/>
  <c r="BH45" i="273"/>
  <c r="BH50" i="273" s="1"/>
  <c r="BE45" i="273"/>
  <c r="BF44" i="273"/>
  <c r="BE44" i="273"/>
  <c r="BF45" i="273" s="1"/>
  <c r="BD44" i="273"/>
  <c r="BE43" i="273"/>
  <c r="BD43" i="273"/>
  <c r="BC43" i="273"/>
  <c r="BE42" i="273"/>
  <c r="BF43" i="273" s="1"/>
  <c r="BD42" i="273"/>
  <c r="BC42" i="273"/>
  <c r="BF41" i="273"/>
  <c r="BE41" i="273"/>
  <c r="BF42" i="273" s="1"/>
  <c r="BD41" i="273"/>
  <c r="BC41" i="273"/>
  <c r="BF40" i="273"/>
  <c r="BE40" i="273"/>
  <c r="BD40" i="273"/>
  <c r="BC40" i="273"/>
  <c r="BH39" i="273"/>
  <c r="BH44" i="273" s="1"/>
  <c r="BL10" i="273" s="1"/>
  <c r="BP30" i="273" s="1"/>
  <c r="BP37" i="273" s="1"/>
  <c r="BP45" i="273" s="1"/>
  <c r="BC39" i="273"/>
  <c r="AS37" i="273"/>
  <c r="AR37" i="273"/>
  <c r="AQ37" i="273"/>
  <c r="AP37" i="273"/>
  <c r="AO37" i="273"/>
  <c r="AN37" i="273"/>
  <c r="AM37" i="273"/>
  <c r="AL37" i="273"/>
  <c r="AK37" i="273"/>
  <c r="AJ37" i="273"/>
  <c r="AI37" i="273"/>
  <c r="AH37" i="273"/>
  <c r="AG37" i="273"/>
  <c r="AF37" i="273"/>
  <c r="AE37" i="273"/>
  <c r="AD37" i="273"/>
  <c r="AC37" i="273"/>
  <c r="AB37" i="273"/>
  <c r="AA37" i="273"/>
  <c r="Z37" i="273"/>
  <c r="Y37" i="273"/>
  <c r="X37" i="273"/>
  <c r="W37" i="273"/>
  <c r="V37" i="273"/>
  <c r="U37" i="273"/>
  <c r="T37" i="273"/>
  <c r="S37" i="273"/>
  <c r="R37" i="273"/>
  <c r="Q37" i="273"/>
  <c r="P37" i="273"/>
  <c r="O37" i="273"/>
  <c r="N37" i="273"/>
  <c r="M37" i="273"/>
  <c r="L37" i="273"/>
  <c r="K37" i="273"/>
  <c r="J37" i="273"/>
  <c r="I37" i="273"/>
  <c r="H37" i="273"/>
  <c r="G37" i="273"/>
  <c r="BF34" i="273"/>
  <c r="BH33" i="273"/>
  <c r="BF33" i="273"/>
  <c r="C32" i="273"/>
  <c r="B32" i="273"/>
  <c r="BH31" i="273"/>
  <c r="BE31" i="273"/>
  <c r="BF32" i="273" s="1"/>
  <c r="BH30" i="273"/>
  <c r="BH37" i="273" s="1"/>
  <c r="BH43" i="273" s="1"/>
  <c r="BH48" i="273" s="1"/>
  <c r="BH53" i="273" s="1"/>
  <c r="BH56" i="273" s="1"/>
  <c r="BH58" i="273" s="1"/>
  <c r="BH59" i="273" s="1"/>
  <c r="BE30" i="273"/>
  <c r="BF31" i="273" s="1"/>
  <c r="BD30" i="273"/>
  <c r="E30" i="273"/>
  <c r="D30" i="273"/>
  <c r="BH29" i="273"/>
  <c r="BH36" i="273" s="1"/>
  <c r="BH42" i="273" s="1"/>
  <c r="BH47" i="273" s="1"/>
  <c r="BH52" i="273" s="1"/>
  <c r="BH55" i="273" s="1"/>
  <c r="BH57" i="273" s="1"/>
  <c r="BL13" i="273" s="1"/>
  <c r="BE29" i="273"/>
  <c r="BF30" i="273" s="1"/>
  <c r="BD29" i="273"/>
  <c r="BC29" i="273"/>
  <c r="C29" i="273"/>
  <c r="B29" i="273"/>
  <c r="BH28" i="273"/>
  <c r="BH35" i="273" s="1"/>
  <c r="BH41" i="273" s="1"/>
  <c r="BH46" i="273" s="1"/>
  <c r="BH51" i="273" s="1"/>
  <c r="BH54" i="273" s="1"/>
  <c r="BF28" i="273"/>
  <c r="BE28" i="273"/>
  <c r="BF29" i="273" s="1"/>
  <c r="BD28" i="273"/>
  <c r="BC28" i="273"/>
  <c r="BH27" i="273"/>
  <c r="BH34" i="273" s="1"/>
  <c r="BH40" i="273" s="1"/>
  <c r="BF27" i="273"/>
  <c r="BE27" i="273"/>
  <c r="BD27" i="273"/>
  <c r="BC27" i="273"/>
  <c r="C27" i="273"/>
  <c r="B27" i="273"/>
  <c r="BH26" i="273"/>
  <c r="BF26" i="273"/>
  <c r="BE26" i="273"/>
  <c r="BD26" i="273"/>
  <c r="BC26" i="273"/>
  <c r="E26" i="273"/>
  <c r="E27" i="273" s="1"/>
  <c r="D26" i="273"/>
  <c r="C26" i="273"/>
  <c r="B26" i="273"/>
  <c r="BH25" i="273"/>
  <c r="BH32" i="273" s="1"/>
  <c r="BH38" i="273" s="1"/>
  <c r="BC25" i="273"/>
  <c r="E25" i="273"/>
  <c r="D25" i="273"/>
  <c r="C25" i="273"/>
  <c r="B25" i="273"/>
  <c r="BH24" i="273"/>
  <c r="BH23" i="273"/>
  <c r="B22" i="273"/>
  <c r="C22" i="273" s="1"/>
  <c r="B20" i="273"/>
  <c r="B21" i="273" s="1"/>
  <c r="AA19" i="273"/>
  <c r="Z19" i="273"/>
  <c r="Y19" i="273"/>
  <c r="P19" i="273"/>
  <c r="O19" i="273"/>
  <c r="Q19" i="273" s="1"/>
  <c r="BP18" i="273"/>
  <c r="BP22" i="273" s="1"/>
  <c r="BP28" i="273" s="1"/>
  <c r="BP35" i="273" s="1"/>
  <c r="BP43" i="273" s="1"/>
  <c r="AA18" i="273"/>
  <c r="Q18" i="273"/>
  <c r="Z17" i="273"/>
  <c r="AA17" i="273" s="1"/>
  <c r="Y17" i="273"/>
  <c r="Q17" i="273"/>
  <c r="P17" i="273"/>
  <c r="O17" i="273"/>
  <c r="AA16" i="273"/>
  <c r="Y16" i="273"/>
  <c r="Q16" i="273"/>
  <c r="O16" i="273"/>
  <c r="AA15" i="273"/>
  <c r="Q15" i="273"/>
  <c r="AA14" i="273"/>
  <c r="Y14" i="273"/>
  <c r="Q14" i="273"/>
  <c r="O14" i="273"/>
  <c r="Z13" i="273"/>
  <c r="AA13" i="273" s="1"/>
  <c r="P13" i="273"/>
  <c r="Q13" i="273" s="1"/>
  <c r="BL12" i="273"/>
  <c r="BP47" i="273" s="1"/>
  <c r="AA12" i="273"/>
  <c r="Q12" i="273"/>
  <c r="BL11" i="273"/>
  <c r="BP38" i="273" s="1"/>
  <c r="BP46" i="273" s="1"/>
  <c r="AA11" i="273"/>
  <c r="Z11" i="273"/>
  <c r="Y11" i="273"/>
  <c r="P11" i="273"/>
  <c r="Q11" i="273" s="1"/>
  <c r="O11" i="273"/>
  <c r="Z10" i="273"/>
  <c r="AA10" i="273" s="1"/>
  <c r="Y10" i="273"/>
  <c r="P10" i="273"/>
  <c r="Q10" i="273" s="1"/>
  <c r="O10" i="273"/>
  <c r="BL9" i="273"/>
  <c r="BP23" i="273" s="1"/>
  <c r="BP29" i="273" s="1"/>
  <c r="BP36" i="273" s="1"/>
  <c r="BP44" i="273" s="1"/>
  <c r="Y9" i="273"/>
  <c r="AA9" i="273" s="1"/>
  <c r="Q9" i="273"/>
  <c r="O9" i="273"/>
  <c r="BL8" i="273"/>
  <c r="Z8" i="273"/>
  <c r="AA8" i="273" s="1"/>
  <c r="Y8" i="273"/>
  <c r="P8" i="273"/>
  <c r="Q8" i="273" s="1"/>
  <c r="O8" i="273"/>
  <c r="BL7" i="273"/>
  <c r="BP13" i="273" s="1"/>
  <c r="BP17" i="273" s="1"/>
  <c r="BP21" i="273" s="1"/>
  <c r="BP27" i="273" s="1"/>
  <c r="BP34" i="273" s="1"/>
  <c r="BP42" i="273" s="1"/>
  <c r="AA7" i="273"/>
  <c r="Q7" i="273"/>
  <c r="BP6" i="273"/>
  <c r="BP8" i="273" s="1"/>
  <c r="BP11" i="273" s="1"/>
  <c r="BP15" i="273" s="1"/>
  <c r="BP19" i="273" s="1"/>
  <c r="BP25" i="273" s="1"/>
  <c r="BP32" i="273" s="1"/>
  <c r="BP40" i="273" s="1"/>
  <c r="BL6" i="273"/>
  <c r="BP9" i="273" s="1"/>
  <c r="BP12" i="273" s="1"/>
  <c r="BP16" i="273" s="1"/>
  <c r="BP20" i="273" s="1"/>
  <c r="BP26" i="273" s="1"/>
  <c r="BP33" i="273" s="1"/>
  <c r="BP41" i="273" s="1"/>
  <c r="Z6" i="273"/>
  <c r="Y6" i="273"/>
  <c r="AA6" i="273" s="1"/>
  <c r="Q6" i="273"/>
  <c r="P6" i="273"/>
  <c r="O6" i="273"/>
  <c r="BP5" i="273"/>
  <c r="BP7" i="273" s="1"/>
  <c r="BP10" i="273" s="1"/>
  <c r="BP14" i="273" s="1"/>
  <c r="BH49" i="273" s="1"/>
  <c r="BP24" i="273" s="1"/>
  <c r="BP31" i="273" s="1"/>
  <c r="BP39" i="273" s="1"/>
  <c r="BL14" i="273" s="1"/>
  <c r="Z5" i="273"/>
  <c r="AA5" i="273" s="1"/>
  <c r="Y5" i="273"/>
  <c r="P5" i="273"/>
  <c r="Q5" i="273" s="1"/>
  <c r="O5" i="273"/>
  <c r="K3" i="273"/>
  <c r="G3" i="273"/>
  <c r="D3" i="273"/>
  <c r="S2" i="273"/>
  <c r="K2" i="273"/>
  <c r="G2" i="273"/>
  <c r="AF1" i="273"/>
  <c r="S1" i="273"/>
  <c r="K1" i="273"/>
  <c r="L1" i="273" s="1"/>
  <c r="M1" i="273" s="1"/>
  <c r="M2" i="273" s="1"/>
  <c r="H1" i="273"/>
  <c r="G1" i="273"/>
  <c r="E23" i="273" l="1"/>
  <c r="R19" i="273"/>
  <c r="AB16" i="273"/>
  <c r="AB14" i="273"/>
  <c r="AB19" i="273"/>
  <c r="AB18" i="273"/>
  <c r="R17" i="273"/>
  <c r="R16" i="273"/>
  <c r="R15" i="273"/>
  <c r="R14" i="273"/>
  <c r="R18" i="273"/>
  <c r="R12" i="273"/>
  <c r="R10" i="273"/>
  <c r="AB9" i="273"/>
  <c r="R8" i="273"/>
  <c r="AB7" i="273"/>
  <c r="R5" i="273"/>
  <c r="AB6" i="273"/>
  <c r="AB17" i="273"/>
  <c r="R13" i="273"/>
  <c r="R11" i="273"/>
  <c r="AB10" i="273"/>
  <c r="AB8" i="273"/>
  <c r="R7" i="273"/>
  <c r="AB5" i="273"/>
  <c r="R6" i="273"/>
  <c r="AB15" i="273"/>
  <c r="AB12" i="273"/>
  <c r="AB13" i="273"/>
  <c r="AB11" i="273"/>
  <c r="R9" i="273"/>
  <c r="C31" i="273"/>
  <c r="W38" i="273" s="1"/>
  <c r="B23" i="273"/>
  <c r="C23" i="273" s="1"/>
  <c r="D27" i="273"/>
  <c r="D23" i="273" s="1"/>
  <c r="T33" i="273" l="1"/>
  <c r="T34" i="273"/>
  <c r="B31" i="273"/>
  <c r="AC5" i="273"/>
  <c r="S10" i="273"/>
  <c r="AC12" i="273"/>
  <c r="S7" i="273"/>
  <c r="S13" i="273"/>
  <c r="AC7" i="273"/>
  <c r="S12" i="273"/>
  <c r="AC14" i="273"/>
  <c r="T47" i="273"/>
  <c r="T45" i="273"/>
  <c r="B34" i="273"/>
  <c r="B24" i="273"/>
  <c r="T43" i="273"/>
  <c r="T48" i="273"/>
  <c r="S9" i="273"/>
  <c r="AC15" i="273"/>
  <c r="AC8" i="273"/>
  <c r="AD6" i="273" s="1"/>
  <c r="AC17" i="273"/>
  <c r="S8" i="273"/>
  <c r="S18" i="273"/>
  <c r="S17" i="273"/>
  <c r="AC16" i="273"/>
  <c r="AC13" i="273"/>
  <c r="S11" i="273"/>
  <c r="S5" i="273"/>
  <c r="U10" i="273" s="1"/>
  <c r="S15" i="273"/>
  <c r="AC19" i="273"/>
  <c r="C34" i="273"/>
  <c r="T32" i="273"/>
  <c r="T30" i="273"/>
  <c r="T29" i="273"/>
  <c r="C24" i="273"/>
  <c r="T31" i="273"/>
  <c r="T27" i="273"/>
  <c r="T25" i="273"/>
  <c r="T24" i="273"/>
  <c r="T22" i="273" s="1"/>
  <c r="T26" i="273"/>
  <c r="T28" i="273"/>
  <c r="S16" i="273"/>
  <c r="AC11" i="273"/>
  <c r="S6" i="273"/>
  <c r="T5" i="273" s="1"/>
  <c r="AC10" i="273"/>
  <c r="AC6" i="273"/>
  <c r="AD5" i="273" s="1"/>
  <c r="AC9" i="273"/>
  <c r="AD13" i="273" s="1"/>
  <c r="S14" i="273"/>
  <c r="AC18" i="273"/>
  <c r="T19" i="273"/>
  <c r="S19" i="273"/>
  <c r="U14" i="273" l="1"/>
  <c r="AE6" i="273"/>
  <c r="AE10" i="273"/>
  <c r="U17" i="273"/>
  <c r="U15" i="273"/>
  <c r="AE17" i="273"/>
  <c r="U5" i="273"/>
  <c r="U7" i="273"/>
  <c r="U11" i="273"/>
  <c r="AE11" i="273"/>
  <c r="U6" i="273"/>
  <c r="AE15" i="273"/>
  <c r="AE16" i="273"/>
  <c r="U9" i="273"/>
  <c r="AE7" i="273"/>
  <c r="T16" i="273"/>
  <c r="T15" i="273"/>
  <c r="T11" i="273"/>
  <c r="AE13" i="273"/>
  <c r="AD16" i="273"/>
  <c r="T18" i="273"/>
  <c r="AD15" i="273"/>
  <c r="N27" i="273"/>
  <c r="P27" i="273" s="1"/>
  <c r="N25" i="273"/>
  <c r="N24" i="273"/>
  <c r="N28" i="273"/>
  <c r="P28" i="273" s="1"/>
  <c r="N26" i="273"/>
  <c r="P26" i="273" s="1"/>
  <c r="N29" i="273"/>
  <c r="P29" i="273" s="1"/>
  <c r="R34" i="273" s="1"/>
  <c r="AE14" i="273"/>
  <c r="T12" i="273"/>
  <c r="AE12" i="273"/>
  <c r="AC20" i="273"/>
  <c r="S20" i="273"/>
  <c r="T8" i="273"/>
  <c r="U13" i="273"/>
  <c r="T10" i="273"/>
  <c r="AE9" i="273"/>
  <c r="AD11" i="273"/>
  <c r="AE18" i="273"/>
  <c r="T14" i="273"/>
  <c r="AD10" i="273"/>
  <c r="T6" i="273"/>
  <c r="T20" i="273" s="1"/>
  <c r="L25" i="273" s="1"/>
  <c r="AD19" i="273"/>
  <c r="U8" i="273"/>
  <c r="U20" i="273" s="1"/>
  <c r="L26" i="273" s="1"/>
  <c r="AE8" i="273"/>
  <c r="T9" i="273"/>
  <c r="U12" i="273"/>
  <c r="T13" i="273"/>
  <c r="T7" i="273"/>
  <c r="AD12" i="273"/>
  <c r="W24" i="273"/>
  <c r="T46" i="273"/>
  <c r="T40" i="273"/>
  <c r="T44" i="273"/>
  <c r="T39" i="273"/>
  <c r="T41" i="273"/>
  <c r="T42" i="273"/>
  <c r="T38" i="273"/>
  <c r="T36" i="273" s="1"/>
  <c r="N42" i="273"/>
  <c r="P42" i="273" s="1"/>
  <c r="N40" i="273"/>
  <c r="P40" i="273" s="1"/>
  <c r="N38" i="273"/>
  <c r="N43" i="273"/>
  <c r="P43" i="273" s="1"/>
  <c r="N41" i="273"/>
  <c r="P41" i="273" s="1"/>
  <c r="N39" i="273"/>
  <c r="P39" i="273" s="1"/>
  <c r="T17" i="273"/>
  <c r="AE5" i="273"/>
  <c r="AE20" i="273" s="1"/>
  <c r="L40" i="273" s="1"/>
  <c r="AD18" i="273"/>
  <c r="AD9" i="273"/>
  <c r="U16" i="273"/>
  <c r="U18" i="273"/>
  <c r="AD17" i="273"/>
  <c r="AD8" i="273"/>
  <c r="AD14" i="273"/>
  <c r="AD7" i="273"/>
  <c r="AD20" i="273" s="1"/>
  <c r="L39" i="273" s="1"/>
  <c r="R33" i="273" l="1"/>
  <c r="R48" i="273"/>
  <c r="R47" i="273"/>
  <c r="R45" i="273"/>
  <c r="R46" i="273"/>
  <c r="R44" i="273"/>
  <c r="V20" i="273"/>
  <c r="L27" i="273" s="1"/>
  <c r="L24" i="273"/>
  <c r="N36" i="273"/>
  <c r="P38" i="273"/>
  <c r="R43" i="273" s="1"/>
  <c r="L38" i="273"/>
  <c r="AF20" i="273"/>
  <c r="L41" i="273" s="1"/>
  <c r="P25" i="273"/>
  <c r="R30" i="273" s="1"/>
  <c r="P24" i="273"/>
  <c r="N22" i="273"/>
  <c r="R39" i="273"/>
  <c r="R40" i="273"/>
  <c r="R31" i="273"/>
  <c r="R32" i="273"/>
  <c r="R41" i="273"/>
  <c r="R42" i="273"/>
  <c r="R25" i="273" l="1"/>
  <c r="L22" i="273"/>
  <c r="R38" i="273"/>
  <c r="P36" i="273"/>
  <c r="L36" i="273"/>
  <c r="R28" i="273"/>
  <c r="R26" i="273"/>
  <c r="P22" i="273"/>
  <c r="R29" i="273"/>
  <c r="R24" i="273"/>
  <c r="R27" i="273"/>
  <c r="V27" i="273" s="1"/>
  <c r="V26" i="273" l="1"/>
  <c r="AE25" i="273"/>
  <c r="AE26" i="273"/>
  <c r="AE24" i="273"/>
  <c r="AE22" i="273" s="1"/>
  <c r="AE27" i="273"/>
  <c r="V38" i="273"/>
  <c r="R36" i="273"/>
  <c r="V47" i="273"/>
  <c r="V43" i="273"/>
  <c r="V45" i="273"/>
  <c r="V46" i="273"/>
  <c r="V44" i="273"/>
  <c r="V42" i="273"/>
  <c r="V24" i="273"/>
  <c r="R22" i="273"/>
  <c r="V33" i="273"/>
  <c r="V32" i="273"/>
  <c r="V29" i="273"/>
  <c r="V28" i="273"/>
  <c r="V30" i="273"/>
  <c r="V31" i="273"/>
  <c r="V40" i="273"/>
  <c r="AC24" i="273"/>
  <c r="AC22" i="273" s="1"/>
  <c r="AC25" i="273"/>
  <c r="AC26" i="273"/>
  <c r="V41" i="273"/>
  <c r="V25" i="273"/>
  <c r="V39" i="273"/>
  <c r="AA25" i="273" l="1"/>
  <c r="AA24" i="273"/>
  <c r="AA22" i="273" s="1"/>
  <c r="AG27" i="273"/>
  <c r="AG24" i="273"/>
  <c r="AG22" i="273" s="1"/>
  <c r="AG25" i="273"/>
  <c r="AG26" i="273"/>
  <c r="AG28" i="273"/>
  <c r="AE41" i="273"/>
  <c r="AE39" i="273"/>
  <c r="AE38" i="273"/>
  <c r="AE36" i="273" s="1"/>
  <c r="AE40" i="273"/>
  <c r="AC38" i="273"/>
  <c r="AC36" i="273" s="1"/>
  <c r="AC39" i="273"/>
  <c r="AC40" i="273"/>
  <c r="AI29" i="273"/>
  <c r="AI28" i="273"/>
  <c r="AI26" i="273"/>
  <c r="AI24" i="273"/>
  <c r="AI22" i="273" s="1"/>
  <c r="AI25" i="273"/>
  <c r="AI27" i="273"/>
  <c r="AO44" i="273"/>
  <c r="AO40" i="273"/>
  <c r="AO46" i="273"/>
  <c r="AO43" i="273"/>
  <c r="AO45" i="273"/>
  <c r="AO39" i="273"/>
  <c r="AO38" i="273"/>
  <c r="AO36" i="273" s="1"/>
  <c r="AO41" i="273"/>
  <c r="AO42" i="273"/>
  <c r="AQ41" i="273"/>
  <c r="AQ39" i="273"/>
  <c r="AQ38" i="273"/>
  <c r="AQ36" i="273" s="1"/>
  <c r="AQ42" i="273"/>
  <c r="AQ45" i="273"/>
  <c r="AQ44" i="273"/>
  <c r="AQ40" i="273"/>
  <c r="AQ47" i="273"/>
  <c r="AQ43" i="273"/>
  <c r="AQ46" i="273"/>
  <c r="AQ33" i="273"/>
  <c r="AQ28" i="273"/>
  <c r="AQ26" i="273"/>
  <c r="AQ24" i="273"/>
  <c r="AQ22" i="273" s="1"/>
  <c r="AQ31" i="273"/>
  <c r="AQ29" i="273"/>
  <c r="AQ32" i="273"/>
  <c r="AQ30" i="273"/>
  <c r="AQ25" i="273"/>
  <c r="AQ27" i="273"/>
  <c r="AM26" i="273"/>
  <c r="AM29" i="273"/>
  <c r="AM31" i="273"/>
  <c r="AM24" i="273"/>
  <c r="AM22" i="273" s="1"/>
  <c r="AM28" i="273"/>
  <c r="AM27" i="273"/>
  <c r="AM25" i="273"/>
  <c r="AM30" i="273"/>
  <c r="AO29" i="273"/>
  <c r="AO25" i="273"/>
  <c r="AO30" i="273"/>
  <c r="AO26" i="273"/>
  <c r="AO31" i="273"/>
  <c r="AO28" i="273"/>
  <c r="AO24" i="273"/>
  <c r="AO22" i="273" s="1"/>
  <c r="AO32" i="273"/>
  <c r="AO27" i="273"/>
  <c r="V22" i="273"/>
  <c r="V34" i="273" s="1"/>
  <c r="Y24" i="273"/>
  <c r="V21" i="273"/>
  <c r="AM39" i="273"/>
  <c r="AM45" i="273"/>
  <c r="AM43" i="273"/>
  <c r="AM44" i="273"/>
  <c r="AM40" i="273"/>
  <c r="AM38" i="273"/>
  <c r="AM36" i="273" s="1"/>
  <c r="AM42" i="273"/>
  <c r="AM41" i="273"/>
  <c r="AK41" i="273"/>
  <c r="AK40" i="273"/>
  <c r="AK39" i="273"/>
  <c r="AK42" i="273"/>
  <c r="AK38" i="273"/>
  <c r="AK36" i="273" s="1"/>
  <c r="AK44" i="273"/>
  <c r="AK43" i="273"/>
  <c r="AA39" i="273"/>
  <c r="AA38" i="273"/>
  <c r="AA36" i="273" s="1"/>
  <c r="AK27" i="273"/>
  <c r="AK25" i="273"/>
  <c r="AK24" i="273"/>
  <c r="AK22" i="273" s="1"/>
  <c r="AK29" i="273"/>
  <c r="AK26" i="273"/>
  <c r="AK28" i="273"/>
  <c r="AK30" i="273"/>
  <c r="AG42" i="273"/>
  <c r="AG40" i="273"/>
  <c r="AG41" i="273"/>
  <c r="AG38" i="273"/>
  <c r="AG36" i="273" s="1"/>
  <c r="AG39" i="273"/>
  <c r="AI39" i="273"/>
  <c r="AI38" i="273"/>
  <c r="AI36" i="273" s="1"/>
  <c r="AI42" i="273"/>
  <c r="AI40" i="273"/>
  <c r="AI43" i="273"/>
  <c r="AI41" i="273"/>
  <c r="V36" i="273"/>
  <c r="V48" i="273" s="1"/>
  <c r="Y38" i="273"/>
  <c r="V35" i="273"/>
  <c r="Y36" i="273" l="1"/>
  <c r="AS42" i="273"/>
  <c r="J42" i="273" s="1"/>
  <c r="AS41" i="273"/>
  <c r="J41" i="273" s="1"/>
  <c r="AS47" i="273"/>
  <c r="J47" i="273" s="1"/>
  <c r="AS43" i="273"/>
  <c r="AS48" i="273"/>
  <c r="J48" i="273" s="1"/>
  <c r="AS45" i="273"/>
  <c r="J45" i="273" s="1"/>
  <c r="AS40" i="273"/>
  <c r="J40" i="273" s="1"/>
  <c r="AS39" i="273"/>
  <c r="AS46" i="273"/>
  <c r="J46" i="273" s="1"/>
  <c r="AS38" i="273"/>
  <c r="AS36" i="273" s="1"/>
  <c r="AS44" i="273"/>
  <c r="J44" i="273" s="1"/>
  <c r="J39" i="273"/>
  <c r="Y22" i="273"/>
  <c r="J43" i="273"/>
  <c r="AS28" i="273"/>
  <c r="J28" i="273" s="1"/>
  <c r="AS29" i="273"/>
  <c r="J29" i="273" s="1"/>
  <c r="AS34" i="273"/>
  <c r="J34" i="273" s="1"/>
  <c r="AS26" i="273"/>
  <c r="J26" i="273" s="1"/>
  <c r="AS32" i="273"/>
  <c r="J32" i="273" s="1"/>
  <c r="AS27" i="273"/>
  <c r="J27" i="273" s="1"/>
  <c r="AS30" i="273"/>
  <c r="J30" i="273" s="1"/>
  <c r="AS24" i="273"/>
  <c r="AS22" i="273" s="1"/>
  <c r="AS31" i="273"/>
  <c r="J31" i="273" s="1"/>
  <c r="AS33" i="273"/>
  <c r="J33" i="273" s="1"/>
  <c r="AS25" i="273"/>
  <c r="J25" i="273" s="1"/>
  <c r="H44" i="273" l="1"/>
  <c r="H43" i="273"/>
  <c r="AS35" i="273"/>
  <c r="H33" i="273"/>
  <c r="BR45" i="273" s="1"/>
  <c r="H31" i="273"/>
  <c r="BR30" i="273" s="1"/>
  <c r="J24" i="273"/>
  <c r="H25" i="273" s="1"/>
  <c r="H47" i="273"/>
  <c r="H30" i="273"/>
  <c r="H29" i="273"/>
  <c r="BR29" i="273"/>
  <c r="H32" i="273"/>
  <c r="H28" i="273"/>
  <c r="H42" i="273"/>
  <c r="AS21" i="273"/>
  <c r="J38" i="273"/>
  <c r="H45" i="273"/>
  <c r="H46" i="273"/>
  <c r="H48" i="273"/>
  <c r="H34" i="273"/>
  <c r="H24" i="273" l="1"/>
  <c r="J22" i="273"/>
  <c r="BR43" i="273"/>
  <c r="H27" i="273"/>
  <c r="BJ37" i="273" s="1"/>
  <c r="BN13" i="273"/>
  <c r="BR44" i="273"/>
  <c r="H26" i="273"/>
  <c r="BJ26" i="273" s="1"/>
  <c r="BR47" i="273"/>
  <c r="BJ18" i="273"/>
  <c r="BJ19" i="273"/>
  <c r="BJ17" i="273"/>
  <c r="BJ16" i="273"/>
  <c r="BJ21" i="273"/>
  <c r="BJ54" i="273"/>
  <c r="BJ55" i="273"/>
  <c r="BN11" i="273"/>
  <c r="J36" i="273"/>
  <c r="H38" i="273"/>
  <c r="H39" i="273"/>
  <c r="BR32" i="273" s="1"/>
  <c r="BJ41" i="273"/>
  <c r="BJ40" i="273"/>
  <c r="BJ43" i="273"/>
  <c r="BJ39" i="273"/>
  <c r="BJ38" i="273"/>
  <c r="BJ42" i="273"/>
  <c r="BN8" i="273"/>
  <c r="BR28" i="273"/>
  <c r="BJ47" i="273"/>
  <c r="BJ46" i="273"/>
  <c r="BJ44" i="273"/>
  <c r="BJ48" i="273"/>
  <c r="BJ45" i="273"/>
  <c r="BR18" i="273"/>
  <c r="BN9" i="273"/>
  <c r="BR46" i="273"/>
  <c r="BJ59" i="273"/>
  <c r="H22" i="273"/>
  <c r="BJ12" i="273"/>
  <c r="BJ13" i="273"/>
  <c r="BJ9" i="273"/>
  <c r="BJ7" i="273"/>
  <c r="BJ10" i="273"/>
  <c r="BJ8" i="273"/>
  <c r="BJ11" i="273"/>
  <c r="BN14" i="273"/>
  <c r="BJ22" i="273"/>
  <c r="BJ57" i="273"/>
  <c r="BR38" i="273"/>
  <c r="BR37" i="273"/>
  <c r="BR36" i="273"/>
  <c r="BR35" i="273"/>
  <c r="BJ58" i="273"/>
  <c r="BN12" i="273"/>
  <c r="BJ53" i="273"/>
  <c r="BJ51" i="273"/>
  <c r="BJ52" i="273"/>
  <c r="BJ50" i="273"/>
  <c r="BR22" i="273"/>
  <c r="BR23" i="273"/>
  <c r="BN10" i="273"/>
  <c r="BJ56" i="273"/>
  <c r="H40" i="273"/>
  <c r="BR20" i="273" s="1"/>
  <c r="H41" i="273"/>
  <c r="BJ6" i="273" s="1"/>
  <c r="BJ20" i="273"/>
  <c r="BJ31" i="273" l="1"/>
  <c r="BJ33" i="273"/>
  <c r="BJ35" i="273"/>
  <c r="BJ34" i="273"/>
  <c r="BJ36" i="273"/>
  <c r="BJ32" i="273"/>
  <c r="BR7" i="273"/>
  <c r="BJ27" i="273"/>
  <c r="BJ28" i="273"/>
  <c r="BJ24" i="273"/>
  <c r="BJ29" i="273"/>
  <c r="BJ25" i="273"/>
  <c r="BJ30" i="273"/>
  <c r="BR15" i="273"/>
  <c r="BR11" i="273"/>
  <c r="BR8" i="273"/>
  <c r="BJ4" i="273"/>
  <c r="B38" i="273" s="1"/>
  <c r="BR19" i="273"/>
  <c r="BR31" i="273"/>
  <c r="BN4" i="273"/>
  <c r="B37" i="273" s="1"/>
  <c r="B36" i="273" s="1"/>
  <c r="BR14" i="273"/>
  <c r="BR10" i="273"/>
  <c r="BJ49" i="273"/>
  <c r="BR41" i="273"/>
  <c r="BJ14" i="273"/>
  <c r="BR26" i="273"/>
  <c r="BN6" i="273"/>
  <c r="BR21" i="273"/>
  <c r="BR9" i="273"/>
  <c r="BR16" i="273"/>
  <c r="BR6" i="273"/>
  <c r="BN5" i="273"/>
  <c r="BR25" i="273"/>
  <c r="BR40" i="273"/>
  <c r="BR12" i="273"/>
  <c r="H36" i="273"/>
  <c r="BR5" i="273"/>
  <c r="BR39" i="273"/>
  <c r="BR4" i="273"/>
  <c r="B39" i="273" s="1"/>
  <c r="BR24" i="273"/>
  <c r="BR27" i="273"/>
  <c r="BJ15" i="273"/>
  <c r="BR42" i="273"/>
  <c r="BJ23" i="273"/>
  <c r="BN7" i="273"/>
  <c r="BR34" i="273"/>
  <c r="BR33" i="273"/>
  <c r="BJ5" i="273"/>
  <c r="BR17" i="273"/>
  <c r="BR13" i="273"/>
</calcChain>
</file>

<file path=xl/comments1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37!!!!!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37!!!!!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3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19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4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19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5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19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4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8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sharedStrings.xml><?xml version="1.0" encoding="utf-8"?>
<sst xmlns="http://schemas.openxmlformats.org/spreadsheetml/2006/main" count="1094" uniqueCount="156">
  <si>
    <t>LOCAL</t>
  </si>
  <si>
    <t>Mediocampo</t>
  </si>
  <si>
    <t>Defensa derecha</t>
  </si>
  <si>
    <t>Defensa central</t>
  </si>
  <si>
    <t>Defensa izquierda</t>
  </si>
  <si>
    <t>Ataque derecho</t>
  </si>
  <si>
    <t>Ataque central</t>
  </si>
  <si>
    <t>Ataque izquierdo</t>
  </si>
  <si>
    <t>Faltas indirectas Def</t>
  </si>
  <si>
    <t>Faltas indirectas At</t>
  </si>
  <si>
    <t>Tactica</t>
  </si>
  <si>
    <t>Normal</t>
  </si>
  <si>
    <t>Nivel Tactica</t>
  </si>
  <si>
    <t>Loc</t>
  </si>
  <si>
    <t>Vis</t>
  </si>
  <si>
    <t>POR</t>
  </si>
  <si>
    <t>no</t>
  </si>
  <si>
    <t>LAT</t>
  </si>
  <si>
    <t>DC</t>
  </si>
  <si>
    <t>MD</t>
  </si>
  <si>
    <t>EXT</t>
  </si>
  <si>
    <t>TEC</t>
  </si>
  <si>
    <t>DV</t>
  </si>
  <si>
    <t>Tiempo</t>
  </si>
  <si>
    <t>at-derecha</t>
  </si>
  <si>
    <t>at-izquierda</t>
  </si>
  <si>
    <t>at-bp-d</t>
  </si>
  <si>
    <t>at-bp-i</t>
  </si>
  <si>
    <t>Pcrear</t>
  </si>
  <si>
    <t>Pconv</t>
  </si>
  <si>
    <t>pLocal50</t>
  </si>
  <si>
    <t>p(0)</t>
  </si>
  <si>
    <t>p(1)</t>
  </si>
  <si>
    <t>p(2)</t>
  </si>
  <si>
    <t>pVis50</t>
  </si>
  <si>
    <t>pVis</t>
  </si>
  <si>
    <t>Pase largo de imprevisible</t>
  </si>
  <si>
    <t>05</t>
  </si>
  <si>
    <t>Imprevisible recupera balón</t>
  </si>
  <si>
    <t>06</t>
  </si>
  <si>
    <t>Tiro lejano</t>
  </si>
  <si>
    <t>07</t>
  </si>
  <si>
    <t>Imprevisible crea ocasión</t>
  </si>
  <si>
    <t>08</t>
  </si>
  <si>
    <t>Pérdida de balón Imprev.</t>
  </si>
  <si>
    <t>09</t>
  </si>
  <si>
    <t>Rápido dispara a gol</t>
  </si>
  <si>
    <t>15</t>
  </si>
  <si>
    <t>Pase de un jugador rápido</t>
  </si>
  <si>
    <t>16</t>
  </si>
  <si>
    <t>Cansancio</t>
  </si>
  <si>
    <t>17</t>
  </si>
  <si>
    <t>Córner</t>
  </si>
  <si>
    <t>18</t>
  </si>
  <si>
    <t>Córner + cabeceador</t>
  </si>
  <si>
    <t>19</t>
  </si>
  <si>
    <t>Experiencia</t>
  </si>
  <si>
    <t>35</t>
  </si>
  <si>
    <t>Inexperiencia</t>
  </si>
  <si>
    <t>36</t>
  </si>
  <si>
    <t>Extremo + anotación</t>
  </si>
  <si>
    <t>37</t>
  </si>
  <si>
    <t>Extremo + cabeceador</t>
  </si>
  <si>
    <t>38</t>
  </si>
  <si>
    <t>Técnivo vs. Cabeceador</t>
  </si>
  <si>
    <t>39</t>
  </si>
  <si>
    <t>3 o más</t>
  </si>
  <si>
    <t>Ocasiones Gol</t>
  </si>
  <si>
    <t>Efectividad</t>
  </si>
  <si>
    <t>at-central</t>
  </si>
  <si>
    <t>pLoc</t>
  </si>
  <si>
    <t>Experiencia Equipo</t>
  </si>
  <si>
    <t>Ev</t>
  </si>
  <si>
    <t>E(x)</t>
  </si>
  <si>
    <t>P</t>
  </si>
  <si>
    <t>p</t>
  </si>
  <si>
    <t>Posesión Real</t>
  </si>
  <si>
    <t>Posesión HT</t>
  </si>
  <si>
    <t>Ocasiones Compartidas</t>
  </si>
  <si>
    <t>Local</t>
  </si>
  <si>
    <t>Visitante</t>
  </si>
  <si>
    <t>Oca Destruidas Pression</t>
  </si>
  <si>
    <t xml:space="preserve">Nivel medio HabPri </t>
  </si>
  <si>
    <t>OcaCA</t>
  </si>
  <si>
    <t>Probabilidad de CA</t>
  </si>
  <si>
    <t>Total</t>
  </si>
  <si>
    <t>Ocasiones Total Gol</t>
  </si>
  <si>
    <t>TotalN</t>
  </si>
  <si>
    <t>G0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</si>
  <si>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</si>
  <si>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</si>
  <si>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</si>
  <si>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</si>
  <si>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</si>
  <si>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</si>
  <si>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</si>
  <si>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</si>
  <si>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</si>
  <si>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</si>
  <si>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OcaS</t>
  </si>
  <si>
    <t>GT</t>
  </si>
  <si>
    <t>p(x)</t>
  </si>
  <si>
    <t>EE(x)</t>
  </si>
  <si>
    <t>G</t>
  </si>
  <si>
    <t>EMPATE</t>
  </si>
  <si>
    <t>VISITANT</t>
  </si>
  <si>
    <t>LOC</t>
  </si>
  <si>
    <t>VIS</t>
  </si>
  <si>
    <t>Clima</t>
  </si>
  <si>
    <t>Esp</t>
  </si>
  <si>
    <t>+/-</t>
  </si>
  <si>
    <t>Hab</t>
  </si>
  <si>
    <t>Lluvia</t>
  </si>
  <si>
    <t>-</t>
  </si>
  <si>
    <t>-JUG-ANO</t>
  </si>
  <si>
    <t>1º+2º</t>
  </si>
  <si>
    <t>Sol</t>
  </si>
  <si>
    <t>+</t>
  </si>
  <si>
    <t>+JUG+ANO</t>
  </si>
  <si>
    <t xml:space="preserve">POT </t>
  </si>
  <si>
    <t>+DF+JG+AN</t>
  </si>
  <si>
    <t>-ANO-RES</t>
  </si>
  <si>
    <t>2º</t>
  </si>
  <si>
    <t>RAP</t>
  </si>
  <si>
    <t>-DEF-ANO</t>
  </si>
  <si>
    <t>-DEF</t>
  </si>
  <si>
    <t>O_CA</t>
  </si>
  <si>
    <t>Exp</t>
  </si>
  <si>
    <t>HPrin</t>
  </si>
  <si>
    <t>An</t>
  </si>
  <si>
    <t>Nublado</t>
  </si>
  <si>
    <t>POT</t>
  </si>
  <si>
    <t>Ext+Del</t>
  </si>
  <si>
    <t>Del</t>
  </si>
  <si>
    <t>Ev.Clima</t>
  </si>
  <si>
    <t>Constantes Clima</t>
  </si>
  <si>
    <t>Tiro Lejano</t>
  </si>
  <si>
    <t>Probabilidad de TL</t>
  </si>
  <si>
    <t>0,6</t>
  </si>
  <si>
    <t>0,72</t>
  </si>
  <si>
    <t>FORM</t>
  </si>
  <si>
    <t>&lt;debil</t>
  </si>
  <si>
    <t>Vader</t>
  </si>
  <si>
    <t>Obiwan</t>
  </si>
  <si>
    <t>JC</t>
  </si>
  <si>
    <t>NEU</t>
  </si>
  <si>
    <t>IMP</t>
  </si>
  <si>
    <t>All</t>
  </si>
  <si>
    <t>0,4</t>
  </si>
  <si>
    <t>rap</t>
  </si>
  <si>
    <t>FORMACION</t>
  </si>
  <si>
    <t>&lt;3</t>
  </si>
  <si>
    <t>Eventos</t>
  </si>
  <si>
    <t>pA</t>
  </si>
  <si>
    <t>CAB</t>
  </si>
  <si>
    <t>Grottenkicker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</si>
</sst>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€_-;\-* #,##0.00\ _€_-;_-* &quot;-&quot;??\ _€_-;_-@_-"/>
    <numFmt numFmtId="164" formatCode="0.0%"/>
    <numFmt numFmtId="165" formatCode="0.0000"/>
    <numFmt numFmtId="166" formatCode="_-* #,##0.000\ _€_-;\-* #,##0.000\ _€_-;_-* &quot;-&quot;??\ _€_-;_-@_-"/>
    <numFmt numFmtId="167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Verdana"/>
      <family val="2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1">
    <xf numFmtId="0" fontId="0" fillId="0" borderId="0" xfId="0"/>
    <xf numFmtId="0" fontId="0" fillId="0" borderId="0" xfId="0" applyAlignment="1">
      <alignment horizontal="right"/>
    </xf>
    <xf numFmtId="0" fontId="6" fillId="4" borderId="1" xfId="0" applyFont="1" applyFill="1" applyBorder="1" applyAlignment="1">
      <alignment horizontal="right"/>
    </xf>
    <xf numFmtId="2" fontId="4" fillId="0" borderId="1" xfId="0" applyNumberFormat="1" applyFont="1" applyFill="1" applyBorder="1"/>
    <xf numFmtId="2" fontId="5" fillId="0" borderId="1" xfId="0" applyNumberFormat="1" applyFont="1" applyFill="1" applyBorder="1"/>
    <xf numFmtId="0" fontId="6" fillId="5" borderId="1" xfId="0" applyFont="1" applyFill="1" applyBorder="1" applyAlignment="1">
      <alignment horizontal="right"/>
    </xf>
    <xf numFmtId="0" fontId="6" fillId="6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49" fontId="0" fillId="0" borderId="1" xfId="0" applyNumberFormat="1" applyFont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4" fillId="7" borderId="1" xfId="0" applyNumberFormat="1" applyFont="1" applyFill="1" applyBorder="1" applyAlignment="1">
      <alignment horizontal="center"/>
    </xf>
    <xf numFmtId="0" fontId="0" fillId="0" borderId="0" xfId="0" applyFont="1"/>
    <xf numFmtId="49" fontId="5" fillId="0" borderId="1" xfId="0" applyNumberFormat="1" applyFont="1" applyFill="1" applyBorder="1" applyAlignment="1">
      <alignment horizontal="center"/>
    </xf>
    <xf numFmtId="49" fontId="5" fillId="7" borderId="1" xfId="0" applyNumberFormat="1" applyFont="1" applyFill="1" applyBorder="1" applyAlignment="1">
      <alignment horizontal="center"/>
    </xf>
    <xf numFmtId="0" fontId="0" fillId="0" borderId="0" xfId="0" applyFont="1" applyFill="1" applyBorder="1"/>
    <xf numFmtId="49" fontId="0" fillId="0" borderId="0" xfId="0" applyNumberFormat="1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ill="1"/>
    <xf numFmtId="0" fontId="3" fillId="7" borderId="1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" fontId="3" fillId="0" borderId="0" xfId="0" applyNumberFormat="1" applyFont="1"/>
    <xf numFmtId="0" fontId="3" fillId="6" borderId="1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2" applyNumberFormat="1" applyFont="1" applyFill="1" applyBorder="1"/>
    <xf numFmtId="0" fontId="3" fillId="0" borderId="0" xfId="0" applyFont="1" applyFill="1" applyBorder="1" applyAlignment="1">
      <alignment horizontal="center"/>
    </xf>
    <xf numFmtId="9" fontId="0" fillId="0" borderId="0" xfId="0" applyNumberFormat="1"/>
    <xf numFmtId="2" fontId="0" fillId="0" borderId="0" xfId="0" applyNumberFormat="1"/>
    <xf numFmtId="43" fontId="0" fillId="0" borderId="0" xfId="1" applyFont="1"/>
    <xf numFmtId="164" fontId="0" fillId="0" borderId="1" xfId="2" applyNumberFormat="1" applyFont="1" applyFill="1" applyBorder="1" applyAlignment="1">
      <alignment horizontal="center"/>
    </xf>
    <xf numFmtId="0" fontId="3" fillId="7" borderId="3" xfId="0" applyFont="1" applyFill="1" applyBorder="1" applyAlignment="1">
      <alignment horizontal="right"/>
    </xf>
    <xf numFmtId="0" fontId="7" fillId="7" borderId="3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right"/>
    </xf>
    <xf numFmtId="165" fontId="0" fillId="7" borderId="1" xfId="0" applyNumberFormat="1" applyFill="1" applyBorder="1"/>
    <xf numFmtId="165" fontId="0" fillId="7" borderId="1" xfId="0" applyNumberFormat="1" applyFont="1" applyFill="1" applyBorder="1"/>
    <xf numFmtId="165" fontId="0" fillId="7" borderId="3" xfId="0" applyNumberFormat="1" applyFill="1" applyBorder="1"/>
    <xf numFmtId="165" fontId="0" fillId="7" borderId="3" xfId="0" applyNumberFormat="1" applyFont="1" applyFill="1" applyBorder="1"/>
    <xf numFmtId="164" fontId="4" fillId="7" borderId="1" xfId="2" applyNumberFormat="1" applyFont="1" applyFill="1" applyBorder="1"/>
    <xf numFmtId="164" fontId="3" fillId="7" borderId="1" xfId="2" applyNumberFormat="1" applyFont="1" applyFill="1" applyBorder="1"/>
    <xf numFmtId="164" fontId="5" fillId="7" borderId="1" xfId="2" applyNumberFormat="1" applyFont="1" applyFill="1" applyBorder="1"/>
    <xf numFmtId="0" fontId="13" fillId="7" borderId="1" xfId="0" applyFont="1" applyFill="1" applyBorder="1"/>
    <xf numFmtId="0" fontId="14" fillId="7" borderId="1" xfId="0" applyFont="1" applyFill="1" applyBorder="1"/>
    <xf numFmtId="0" fontId="3" fillId="7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right" wrapText="1"/>
    </xf>
    <xf numFmtId="2" fontId="4" fillId="0" borderId="1" xfId="0" applyNumberFormat="1" applyFont="1" applyFill="1" applyBorder="1" applyAlignment="1">
      <alignment wrapText="1"/>
    </xf>
    <xf numFmtId="0" fontId="2" fillId="0" borderId="1" xfId="0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wrapText="1"/>
    </xf>
    <xf numFmtId="0" fontId="12" fillId="0" borderId="1" xfId="0" applyFont="1" applyFill="1" applyBorder="1" applyAlignment="1">
      <alignment horizontal="right"/>
    </xf>
    <xf numFmtId="167" fontId="11" fillId="2" borderId="1" xfId="0" applyNumberFormat="1" applyFont="1" applyFill="1" applyBorder="1"/>
    <xf numFmtId="167" fontId="11" fillId="3" borderId="1" xfId="0" applyNumberFormat="1" applyFont="1" applyFill="1" applyBorder="1"/>
    <xf numFmtId="166" fontId="0" fillId="3" borderId="1" xfId="1" applyNumberFormat="1" applyFont="1" applyFill="1" applyBorder="1"/>
    <xf numFmtId="166" fontId="0" fillId="0" borderId="0" xfId="1" applyNumberFormat="1" applyFont="1"/>
    <xf numFmtId="164" fontId="3" fillId="2" borderId="1" xfId="2" applyNumberFormat="1" applyFont="1" applyFill="1" applyBorder="1"/>
    <xf numFmtId="164" fontId="3" fillId="3" borderId="1" xfId="2" applyNumberFormat="1" applyFont="1" applyFill="1" applyBorder="1"/>
    <xf numFmtId="9" fontId="1" fillId="2" borderId="1" xfId="2" applyFont="1" applyFill="1" applyBorder="1"/>
    <xf numFmtId="9" fontId="1" fillId="3" borderId="1" xfId="2" applyFont="1" applyFill="1" applyBorder="1"/>
    <xf numFmtId="9" fontId="11" fillId="2" borderId="1" xfId="2" applyFont="1" applyFill="1" applyBorder="1"/>
    <xf numFmtId="9" fontId="11" fillId="3" borderId="3" xfId="2" applyFont="1" applyFill="1" applyBorder="1"/>
    <xf numFmtId="167" fontId="4" fillId="7" borderId="1" xfId="0" applyNumberFormat="1" applyFont="1" applyFill="1" applyBorder="1" applyAlignment="1">
      <alignment horizontal="center"/>
    </xf>
    <xf numFmtId="167" fontId="4" fillId="0" borderId="1" xfId="0" applyNumberFormat="1" applyFont="1" applyFill="1" applyBorder="1" applyAlignment="1">
      <alignment horizontal="center"/>
    </xf>
    <xf numFmtId="167" fontId="5" fillId="7" borderId="1" xfId="0" applyNumberFormat="1" applyFont="1" applyFill="1" applyBorder="1" applyAlignment="1">
      <alignment horizontal="center"/>
    </xf>
    <xf numFmtId="167" fontId="5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2" applyNumberFormat="1" applyFont="1" applyBorder="1" applyAlignment="1">
      <alignment horizontal="center"/>
    </xf>
    <xf numFmtId="166" fontId="0" fillId="0" borderId="0" xfId="1" applyNumberFormat="1" applyFont="1" applyAlignment="1">
      <alignment horizontal="center"/>
    </xf>
    <xf numFmtId="166" fontId="0" fillId="2" borderId="1" xfId="1" applyNumberFormat="1" applyFont="1" applyFill="1" applyBorder="1"/>
    <xf numFmtId="164" fontId="0" fillId="0" borderId="0" xfId="2" applyNumberFormat="1" applyFont="1" applyFill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1" xfId="1" applyNumberFormat="1" applyFont="1" applyBorder="1" applyAlignment="1">
      <alignment horizontal="center"/>
    </xf>
    <xf numFmtId="43" fontId="0" fillId="0" borderId="0" xfId="1" applyNumberFormat="1" applyFont="1"/>
    <xf numFmtId="43" fontId="0" fillId="0" borderId="0" xfId="0" applyNumberFormat="1"/>
    <xf numFmtId="166" fontId="0" fillId="0" borderId="0" xfId="0" applyNumberFormat="1"/>
    <xf numFmtId="0" fontId="3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164" fontId="3" fillId="0" borderId="6" xfId="2" applyNumberFormat="1" applyFont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164" fontId="3" fillId="0" borderId="8" xfId="2" applyNumberFormat="1" applyFont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164" fontId="3" fillId="0" borderId="12" xfId="2" applyNumberFormat="1" applyFont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0" fontId="3" fillId="6" borderId="14" xfId="0" applyFont="1" applyFill="1" applyBorder="1" applyAlignment="1">
      <alignment horizontal="center"/>
    </xf>
    <xf numFmtId="0" fontId="3" fillId="6" borderId="15" xfId="0" applyFont="1" applyFill="1" applyBorder="1" applyAlignment="1">
      <alignment horizontal="center"/>
    </xf>
    <xf numFmtId="0" fontId="3" fillId="6" borderId="17" xfId="0" applyFont="1" applyFill="1" applyBorder="1" applyAlignment="1">
      <alignment horizontal="center"/>
    </xf>
    <xf numFmtId="164" fontId="0" fillId="0" borderId="0" xfId="0" applyNumberFormat="1"/>
    <xf numFmtId="164" fontId="15" fillId="10" borderId="0" xfId="0" applyNumberFormat="1" applyFont="1" applyFill="1"/>
    <xf numFmtId="0" fontId="0" fillId="9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16" fillId="11" borderId="18" xfId="0" applyFont="1" applyFill="1" applyBorder="1" applyAlignment="1">
      <alignment horizontal="left" vertical="top" wrapText="1"/>
    </xf>
    <xf numFmtId="0" fontId="16" fillId="5" borderId="18" xfId="0" applyFont="1" applyFill="1" applyBorder="1" applyAlignment="1">
      <alignment horizontal="left" vertical="top" wrapText="1"/>
    </xf>
    <xf numFmtId="0" fontId="16" fillId="12" borderId="18" xfId="0" applyFont="1" applyFill="1" applyBorder="1" applyAlignment="1">
      <alignment horizontal="left" vertical="top" wrapText="1"/>
    </xf>
    <xf numFmtId="49" fontId="16" fillId="12" borderId="18" xfId="0" applyNumberFormat="1" applyFont="1" applyFill="1" applyBorder="1" applyAlignment="1">
      <alignment horizontal="left" vertical="top" wrapText="1"/>
    </xf>
    <xf numFmtId="0" fontId="16" fillId="13" borderId="18" xfId="0" applyFont="1" applyFill="1" applyBorder="1" applyAlignment="1">
      <alignment horizontal="left" vertical="top" wrapText="1"/>
    </xf>
    <xf numFmtId="9" fontId="0" fillId="2" borderId="3" xfId="2" applyNumberFormat="1" applyFont="1" applyFill="1" applyBorder="1"/>
    <xf numFmtId="9" fontId="0" fillId="3" borderId="1" xfId="2" applyNumberFormat="1" applyFont="1" applyFill="1" applyBorder="1"/>
    <xf numFmtId="9" fontId="7" fillId="2" borderId="1" xfId="2" applyNumberFormat="1" applyFont="1" applyFill="1" applyBorder="1"/>
    <xf numFmtId="9" fontId="7" fillId="3" borderId="1" xfId="2" applyNumberFormat="1" applyFont="1" applyFill="1" applyBorder="1"/>
    <xf numFmtId="9" fontId="4" fillId="0" borderId="1" xfId="2" applyNumberFormat="1" applyFont="1" applyFill="1" applyBorder="1"/>
    <xf numFmtId="9" fontId="5" fillId="0" borderId="1" xfId="2" applyNumberFormat="1" applyFont="1" applyFill="1" applyBorder="1"/>
    <xf numFmtId="9" fontId="0" fillId="2" borderId="1" xfId="2" applyNumberFormat="1" applyFont="1" applyFill="1" applyBorder="1"/>
    <xf numFmtId="0" fontId="17" fillId="0" borderId="2" xfId="0" applyFont="1" applyBorder="1" applyAlignment="1">
      <alignment horizontal="right"/>
    </xf>
    <xf numFmtId="0" fontId="0" fillId="0" borderId="0" xfId="0" applyBorder="1" applyAlignment="1">
      <alignment horizontal="center"/>
    </xf>
    <xf numFmtId="0" fontId="4" fillId="0" borderId="19" xfId="0" applyFont="1" applyBorder="1" applyAlignment="1">
      <alignment horizontal="center"/>
    </xf>
    <xf numFmtId="164" fontId="4" fillId="0" borderId="20" xfId="2" applyNumberFormat="1" applyFont="1" applyBorder="1" applyAlignment="1">
      <alignment horizontal="center"/>
    </xf>
    <xf numFmtId="164" fontId="4" fillId="0" borderId="6" xfId="2" applyNumberFormat="1" applyFont="1" applyBorder="1" applyAlignment="1">
      <alignment horizontal="center"/>
    </xf>
    <xf numFmtId="164" fontId="4" fillId="0" borderId="8" xfId="2" applyNumberFormat="1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164" fontId="5" fillId="0" borderId="20" xfId="2" applyNumberFormat="1" applyFont="1" applyBorder="1" applyAlignment="1">
      <alignment horizontal="center"/>
    </xf>
    <xf numFmtId="164" fontId="5" fillId="0" borderId="6" xfId="2" applyNumberFormat="1" applyFont="1" applyBorder="1" applyAlignment="1">
      <alignment horizontal="center"/>
    </xf>
    <xf numFmtId="164" fontId="5" fillId="0" borderId="8" xfId="2" applyNumberFormat="1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166" fontId="0" fillId="0" borderId="9" xfId="1" applyNumberFormat="1" applyFont="1" applyBorder="1" applyAlignment="1">
      <alignment horizontal="center"/>
    </xf>
    <xf numFmtId="164" fontId="3" fillId="9" borderId="4" xfId="2" applyNumberFormat="1" applyFont="1" applyFill="1" applyBorder="1" applyAlignment="1">
      <alignment horizontal="center"/>
    </xf>
    <xf numFmtId="164" fontId="0" fillId="0" borderId="4" xfId="2" applyNumberFormat="1" applyFont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6" borderId="9" xfId="0" applyFont="1" applyFill="1" applyBorder="1" applyAlignment="1">
      <alignment horizontal="center"/>
    </xf>
    <xf numFmtId="0" fontId="3" fillId="6" borderId="19" xfId="0" applyFont="1" applyFill="1" applyBorder="1" applyAlignment="1">
      <alignment horizontal="center"/>
    </xf>
    <xf numFmtId="0" fontId="3" fillId="6" borderId="20" xfId="0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/>
    </xf>
    <xf numFmtId="0" fontId="4" fillId="7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/>
    </xf>
    <xf numFmtId="0" fontId="5" fillId="7" borderId="1" xfId="0" applyNumberFormat="1" applyFont="1" applyFill="1" applyBorder="1" applyAlignment="1">
      <alignment horizontal="center"/>
    </xf>
    <xf numFmtId="0" fontId="3" fillId="9" borderId="0" xfId="0" applyFont="1" applyFill="1" applyAlignment="1">
      <alignment horizontal="right"/>
    </xf>
    <xf numFmtId="0" fontId="0" fillId="9" borderId="0" xfId="0" applyFill="1" applyAlignment="1">
      <alignment horizontal="center"/>
    </xf>
    <xf numFmtId="0" fontId="0" fillId="0" borderId="1" xfId="0" applyBorder="1"/>
    <xf numFmtId="166" fontId="0" fillId="0" borderId="0" xfId="0" applyNumberFormat="1" applyAlignment="1">
      <alignment horizontal="right"/>
    </xf>
    <xf numFmtId="10" fontId="0" fillId="8" borderId="0" xfId="2" applyNumberFormat="1" applyFont="1" applyFill="1"/>
    <xf numFmtId="164" fontId="0" fillId="0" borderId="0" xfId="2" applyNumberFormat="1" applyFont="1"/>
    <xf numFmtId="0" fontId="4" fillId="7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164" fontId="0" fillId="8" borderId="1" xfId="2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10" fillId="0" borderId="1" xfId="0" applyFont="1" applyBorder="1" applyAlignment="1">
      <alignment horizontal="center"/>
    </xf>
    <xf numFmtId="0" fontId="3" fillId="0" borderId="0" xfId="0" applyFont="1" applyFill="1" applyAlignment="1">
      <alignment horizontal="right"/>
    </xf>
    <xf numFmtId="0" fontId="0" fillId="0" borderId="0" xfId="0" applyFill="1" applyAlignment="1">
      <alignment horizontal="center"/>
    </xf>
    <xf numFmtId="49" fontId="5" fillId="14" borderId="1" xfId="0" applyNumberFormat="1" applyFont="1" applyFill="1" applyBorder="1" applyAlignment="1">
      <alignment horizontal="center"/>
    </xf>
    <xf numFmtId="49" fontId="4" fillId="14" borderId="1" xfId="0" applyNumberFormat="1" applyFont="1" applyFill="1" applyBorder="1" applyAlignment="1">
      <alignment horizontal="center"/>
    </xf>
    <xf numFmtId="0" fontId="5" fillId="14" borderId="2" xfId="0" applyFont="1" applyFill="1" applyBorder="1" applyAlignment="1">
      <alignment horizontal="center"/>
    </xf>
    <xf numFmtId="0" fontId="4" fillId="14" borderId="2" xfId="0" applyFont="1" applyFill="1" applyBorder="1" applyAlignment="1">
      <alignment horizontal="center"/>
    </xf>
    <xf numFmtId="2" fontId="4" fillId="14" borderId="1" xfId="0" applyNumberFormat="1" applyFont="1" applyFill="1" applyBorder="1"/>
    <xf numFmtId="2" fontId="5" fillId="14" borderId="1" xfId="0" applyNumberFormat="1" applyFont="1" applyFill="1" applyBorder="1"/>
    <xf numFmtId="2" fontId="4" fillId="14" borderId="1" xfId="0" applyNumberFormat="1" applyFont="1" applyFill="1" applyBorder="1" applyAlignment="1">
      <alignment wrapText="1"/>
    </xf>
    <xf numFmtId="2" fontId="5" fillId="14" borderId="1" xfId="0" applyNumberFormat="1" applyFont="1" applyFill="1" applyBorder="1" applyAlignment="1">
      <alignment wrapText="1"/>
    </xf>
    <xf numFmtId="0" fontId="2" fillId="14" borderId="1" xfId="0" applyFont="1" applyFill="1" applyBorder="1" applyAlignment="1">
      <alignment horizontal="right"/>
    </xf>
    <xf numFmtId="0" fontId="12" fillId="14" borderId="1" xfId="0" applyFont="1" applyFill="1" applyBorder="1" applyAlignment="1">
      <alignment horizontal="right"/>
    </xf>
    <xf numFmtId="9" fontId="4" fillId="14" borderId="1" xfId="2" applyNumberFormat="1" applyFont="1" applyFill="1" applyBorder="1"/>
    <xf numFmtId="9" fontId="5" fillId="14" borderId="1" xfId="2" applyNumberFormat="1" applyFont="1" applyFill="1" applyBorder="1"/>
    <xf numFmtId="165" fontId="0" fillId="0" borderId="1" xfId="0" applyNumberFormat="1" applyFill="1" applyBorder="1"/>
    <xf numFmtId="165" fontId="0" fillId="0" borderId="1" xfId="0" applyNumberFormat="1" applyFont="1" applyFill="1" applyBorder="1"/>
    <xf numFmtId="165" fontId="0" fillId="0" borderId="3" xfId="0" applyNumberFormat="1" applyFill="1" applyBorder="1"/>
    <xf numFmtId="165" fontId="0" fillId="0" borderId="3" xfId="0" applyNumberFormat="1" applyFont="1" applyFill="1" applyBorder="1"/>
    <xf numFmtId="164" fontId="4" fillId="0" borderId="1" xfId="2" applyNumberFormat="1" applyFont="1" applyFill="1" applyBorder="1"/>
    <xf numFmtId="164" fontId="3" fillId="0" borderId="1" xfId="2" applyNumberFormat="1" applyFont="1" applyFill="1" applyBorder="1"/>
    <xf numFmtId="164" fontId="4" fillId="0" borderId="0" xfId="2" applyNumberFormat="1" applyFont="1" applyFill="1" applyBorder="1"/>
    <xf numFmtId="164" fontId="3" fillId="0" borderId="0" xfId="2" applyNumberFormat="1" applyFont="1" applyFill="1" applyBorder="1"/>
    <xf numFmtId="164" fontId="5" fillId="0" borderId="1" xfId="2" applyNumberFormat="1" applyFont="1" applyFill="1" applyBorder="1"/>
    <xf numFmtId="164" fontId="5" fillId="0" borderId="0" xfId="2" applyNumberFormat="1" applyFont="1" applyFill="1" applyBorder="1"/>
    <xf numFmtId="0" fontId="13" fillId="8" borderId="1" xfId="0" applyFont="1" applyFill="1" applyBorder="1"/>
    <xf numFmtId="0" fontId="14" fillId="8" borderId="1" xfId="0" applyFont="1" applyFill="1" applyBorder="1"/>
    <xf numFmtId="0" fontId="3" fillId="8" borderId="1" xfId="0" applyFont="1" applyFill="1" applyBorder="1" applyAlignment="1">
      <alignment horizontal="right"/>
    </xf>
    <xf numFmtId="0" fontId="3" fillId="8" borderId="1" xfId="0" applyFont="1" applyFill="1" applyBorder="1" applyAlignment="1">
      <alignment horizontal="right" wrapText="1"/>
    </xf>
    <xf numFmtId="0" fontId="3" fillId="8" borderId="3" xfId="0" applyFont="1" applyFill="1" applyBorder="1" applyAlignment="1">
      <alignment horizontal="right"/>
    </xf>
    <xf numFmtId="0" fontId="7" fillId="8" borderId="3" xfId="0" applyFont="1" applyFill="1" applyBorder="1" applyAlignment="1">
      <alignment horizontal="right"/>
    </xf>
    <xf numFmtId="0" fontId="3" fillId="8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6" fontId="4" fillId="0" borderId="1" xfId="1" applyNumberFormat="1" applyFont="1" applyFill="1" applyBorder="1" applyAlignment="1">
      <alignment horizontal="center"/>
    </xf>
    <xf numFmtId="166" fontId="5" fillId="0" borderId="1" xfId="1" applyNumberFormat="1" applyFont="1" applyFill="1" applyBorder="1" applyAlignment="1">
      <alignment horizontal="center"/>
    </xf>
    <xf numFmtId="166" fontId="4" fillId="14" borderId="1" xfId="1" applyNumberFormat="1" applyFont="1" applyFill="1" applyBorder="1" applyAlignment="1">
      <alignment horizontal="center"/>
    </xf>
    <xf numFmtId="166" fontId="5" fillId="14" borderId="1" xfId="1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15" borderId="1" xfId="0" applyFill="1" applyBorder="1" applyAlignment="1">
      <alignment horizontal="center"/>
    </xf>
    <xf numFmtId="167" fontId="0" fillId="0" borderId="0" xfId="0" applyNumberFormat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12" fillId="0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15" borderId="21" xfId="0" applyFill="1" applyBorder="1" applyAlignment="1">
      <alignment horizontal="center"/>
    </xf>
    <xf numFmtId="0" fontId="0" fillId="9" borderId="21" xfId="0" applyFill="1" applyBorder="1" applyAlignment="1">
      <alignment horizontal="center"/>
    </xf>
    <xf numFmtId="0" fontId="0" fillId="0" borderId="21" xfId="0" applyBorder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70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'OBIWAN-grow'!$G$25:$G$35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'OBIWAN-grow'!$H$25:$H$35</c:f>
              <c:numCache>
                <c:formatCode>0.0%</c:formatCode>
                <c:ptCount val="11"/>
                <c:pt idx="0">
                  <c:v>3.1878558075582535E-2</c:v>
                </c:pt>
                <c:pt idx="1">
                  <c:v>0.12457646028599401</c:v>
                </c:pt>
                <c:pt idx="2">
                  <c:v>0.22574021189143229</c:v>
                </c:pt>
                <c:pt idx="3">
                  <c:v>0.25183672461128725</c:v>
                </c:pt>
                <c:pt idx="4">
                  <c:v>0.19344968360253473</c:v>
                </c:pt>
                <c:pt idx="5">
                  <c:v>0.10825978402261389</c:v>
                </c:pt>
                <c:pt idx="6">
                  <c:v>4.5470827345796175E-2</c:v>
                </c:pt>
                <c:pt idx="7">
                  <c:v>1.4522925459476376E-2</c:v>
                </c:pt>
                <c:pt idx="8">
                  <c:v>3.5275022861977947E-3</c:v>
                </c:pt>
                <c:pt idx="9">
                  <c:v>6.4336161765564338E-4</c:v>
                </c:pt>
                <c:pt idx="10">
                  <c:v>8.5621142139042614E-5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'OBIWAN-grow'!$H$39:$H$49</c:f>
              <c:numCache>
                <c:formatCode>0.0%</c:formatCode>
                <c:ptCount val="11"/>
                <c:pt idx="0">
                  <c:v>0.13167927449564909</c:v>
                </c:pt>
                <c:pt idx="1">
                  <c:v>0.28644418587432485</c:v>
                </c:pt>
                <c:pt idx="2">
                  <c:v>0.2900113707695755</c:v>
                </c:pt>
                <c:pt idx="3">
                  <c:v>0.18147342822093632</c:v>
                </c:pt>
                <c:pt idx="4">
                  <c:v>7.8475172259797221E-2</c:v>
                </c:pt>
                <c:pt idx="5">
                  <c:v>2.4796661386385047E-2</c:v>
                </c:pt>
                <c:pt idx="6">
                  <c:v>5.8919616398925385E-3</c:v>
                </c:pt>
                <c:pt idx="7">
                  <c:v>1.065296775577919E-3</c:v>
                </c:pt>
                <c:pt idx="8">
                  <c:v>1.4638312509563674E-4</c:v>
                </c:pt>
                <c:pt idx="9">
                  <c:v>1.507567313694922E-5</c:v>
                </c:pt>
                <c:pt idx="10">
                  <c:v>1.1296105344791098E-6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782928"/>
        <c:axId val="353784496"/>
      </c:lineChart>
      <c:catAx>
        <c:axId val="353782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3784496"/>
        <c:crosses val="autoZero"/>
        <c:auto val="1"/>
        <c:lblAlgn val="ctr"/>
        <c:lblOffset val="100"/>
        <c:noMultiLvlLbl val="0"/>
      </c:catAx>
      <c:valAx>
        <c:axId val="353784496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353782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SIMULADOR_sinJC!$B$37:$B$39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'OBIWAN-grow'!$B$37:$B$39</c:f>
              <c:numCache>
                <c:formatCode>0.0%</c:formatCode>
                <c:ptCount val="3"/>
                <c:pt idx="0">
                  <c:v>0.16920023840991782</c:v>
                </c:pt>
                <c:pt idx="1">
                  <c:v>0.20684614276234842</c:v>
                </c:pt>
                <c:pt idx="2">
                  <c:v>0.62385959795958223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'SIMULADOR&gt;22-12-17_v2'!$G$25:$G$35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'SIMULADOR&gt;22-12-17_v2'!$H$25:$H$35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'SIMULADOR&gt;22-12-17_v2'!$H$39:$H$49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012280"/>
        <c:axId val="358015416"/>
      </c:lineChart>
      <c:catAx>
        <c:axId val="358012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8015416"/>
        <c:crosses val="autoZero"/>
        <c:auto val="1"/>
        <c:lblAlgn val="ctr"/>
        <c:lblOffset val="100"/>
        <c:noMultiLvlLbl val="0"/>
      </c:catAx>
      <c:valAx>
        <c:axId val="358015416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358012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'SIMULADOR&gt;22-12-17_v2'!$B$37:$B$39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'SIMULADOR&gt;22-12-17'!$G$25:$G$35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'SIMULADOR&gt;22-12-17'!$H$25:$H$35</c:f>
              <c:numCache>
                <c:formatCode>0.0%</c:formatCode>
                <c:ptCount val="11"/>
                <c:pt idx="0">
                  <c:v>0.11729554082099101</c:v>
                </c:pt>
                <c:pt idx="1">
                  <c:v>0.27152796609913654</c:v>
                </c:pt>
                <c:pt idx="2">
                  <c:v>0.2917401663391731</c:v>
                </c:pt>
                <c:pt idx="3">
                  <c:v>0.19309454238427987</c:v>
                </c:pt>
                <c:pt idx="4">
                  <c:v>8.8066690842485224E-2</c:v>
                </c:pt>
                <c:pt idx="5">
                  <c:v>2.9304768260192272E-2</c:v>
                </c:pt>
                <c:pt idx="6">
                  <c:v>7.3378102626105316E-3</c:v>
                </c:pt>
                <c:pt idx="7">
                  <c:v>1.402822717321473E-3</c:v>
                </c:pt>
                <c:pt idx="8">
                  <c:v>2.0507712971897473E-4</c:v>
                </c:pt>
                <c:pt idx="9">
                  <c:v>2.266480783309812E-5</c:v>
                </c:pt>
                <c:pt idx="10">
                  <c:v>1.8421385796623046E-6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'SIMULADOR&gt;22-12-17'!$H$39:$H$49</c:f>
              <c:numCache>
                <c:formatCode>0.0%</c:formatCode>
                <c:ptCount val="11"/>
                <c:pt idx="0">
                  <c:v>3.5891216279918037E-2</c:v>
                </c:pt>
                <c:pt idx="1">
                  <c:v>0.13394167206785365</c:v>
                </c:pt>
                <c:pt idx="2">
                  <c:v>0.23283735761668781</c:v>
                </c:pt>
                <c:pt idx="3">
                  <c:v>0.25045819541552683</c:v>
                </c:pt>
                <c:pt idx="4">
                  <c:v>0.18649765693945197</c:v>
                </c:pt>
                <c:pt idx="5">
                  <c:v>0.10169269462425716</c:v>
                </c:pt>
                <c:pt idx="6">
                  <c:v>4.1800753514072017E-2</c:v>
                </c:pt>
                <c:pt idx="7">
                  <c:v>1.3107590682356623E-2</c:v>
                </c:pt>
                <c:pt idx="8">
                  <c:v>3.1309638772704018E-3</c:v>
                </c:pt>
                <c:pt idx="9">
                  <c:v>5.6156131532783256E-4</c:v>
                </c:pt>
                <c:pt idx="10">
                  <c:v>7.336160298841875E-5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013456"/>
        <c:axId val="358016200"/>
      </c:lineChart>
      <c:catAx>
        <c:axId val="358013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8016200"/>
        <c:crosses val="autoZero"/>
        <c:auto val="1"/>
        <c:lblAlgn val="ctr"/>
        <c:lblOffset val="100"/>
        <c:noMultiLvlLbl val="0"/>
      </c:catAx>
      <c:valAx>
        <c:axId val="358016200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358013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'SIMULADOR&gt;22-12-17'!$B$37:$B$39</c:f>
              <c:numCache>
                <c:formatCode>0.0%</c:formatCode>
                <c:ptCount val="3"/>
                <c:pt idx="0">
                  <c:v>0.17659899041025631</c:v>
                </c:pt>
                <c:pt idx="1">
                  <c:v>0.59597225178515745</c:v>
                </c:pt>
                <c:pt idx="2">
                  <c:v>0.227419831552787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SIMULADOR!$G$25:$G$35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SIMULADOR!$H$25:$H$35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SIMULADOR!$H$39:$H$49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007184"/>
        <c:axId val="358016592"/>
      </c:lineChart>
      <c:catAx>
        <c:axId val="358007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8016592"/>
        <c:crosses val="autoZero"/>
        <c:auto val="1"/>
        <c:lblAlgn val="ctr"/>
        <c:lblOffset val="100"/>
        <c:noMultiLvlLbl val="0"/>
      </c:catAx>
      <c:valAx>
        <c:axId val="35801659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358007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SIMULADOR!$B$37:$B$39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SIMULADOR_sinJC!$G$24:$G$34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SIMULADOR_sinJC!$H$24:$H$34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SIMULADOR_sinJC!$H$38:$H$48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016984"/>
        <c:axId val="358006008"/>
      </c:lineChart>
      <c:catAx>
        <c:axId val="358016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8006008"/>
        <c:crosses val="autoZero"/>
        <c:auto val="1"/>
        <c:lblAlgn val="ctr"/>
        <c:lblOffset val="100"/>
        <c:noMultiLvlLbl val="0"/>
      </c:catAx>
      <c:valAx>
        <c:axId val="358006008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358016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21</xdr:row>
      <xdr:rowOff>23813</xdr:rowOff>
    </xdr:from>
    <xdr:to>
      <xdr:col>31</xdr:col>
      <xdr:colOff>535782</xdr:colOff>
      <xdr:row>47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BR59"/>
  <sheetViews>
    <sheetView zoomScale="80" zoomScaleNormal="80" workbookViewId="0">
      <selection activeCell="U10" sqref="U10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8.42578125" bestFit="1" customWidth="1"/>
    <col min="16" max="16" width="10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8.425781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206" t="s">
        <v>143</v>
      </c>
      <c r="B1" t="s">
        <v>145</v>
      </c>
      <c r="F1" s="204" t="s">
        <v>123</v>
      </c>
      <c r="G1" s="202">
        <f>IF(D3="SI",COUNTIF($F$6:$F$18,"RAP"),0)</f>
        <v>0</v>
      </c>
      <c r="H1" s="13"/>
      <c r="J1" s="205" t="s">
        <v>123</v>
      </c>
      <c r="K1" s="202">
        <f>IF(D3="SI",COUNTIF($J$6:$J$18,"RAP"),0)</f>
        <v>0</v>
      </c>
      <c r="L1" s="13"/>
      <c r="P1" s="207"/>
      <c r="Q1" s="207"/>
      <c r="R1" s="152">
        <v>0</v>
      </c>
      <c r="S1" s="153">
        <f>1+R1</f>
        <v>1</v>
      </c>
      <c r="AI1" s="160" t="s">
        <v>152</v>
      </c>
    </row>
    <row r="2" spans="1:70" x14ac:dyDescent="0.25">
      <c r="A2" s="206" t="s">
        <v>155</v>
      </c>
      <c r="B2" t="s">
        <v>145</v>
      </c>
      <c r="F2" s="204" t="s">
        <v>21</v>
      </c>
      <c r="G2" s="202">
        <f>IF(D3="SI",COUNTIF($F$6:$F$18,"TEC"),0)</f>
        <v>0</v>
      </c>
      <c r="H2" s="13"/>
      <c r="J2" s="205" t="s">
        <v>21</v>
      </c>
      <c r="K2" s="202">
        <f>IF(D3="SI",COUNTIF($J$6:$J$18,"TEC"),0)</f>
        <v>0</v>
      </c>
      <c r="L2" s="13"/>
      <c r="M2" s="163"/>
      <c r="O2" t="s">
        <v>147</v>
      </c>
      <c r="P2" s="198">
        <v>0.6</v>
      </c>
      <c r="R2" s="152">
        <v>0</v>
      </c>
      <c r="S2" s="153">
        <f>1+R2</f>
        <v>1</v>
      </c>
      <c r="Y2" t="s">
        <v>147</v>
      </c>
      <c r="Z2" s="199" t="s">
        <v>148</v>
      </c>
      <c r="AI2" s="13">
        <f>IF(B17="JC",IF(C17="JC",4,3),IF(C17="JC",3,2))</f>
        <v>2</v>
      </c>
    </row>
    <row r="3" spans="1:70" x14ac:dyDescent="0.25">
      <c r="A3" s="162" t="s">
        <v>108</v>
      </c>
      <c r="B3" s="208" t="s">
        <v>130</v>
      </c>
      <c r="C3" s="208"/>
      <c r="D3" t="str">
        <f>IF(B3="Sol","SI",IF(B3="Lluvia","SI","NO"))</f>
        <v>NO</v>
      </c>
      <c r="F3" s="204" t="s">
        <v>131</v>
      </c>
      <c r="G3" s="202">
        <f>IF(D3="SI",COUNTIF($F$6:$F$18,"POT"),0)</f>
        <v>0</v>
      </c>
      <c r="H3" s="13"/>
      <c r="J3" s="205" t="s">
        <v>131</v>
      </c>
      <c r="K3" s="202">
        <f>IF(D3="SI",COUNTIF($J$6:$J$18,"POT"),0)</f>
        <v>0</v>
      </c>
      <c r="L3" s="13"/>
      <c r="O3" t="s">
        <v>132</v>
      </c>
      <c r="P3" s="198">
        <v>0.7</v>
      </c>
      <c r="Q3" t="s">
        <v>133</v>
      </c>
      <c r="R3" s="198" t="s">
        <v>139</v>
      </c>
      <c r="Y3" t="s">
        <v>132</v>
      </c>
      <c r="Z3" s="199" t="s">
        <v>138</v>
      </c>
      <c r="AA3" t="s">
        <v>133</v>
      </c>
      <c r="AB3" s="199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75</v>
      </c>
      <c r="R4" s="8" t="s">
        <v>70</v>
      </c>
      <c r="S4" s="8" t="s">
        <v>31</v>
      </c>
      <c r="T4" s="8" t="s">
        <v>32</v>
      </c>
      <c r="U4" s="8" t="s">
        <v>33</v>
      </c>
      <c r="V4" s="206"/>
      <c r="W4" s="125"/>
      <c r="X4" s="12" t="s">
        <v>72</v>
      </c>
      <c r="Y4" s="9" t="s">
        <v>28</v>
      </c>
      <c r="Z4" s="9" t="s">
        <v>29</v>
      </c>
      <c r="AA4" s="9" t="s">
        <v>75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AG4" s="8" t="s">
        <v>79</v>
      </c>
      <c r="AI4" s="206" t="s">
        <v>75</v>
      </c>
      <c r="AK4" s="9" t="s">
        <v>14</v>
      </c>
      <c r="AM4" s="13" t="s">
        <v>153</v>
      </c>
      <c r="BH4">
        <v>0</v>
      </c>
      <c r="BI4">
        <v>1</v>
      </c>
      <c r="BJ4" s="107">
        <f t="shared" ref="BJ4:BJ13" si="0">$H$25*H40</f>
        <v>9.1314276148076225E-3</v>
      </c>
      <c r="BL4">
        <v>0</v>
      </c>
      <c r="BM4">
        <v>0</v>
      </c>
      <c r="BN4" s="107">
        <f>H25*H39</f>
        <v>4.1977453993601232E-3</v>
      </c>
      <c r="BP4">
        <v>1</v>
      </c>
      <c r="BQ4">
        <v>0</v>
      </c>
      <c r="BR4" s="107">
        <f>$H$26*H39</f>
        <v>1.6404137909695731E-2</v>
      </c>
    </row>
    <row r="5" spans="1:70" x14ac:dyDescent="0.25">
      <c r="A5" s="40" t="s">
        <v>150</v>
      </c>
      <c r="B5" s="161">
        <v>352</v>
      </c>
      <c r="C5" s="161">
        <v>352</v>
      </c>
      <c r="E5" s="192" t="s">
        <v>15</v>
      </c>
      <c r="F5" s="167" t="s">
        <v>16</v>
      </c>
      <c r="G5" s="167">
        <v>12</v>
      </c>
      <c r="H5" s="10"/>
      <c r="I5" s="10"/>
      <c r="J5" s="166" t="s">
        <v>16</v>
      </c>
      <c r="K5" s="166">
        <v>12</v>
      </c>
      <c r="L5" s="10"/>
      <c r="M5" s="10"/>
      <c r="O5" s="67">
        <f>COUNTIF(F5:F10,"IMP")*AI5*AG5</f>
        <v>0</v>
      </c>
      <c r="P5" s="196">
        <f>P3</f>
        <v>0.7</v>
      </c>
      <c r="Q5" s="16">
        <f>P5*O5</f>
        <v>0</v>
      </c>
      <c r="R5" s="157">
        <f>IF($M$2="SI",Q5*$B$22/0.5*$S$1,Q5*$B$22/0.5*$S$2)</f>
        <v>0</v>
      </c>
      <c r="S5" s="176">
        <f>(1-R5)</f>
        <v>1</v>
      </c>
      <c r="T5" s="177">
        <f>R5*PRODUCT(S6:S19)</f>
        <v>0</v>
      </c>
      <c r="U5" s="177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0</v>
      </c>
      <c r="V5" s="18"/>
      <c r="W5" s="186" t="s">
        <v>36</v>
      </c>
      <c r="X5" s="15" t="s">
        <v>37</v>
      </c>
      <c r="Y5" s="69">
        <f>COUNTIF(J5:J10,"IMP")*AI5*AK5</f>
        <v>0</v>
      </c>
      <c r="Z5" s="197" t="str">
        <f>Z3</f>
        <v>0,6</v>
      </c>
      <c r="AA5" s="19">
        <f>Z5*Y5</f>
        <v>0</v>
      </c>
      <c r="AB5" s="157">
        <f>IF($M$2="SI",AA5*$C$22/0.5*$S$1,AA5*$C$22/0.5*$S$2)</f>
        <v>0</v>
      </c>
      <c r="AC5" s="176">
        <f>(1-AB5)</f>
        <v>1</v>
      </c>
      <c r="AD5" s="177">
        <f>AB5*PRODUCT(AC6:AC19)</f>
        <v>0</v>
      </c>
      <c r="AE5" s="177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0</v>
      </c>
      <c r="AF5" s="18"/>
      <c r="AG5" s="203">
        <f>IF(COUNTIF(F5:F10,"IMP")+COUNTIF(J5:J10,"IMP")=0,0,COUNTIF(F5:F10,"IMP")/(COUNTIF(F5:F10,"IMP")+COUNTIF(J5:J10,"IMP")))</f>
        <v>0</v>
      </c>
      <c r="AI5" s="206">
        <f>IF(AN5=0,(AM5*2*$AI$2/2)+SUM($AN$5:$AN$19),0)</f>
        <v>0</v>
      </c>
      <c r="AK5" s="203">
        <f>IF(COUNTIF(F5:F10,"IMP")+COUNTIF(J5:J10,"IMP")=0,0,COUNTIF(J5:J10,"IMP")/(COUNTIF(F5:F10,"IMP")+COUNTIF(J5:J10,"IMP")))</f>
        <v>0</v>
      </c>
      <c r="AM5" s="13">
        <v>0.05</v>
      </c>
      <c r="AN5">
        <f>IF(AK5+AG5=0,AM5*2/10,0)</f>
        <v>0.01</v>
      </c>
      <c r="BH5">
        <v>0</v>
      </c>
      <c r="BI5">
        <v>2</v>
      </c>
      <c r="BJ5" s="107">
        <f t="shared" si="0"/>
        <v>9.2451443256572115E-3</v>
      </c>
      <c r="BL5">
        <v>1</v>
      </c>
      <c r="BM5">
        <v>1</v>
      </c>
      <c r="BN5" s="107">
        <f>$H$26*H40</f>
        <v>3.5684202745726715E-2</v>
      </c>
      <c r="BP5">
        <f>BP4+1</f>
        <v>2</v>
      </c>
      <c r="BQ5">
        <v>0</v>
      </c>
      <c r="BR5" s="107">
        <f>$H$27*H39</f>
        <v>2.9725307326357902E-2</v>
      </c>
    </row>
    <row r="6" spans="1:70" x14ac:dyDescent="0.25">
      <c r="A6" s="2" t="s">
        <v>1</v>
      </c>
      <c r="B6" s="168">
        <v>10</v>
      </c>
      <c r="C6" s="169">
        <v>9.75</v>
      </c>
      <c r="E6" s="192" t="s">
        <v>17</v>
      </c>
      <c r="F6" s="167" t="s">
        <v>16</v>
      </c>
      <c r="G6" s="167"/>
      <c r="H6" s="10"/>
      <c r="I6" s="10"/>
      <c r="J6" s="166" t="s">
        <v>16</v>
      </c>
      <c r="K6" s="166"/>
      <c r="L6" s="10"/>
      <c r="M6" s="10"/>
      <c r="O6" s="67">
        <f>COUNTIF(F11:F18,"IMP")*AI6*AG6</f>
        <v>5.5E-2</v>
      </c>
      <c r="P6" s="196">
        <f>P3</f>
        <v>0.7</v>
      </c>
      <c r="Q6" s="16">
        <f t="shared" ref="Q6:Q19" si="1">P6*O6</f>
        <v>3.85E-2</v>
      </c>
      <c r="R6" s="157">
        <f>IF($M$2="SI",Q6*$B$22/0.5*$S$1,Q6*$B$22/0.5*$S$2)</f>
        <v>3.89873417721519E-2</v>
      </c>
      <c r="S6" s="176">
        <f t="shared" ref="S6:S19" si="2">(1-R6)</f>
        <v>0.96101265822784809</v>
      </c>
      <c r="T6" s="177">
        <f>R6*S5*PRODUCT(S7:S19)</f>
        <v>1.7590055028717813E-2</v>
      </c>
      <c r="U6" s="177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1.5598410124855477E-2</v>
      </c>
      <c r="V6" s="18"/>
      <c r="W6" s="186" t="s">
        <v>38</v>
      </c>
      <c r="X6" s="15" t="s">
        <v>39</v>
      </c>
      <c r="Y6" s="69">
        <f>COUNTIF(J11:J18,"IMP")*AI6*AK6</f>
        <v>5.5E-2</v>
      </c>
      <c r="Z6" s="197" t="str">
        <f>Z3</f>
        <v>0,6</v>
      </c>
      <c r="AA6" s="19">
        <f t="shared" ref="AA6:AA19" si="3">Z6*Y6</f>
        <v>3.3000000000000002E-2</v>
      </c>
      <c r="AB6" s="157">
        <f t="shared" ref="AB6:AB19" si="4">IF($M$2="SI",AA6*$C$22/0.5*$S$1,AA6*$C$22/0.5*$S$2)</f>
        <v>3.2582278481012659E-2</v>
      </c>
      <c r="AC6" s="176">
        <f t="shared" ref="AC6:AC19" si="5">(1-AB6)</f>
        <v>0.96741772151898731</v>
      </c>
      <c r="AD6" s="177">
        <f>AB6*AC5*PRODUCT(AC7:AC19)</f>
        <v>2.036788459524437E-2</v>
      </c>
      <c r="AE6" s="177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1.0088825097187837E-2</v>
      </c>
      <c r="AF6" s="18"/>
      <c r="AG6" s="203">
        <f>IF(COUNTIF(F11:F18,"IMP")+COUNTIF(J11:J18,"IMP")=0,0,COUNTIF(F11:F18,"IMP")/(COUNTIF(F11:F18,"IMP")+COUNTIF(J11:J18,"IMP")))</f>
        <v>0.5</v>
      </c>
      <c r="AI6" s="206">
        <f t="shared" ref="AI6:AI19" si="6">IF(AN6=0,(AM6*2*$AI$2/2)+SUM($AN$5:$AN$19),0)</f>
        <v>0.11</v>
      </c>
      <c r="AK6" s="203">
        <f>IF(COUNTIF(F11:F18,"IMP")+COUNTIF(J11:J18,"IMP")=0,0,COUNTIF(J11:J18,"IMP")/(COUNTIF(F11:F18,"IMP")+COUNTIF(J11:J18,"IMP")))</f>
        <v>0.5</v>
      </c>
      <c r="AM6" s="13">
        <v>0.05</v>
      </c>
      <c r="AN6">
        <f t="shared" ref="AN6:AN19" si="7">IF(AK6+AG6=0,AM6*2/10,0)</f>
        <v>0</v>
      </c>
      <c r="BH6">
        <v>0</v>
      </c>
      <c r="BI6">
        <v>3</v>
      </c>
      <c r="BJ6" s="107">
        <f t="shared" si="0"/>
        <v>5.785111220716177E-3</v>
      </c>
      <c r="BL6">
        <f>BH14+1</f>
        <v>2</v>
      </c>
      <c r="BM6">
        <v>2</v>
      </c>
      <c r="BN6" s="107">
        <f>$H$27*H41</f>
        <v>6.5467228288448712E-2</v>
      </c>
      <c r="BP6">
        <f>BL5+1</f>
        <v>2</v>
      </c>
      <c r="BQ6">
        <v>1</v>
      </c>
      <c r="BR6" s="107">
        <f>$H$27*H40</f>
        <v>6.4661971214338906E-2</v>
      </c>
    </row>
    <row r="7" spans="1:70" x14ac:dyDescent="0.25">
      <c r="A7" s="5" t="s">
        <v>2</v>
      </c>
      <c r="B7" s="168">
        <v>16.25</v>
      </c>
      <c r="C7" s="169">
        <v>12.5</v>
      </c>
      <c r="E7" s="192" t="s">
        <v>18</v>
      </c>
      <c r="F7" s="167"/>
      <c r="G7" s="167"/>
      <c r="H7" s="10"/>
      <c r="I7" s="10"/>
      <c r="J7" s="166"/>
      <c r="K7" s="166"/>
      <c r="L7" s="10"/>
      <c r="M7" s="10"/>
      <c r="O7" s="67"/>
      <c r="P7" s="196">
        <f>B30</f>
        <v>0.15</v>
      </c>
      <c r="Q7" s="16">
        <f t="shared" si="1"/>
        <v>0</v>
      </c>
      <c r="R7" s="157">
        <f t="shared" ref="R7:R19" si="8">IF($M$2="SI",Q7*$B$22/0.5*$S$1,Q7*$B$22/0.5*$S$2)</f>
        <v>0</v>
      </c>
      <c r="S7" s="176">
        <f t="shared" si="2"/>
        <v>1</v>
      </c>
      <c r="T7" s="177">
        <f>R7*PRODUCT(S5:S6)*PRODUCT(S8:S19)</f>
        <v>0</v>
      </c>
      <c r="U7" s="177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0</v>
      </c>
      <c r="W7" s="186" t="s">
        <v>40</v>
      </c>
      <c r="X7" s="15" t="s">
        <v>41</v>
      </c>
      <c r="Y7" s="69"/>
      <c r="Z7" s="197">
        <f>C30</f>
        <v>0.15</v>
      </c>
      <c r="AA7" s="19">
        <f t="shared" si="3"/>
        <v>0</v>
      </c>
      <c r="AB7" s="157">
        <f t="shared" si="4"/>
        <v>0</v>
      </c>
      <c r="AC7" s="176">
        <f t="shared" si="5"/>
        <v>1</v>
      </c>
      <c r="AD7" s="177">
        <f>AB7*PRODUCT(AC5:AC6)*PRODUCT(AC8:AC19)</f>
        <v>0</v>
      </c>
      <c r="AE7" s="177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0</v>
      </c>
      <c r="AG7" s="13"/>
      <c r="AI7" s="206"/>
      <c r="AK7" s="13"/>
      <c r="AM7" s="13">
        <v>0</v>
      </c>
      <c r="BH7">
        <v>0</v>
      </c>
      <c r="BI7">
        <v>4</v>
      </c>
      <c r="BJ7" s="107">
        <f t="shared" si="0"/>
        <v>2.5016753363752892E-3</v>
      </c>
      <c r="BL7">
        <f>BH23+1</f>
        <v>3</v>
      </c>
      <c r="BM7">
        <v>3</v>
      </c>
      <c r="BN7" s="107">
        <f>$H$28*H42</f>
        <v>4.5701673767142147E-2</v>
      </c>
      <c r="BP7">
        <f>BP5+1</f>
        <v>3</v>
      </c>
      <c r="BQ7">
        <v>0</v>
      </c>
      <c r="BR7" s="107">
        <f>$H$28*H39</f>
        <v>3.3161677188174879E-2</v>
      </c>
    </row>
    <row r="8" spans="1:70" x14ac:dyDescent="0.25">
      <c r="A8" s="5" t="s">
        <v>3</v>
      </c>
      <c r="B8" s="168">
        <v>14.25</v>
      </c>
      <c r="C8" s="169">
        <v>12.25</v>
      </c>
      <c r="E8" s="192" t="s">
        <v>18</v>
      </c>
      <c r="F8" s="167" t="s">
        <v>16</v>
      </c>
      <c r="G8" s="167"/>
      <c r="H8" s="10"/>
      <c r="I8" s="10"/>
      <c r="J8" s="166" t="s">
        <v>154</v>
      </c>
      <c r="K8" s="166"/>
      <c r="L8" s="10"/>
      <c r="M8" s="10"/>
      <c r="O8" s="67">
        <f>COUNTIF(F6:F18,"IMP")*AI8*AG8</f>
        <v>5.5E-2</v>
      </c>
      <c r="P8" s="196">
        <f>P3</f>
        <v>0.7</v>
      </c>
      <c r="Q8" s="16">
        <f t="shared" si="1"/>
        <v>3.85E-2</v>
      </c>
      <c r="R8" s="157">
        <f t="shared" si="8"/>
        <v>3.89873417721519E-2</v>
      </c>
      <c r="S8" s="176">
        <f t="shared" si="2"/>
        <v>0.96101265822784809</v>
      </c>
      <c r="T8" s="177">
        <f>R8*PRODUCT(S5:S7)*PRODUCT(S9:S19)</f>
        <v>1.7590055028717817E-2</v>
      </c>
      <c r="U8" s="177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1.4884798830223617E-2</v>
      </c>
      <c r="W8" s="186" t="s">
        <v>42</v>
      </c>
      <c r="X8" s="15" t="s">
        <v>43</v>
      </c>
      <c r="Y8" s="69">
        <f>COUNTIF(J6:J18,"IMP")*AI8*AK8</f>
        <v>5.5E-2</v>
      </c>
      <c r="Z8" s="197" t="str">
        <f>Z3</f>
        <v>0,6</v>
      </c>
      <c r="AA8" s="19">
        <f t="shared" si="3"/>
        <v>3.3000000000000002E-2</v>
      </c>
      <c r="AB8" s="157">
        <f t="shared" si="4"/>
        <v>3.2582278481012659E-2</v>
      </c>
      <c r="AC8" s="176">
        <f t="shared" si="5"/>
        <v>0.96741772151898731</v>
      </c>
      <c r="AD8" s="177">
        <f>AB8*PRODUCT(AC5:AC7)*PRODUCT(AC9:AC19)</f>
        <v>2.036788459524437E-2</v>
      </c>
      <c r="AE8" s="177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9.4028421208687957E-3</v>
      </c>
      <c r="AG8" s="203">
        <f>IF(COUNTIF(F6:F18,"IMP")+COUNTIF(J6:J18,"IMP")=0,0,COUNTIF(F6:F18,"IMP")/(COUNTIF(F6:F18,"IMP")+COUNTIF(J6:J18,"IMP")))</f>
        <v>0.5</v>
      </c>
      <c r="AI8" s="206">
        <f t="shared" si="6"/>
        <v>0.11</v>
      </c>
      <c r="AK8" s="203">
        <f>IF(COUNTIF(F6:F18,"IMP")+COUNTIF(J6:J18,"IMP")=0,0,COUNTIF(J6:J18,"IMP")/(COUNTIF(F6:F18,"IMP")+COUNTIF(J6:J18,"IMP")))</f>
        <v>0.5</v>
      </c>
      <c r="AM8" s="13">
        <v>0.05</v>
      </c>
      <c r="AN8">
        <f t="shared" si="7"/>
        <v>0</v>
      </c>
      <c r="BH8">
        <v>0</v>
      </c>
      <c r="BI8">
        <v>5</v>
      </c>
      <c r="BJ8" s="107">
        <f t="shared" si="0"/>
        <v>7.9048181008643066E-4</v>
      </c>
      <c r="BL8">
        <f>BH31+1</f>
        <v>4</v>
      </c>
      <c r="BM8">
        <v>4</v>
      </c>
      <c r="BN8" s="107">
        <f>$H$29*H43</f>
        <v>1.5180997244312183E-2</v>
      </c>
      <c r="BP8">
        <f>BP6+1</f>
        <v>3</v>
      </c>
      <c r="BQ8">
        <v>1</v>
      </c>
      <c r="BR8" s="107">
        <f>$H$28*H40</f>
        <v>7.2137165554536725E-2</v>
      </c>
    </row>
    <row r="9" spans="1:70" x14ac:dyDescent="0.25">
      <c r="A9" s="5" t="s">
        <v>4</v>
      </c>
      <c r="B9" s="168">
        <v>14.5</v>
      </c>
      <c r="C9" s="169">
        <v>12.5</v>
      </c>
      <c r="E9" s="192" t="s">
        <v>18</v>
      </c>
      <c r="F9" s="167"/>
      <c r="G9" s="167"/>
      <c r="H9" s="10"/>
      <c r="I9" s="10"/>
      <c r="J9" s="166"/>
      <c r="K9" s="166"/>
      <c r="L9" s="10"/>
      <c r="M9" s="10"/>
      <c r="O9" s="67">
        <f>COUNTIF(J6:J13,"IMP")*AI9*AG9</f>
        <v>6.0000000000000005E-2</v>
      </c>
      <c r="P9" s="196" t="str">
        <f>Z3</f>
        <v>0,6</v>
      </c>
      <c r="Q9" s="16">
        <f t="shared" si="1"/>
        <v>3.6000000000000004E-2</v>
      </c>
      <c r="R9" s="157">
        <f t="shared" si="8"/>
        <v>3.6455696202531654E-2</v>
      </c>
      <c r="S9" s="176">
        <f t="shared" si="2"/>
        <v>0.96354430379746836</v>
      </c>
      <c r="T9" s="177">
        <f>R9*PRODUCT(S5:S8)*PRODUCT(S10:S19)</f>
        <v>1.6404628099204004E-2</v>
      </c>
      <c r="U9" s="177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1.3261015148747037E-2</v>
      </c>
      <c r="W9" s="187" t="s">
        <v>44</v>
      </c>
      <c r="X9" s="15" t="s">
        <v>45</v>
      </c>
      <c r="Y9" s="69">
        <f>COUNTIF(F6:F13,"IMP")*AI9*AK9</f>
        <v>0</v>
      </c>
      <c r="Z9" s="197">
        <f>P3</f>
        <v>0.7</v>
      </c>
      <c r="AA9" s="19">
        <f t="shared" si="3"/>
        <v>0</v>
      </c>
      <c r="AB9" s="157">
        <f t="shared" si="4"/>
        <v>0</v>
      </c>
      <c r="AC9" s="176">
        <f t="shared" si="5"/>
        <v>1</v>
      </c>
      <c r="AD9" s="177">
        <f>AB9*PRODUCT(AC5:AC8)*PRODUCT(AC10:AC19)</f>
        <v>0</v>
      </c>
      <c r="AE9" s="177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0</v>
      </c>
      <c r="AG9" s="203">
        <f>IF(COUNTIF(J6:J13,"IMP")+COUNTIF(F6:F13,"IMP")=0,0,COUNTIF(J6:J13,"IMP")/(COUNTIF(J6:J13,"IMP")+COUNTIF(F6:F13,"IMP")))</f>
        <v>1</v>
      </c>
      <c r="AI9" s="206">
        <f t="shared" si="6"/>
        <v>6.0000000000000005E-2</v>
      </c>
      <c r="AK9" s="203">
        <f>IF(COUNTIF(J6:J13,"IMP")+COUNTIF(F6:F13,"IMP")=0,0,COUNTIF(F6:F13,"IMP")/(COUNTIF(J6:J13,"IMP")+COUNTIF(F6:F13,"IMP")))</f>
        <v>0</v>
      </c>
      <c r="AM9" s="13">
        <v>2.5000000000000001E-2</v>
      </c>
      <c r="AN9">
        <f t="shared" si="7"/>
        <v>0</v>
      </c>
      <c r="BH9">
        <v>0</v>
      </c>
      <c r="BI9">
        <v>6</v>
      </c>
      <c r="BJ9" s="107">
        <f t="shared" si="0"/>
        <v>1.8782724131641881E-4</v>
      </c>
      <c r="BL9">
        <f>BH38+1</f>
        <v>5</v>
      </c>
      <c r="BM9">
        <v>5</v>
      </c>
      <c r="BN9" s="107">
        <f>$H$30*H44</f>
        <v>2.6844812061719348E-3</v>
      </c>
      <c r="BP9">
        <f>BL6+1</f>
        <v>3</v>
      </c>
      <c r="BQ9">
        <v>2</v>
      </c>
      <c r="BR9" s="107">
        <f>$H$28*H41</f>
        <v>7.3035513714639511E-2</v>
      </c>
    </row>
    <row r="10" spans="1:70" x14ac:dyDescent="0.25">
      <c r="A10" s="6" t="s">
        <v>5</v>
      </c>
      <c r="B10" s="168">
        <v>14.25</v>
      </c>
      <c r="C10" s="169">
        <v>12.5</v>
      </c>
      <c r="E10" s="192" t="s">
        <v>17</v>
      </c>
      <c r="F10" s="167" t="s">
        <v>154</v>
      </c>
      <c r="G10" s="167"/>
      <c r="H10" s="10"/>
      <c r="I10" s="10"/>
      <c r="J10" s="166" t="s">
        <v>154</v>
      </c>
      <c r="K10" s="166"/>
      <c r="L10" s="10"/>
      <c r="M10" s="10"/>
      <c r="O10" s="67">
        <f>COUNTIF(F11:F18,"RAP")*AI10*AG10</f>
        <v>5.5E-2</v>
      </c>
      <c r="P10" s="196" t="str">
        <f>R3</f>
        <v>0,72</v>
      </c>
      <c r="Q10" s="16">
        <f t="shared" si="1"/>
        <v>3.9599999999999996E-2</v>
      </c>
      <c r="R10" s="157">
        <f t="shared" si="8"/>
        <v>4.010126582278481E-2</v>
      </c>
      <c r="S10" s="176">
        <f t="shared" si="2"/>
        <v>0.95989873417721516</v>
      </c>
      <c r="T10" s="177">
        <f>R10*PRODUCT(S5:S9)*PRODUCT(S11:S19)</f>
        <v>1.8113623800012524E-2</v>
      </c>
      <c r="U10" s="177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1.3885791753302654E-2</v>
      </c>
      <c r="W10" s="186" t="s">
        <v>46</v>
      </c>
      <c r="X10" s="15" t="s">
        <v>47</v>
      </c>
      <c r="Y10" s="69">
        <f>COUNTIF(J11:J18,"RAP")*AI10*AK10</f>
        <v>5.5E-2</v>
      </c>
      <c r="Z10" s="197" t="str">
        <f>AB3</f>
        <v>0,72</v>
      </c>
      <c r="AA10" s="19">
        <f t="shared" si="3"/>
        <v>3.9599999999999996E-2</v>
      </c>
      <c r="AB10" s="157">
        <f t="shared" si="4"/>
        <v>3.9098734177215183E-2</v>
      </c>
      <c r="AC10" s="176">
        <f t="shared" si="5"/>
        <v>0.96090126582278479</v>
      </c>
      <c r="AD10" s="177">
        <f>AB10*PRODUCT(AC5:AC9)*PRODUCT(AC11:AC19)</f>
        <v>2.4607213924840797E-2</v>
      </c>
      <c r="AE10" s="177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1.035867134157244E-2</v>
      </c>
      <c r="AG10" s="203">
        <f>IF(COUNTIF(F11:F18,"RAP")+COUNTIF(J11:J18,"RAP")=0,0,COUNTIF(F11:F18,"RAP")/(COUNTIF(F11:F18,"RAP")+COUNTIF(J11:J18,"RAP")))</f>
        <v>0.5</v>
      </c>
      <c r="AI10" s="206">
        <f t="shared" si="6"/>
        <v>0.11</v>
      </c>
      <c r="AK10" s="203">
        <f>IF(COUNTIF(F11:F18,"RAP")+COUNTIF(J11:J18,"RAP")=0,0,COUNTIF(J11:J18,"RAP")/(COUNTIF(F11:F18,"RAP")+COUNTIF(J11:J18,"RAP")))</f>
        <v>0.5</v>
      </c>
      <c r="AM10" s="13">
        <v>0.05</v>
      </c>
      <c r="AN10">
        <f t="shared" si="7"/>
        <v>0</v>
      </c>
      <c r="BH10">
        <v>0</v>
      </c>
      <c r="BI10">
        <v>7</v>
      </c>
      <c r="BJ10" s="107">
        <f t="shared" si="0"/>
        <v>3.3960125127991505E-5</v>
      </c>
      <c r="BL10">
        <f>BH44+1</f>
        <v>6</v>
      </c>
      <c r="BM10">
        <v>6</v>
      </c>
      <c r="BN10" s="107">
        <f>$H$31*H45</f>
        <v>2.6791237045560774E-4</v>
      </c>
      <c r="BP10">
        <f>BP7+1</f>
        <v>4</v>
      </c>
      <c r="BQ10">
        <v>0</v>
      </c>
      <c r="BR10" s="107">
        <f>$H$29*H39</f>
        <v>2.5473313988194638E-2</v>
      </c>
    </row>
    <row r="11" spans="1:70" x14ac:dyDescent="0.25">
      <c r="A11" s="6" t="s">
        <v>6</v>
      </c>
      <c r="B11" s="168">
        <v>8.5</v>
      </c>
      <c r="C11" s="169">
        <v>10</v>
      </c>
      <c r="E11" s="192" t="s">
        <v>19</v>
      </c>
      <c r="F11" s="167" t="s">
        <v>21</v>
      </c>
      <c r="G11" s="167"/>
      <c r="H11" s="10"/>
      <c r="I11" s="10"/>
      <c r="J11" s="166" t="s">
        <v>146</v>
      </c>
      <c r="K11" s="166"/>
      <c r="L11" s="10"/>
      <c r="M11" s="10"/>
      <c r="O11" s="67">
        <f>COUNTIF(F11:F18,"RAP")*AI11*AG11</f>
        <v>5.5E-2</v>
      </c>
      <c r="P11" s="196" t="str">
        <f>R3</f>
        <v>0,72</v>
      </c>
      <c r="Q11" s="16">
        <f t="shared" si="1"/>
        <v>3.9599999999999996E-2</v>
      </c>
      <c r="R11" s="157">
        <f t="shared" si="8"/>
        <v>4.010126582278481E-2</v>
      </c>
      <c r="S11" s="176">
        <f t="shared" si="2"/>
        <v>0.95989873417721516</v>
      </c>
      <c r="T11" s="177">
        <f>R11*PRODUCT(S5:S10)*PRODUCT(S12:S19)</f>
        <v>1.811362380001252E-2</v>
      </c>
      <c r="U11" s="177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1.3129066885193681E-2</v>
      </c>
      <c r="W11" s="186" t="s">
        <v>48</v>
      </c>
      <c r="X11" s="15" t="s">
        <v>49</v>
      </c>
      <c r="Y11" s="69">
        <f>COUNTIF(J11:J18,"RAP")*AI11*AK11</f>
        <v>5.5E-2</v>
      </c>
      <c r="Z11" s="197" t="str">
        <f>AB3</f>
        <v>0,72</v>
      </c>
      <c r="AA11" s="19">
        <f t="shared" si="3"/>
        <v>3.9599999999999996E-2</v>
      </c>
      <c r="AB11" s="157">
        <f t="shared" si="4"/>
        <v>3.9098734177215183E-2</v>
      </c>
      <c r="AC11" s="176">
        <f t="shared" si="5"/>
        <v>0.96090126582278479</v>
      </c>
      <c r="AD11" s="177">
        <f>AB11*PRODUCT(AC5:AC10)*PRODUCT(AC12:AC19)</f>
        <v>2.4607213924840797E-2</v>
      </c>
      <c r="AE11" s="177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9.3574124710625768E-3</v>
      </c>
      <c r="AG11" s="203">
        <f>IF(COUNTIF(F11:F18,"RAP")+COUNTIF(J11:J18,"RAP")=0,0,COUNTIF(F11:F18,"RAP")/(COUNTIF(F11:F18,"RAP")+COUNTIF(J11:J18,"RAP")))</f>
        <v>0.5</v>
      </c>
      <c r="AI11" s="206">
        <f t="shared" si="6"/>
        <v>0.11</v>
      </c>
      <c r="AK11" s="203">
        <f>IF(COUNTIF(F11:F18,"RAP")+COUNTIF(J11:J18,"RAP")=0,0,COUNTIF(J11:J18,"RAP")/(COUNTIF(F11:F18,"RAP")+COUNTIF(J11:J18,"RAP")))</f>
        <v>0.5</v>
      </c>
      <c r="AM11" s="13">
        <v>0.05</v>
      </c>
      <c r="AN11">
        <f t="shared" si="7"/>
        <v>0</v>
      </c>
      <c r="BH11">
        <v>0</v>
      </c>
      <c r="BI11">
        <v>8</v>
      </c>
      <c r="BJ11" s="107">
        <f t="shared" si="0"/>
        <v>4.666482954646519E-6</v>
      </c>
      <c r="BL11">
        <f>BH50+1</f>
        <v>7</v>
      </c>
      <c r="BM11">
        <v>7</v>
      </c>
      <c r="BN11" s="107">
        <f>$H$32*H46</f>
        <v>1.5471225663938651E-5</v>
      </c>
      <c r="BP11">
        <f>BP8+1</f>
        <v>4</v>
      </c>
      <c r="BQ11">
        <v>1</v>
      </c>
      <c r="BR11" s="107">
        <f>$H$29*H40</f>
        <v>5.541253712717379E-2</v>
      </c>
    </row>
    <row r="12" spans="1:70" x14ac:dyDescent="0.25">
      <c r="A12" s="6" t="s">
        <v>7</v>
      </c>
      <c r="B12" s="168">
        <v>14.5</v>
      </c>
      <c r="C12" s="169">
        <v>12</v>
      </c>
      <c r="E12" s="192" t="s">
        <v>19</v>
      </c>
      <c r="F12" s="167" t="s">
        <v>16</v>
      </c>
      <c r="G12" s="167"/>
      <c r="H12" s="10"/>
      <c r="I12" s="10"/>
      <c r="J12" s="166" t="s">
        <v>131</v>
      </c>
      <c r="K12" s="166"/>
      <c r="L12" s="10"/>
      <c r="M12" s="10"/>
      <c r="O12" s="67"/>
      <c r="P12" s="196">
        <v>0.5</v>
      </c>
      <c r="Q12" s="16">
        <f t="shared" si="1"/>
        <v>0</v>
      </c>
      <c r="R12" s="157">
        <f t="shared" si="8"/>
        <v>0</v>
      </c>
      <c r="S12" s="176">
        <f t="shared" si="2"/>
        <v>1</v>
      </c>
      <c r="T12" s="177">
        <f>R12*PRODUCT(S5:S11)*PRODUCT(S13:S19)</f>
        <v>0</v>
      </c>
      <c r="U12" s="177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0</v>
      </c>
      <c r="W12" s="187" t="s">
        <v>50</v>
      </c>
      <c r="X12" s="15" t="s">
        <v>51</v>
      </c>
      <c r="Y12" s="69"/>
      <c r="Z12" s="197">
        <v>0.5</v>
      </c>
      <c r="AA12" s="19">
        <f t="shared" si="3"/>
        <v>0</v>
      </c>
      <c r="AB12" s="157">
        <f t="shared" si="4"/>
        <v>0</v>
      </c>
      <c r="AC12" s="176">
        <f t="shared" si="5"/>
        <v>1</v>
      </c>
      <c r="AD12" s="177">
        <f>AB12*PRODUCT(AC5:AC11)*PRODUCT(AC13:AC19)</f>
        <v>0</v>
      </c>
      <c r="AE12" s="177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0</v>
      </c>
      <c r="AG12" s="13"/>
      <c r="AI12" s="206"/>
      <c r="AK12" s="13"/>
      <c r="AM12" s="13">
        <v>0</v>
      </c>
      <c r="BH12">
        <v>0</v>
      </c>
      <c r="BI12">
        <v>9</v>
      </c>
      <c r="BJ12" s="107">
        <f t="shared" si="0"/>
        <v>4.805907216247352E-7</v>
      </c>
      <c r="BL12">
        <f>BH54+1</f>
        <v>8</v>
      </c>
      <c r="BM12">
        <v>8</v>
      </c>
      <c r="BN12" s="107">
        <f>$H$33*H47</f>
        <v>5.1636680843563638E-7</v>
      </c>
      <c r="BP12">
        <f>BP9+1</f>
        <v>4</v>
      </c>
      <c r="BQ12">
        <v>2</v>
      </c>
      <c r="BR12" s="107">
        <f>$H$29*H41</f>
        <v>5.6102607916511768E-2</v>
      </c>
    </row>
    <row r="13" spans="1:70" x14ac:dyDescent="0.25">
      <c r="A13" s="7" t="s">
        <v>8</v>
      </c>
      <c r="B13" s="168">
        <v>12.5</v>
      </c>
      <c r="C13" s="169">
        <v>9.5</v>
      </c>
      <c r="E13" s="192" t="s">
        <v>19</v>
      </c>
      <c r="F13" s="167" t="s">
        <v>21</v>
      </c>
      <c r="G13" s="167"/>
      <c r="H13" s="10"/>
      <c r="I13" s="10"/>
      <c r="J13" s="166" t="s">
        <v>16</v>
      </c>
      <c r="K13" s="166"/>
      <c r="L13" s="10"/>
      <c r="M13" s="10"/>
      <c r="O13" s="67">
        <f>AI13*B22/0.5</f>
        <v>0.21265822784810129</v>
      </c>
      <c r="P13" s="196">
        <f>P2</f>
        <v>0.6</v>
      </c>
      <c r="Q13" s="16">
        <f t="shared" si="1"/>
        <v>0.12759493670886077</v>
      </c>
      <c r="R13" s="157">
        <f t="shared" si="8"/>
        <v>0.12921006248998559</v>
      </c>
      <c r="S13" s="176">
        <f t="shared" si="2"/>
        <v>0.87078993751001443</v>
      </c>
      <c r="T13" s="177">
        <f>R13*PRODUCT(S5:S12)*PRODUCT(S14:S19)</f>
        <v>6.4336231085120238E-2</v>
      </c>
      <c r="U13" s="177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3.7085633397606746E-2</v>
      </c>
      <c r="W13" s="186" t="s">
        <v>52</v>
      </c>
      <c r="X13" s="15" t="s">
        <v>53</v>
      </c>
      <c r="Y13" s="69">
        <f>AI13*C22/0.5</f>
        <v>0.20734177215189875</v>
      </c>
      <c r="Z13" s="197" t="str">
        <f>Z2</f>
        <v>0,4</v>
      </c>
      <c r="AA13" s="19">
        <f t="shared" si="3"/>
        <v>8.2936708860759503E-2</v>
      </c>
      <c r="AB13" s="157">
        <f t="shared" si="4"/>
        <v>8.188687710302836E-2</v>
      </c>
      <c r="AC13" s="176">
        <f t="shared" si="5"/>
        <v>0.91811312289697167</v>
      </c>
      <c r="AD13" s="177">
        <f>AB13*PRODUCT(AC5:AC12)*PRODUCT(AC14:AC19)</f>
        <v>5.3938222061607054E-2</v>
      </c>
      <c r="AE13" s="177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1.570037576871082E-2</v>
      </c>
      <c r="AG13" s="13"/>
      <c r="AI13" s="206">
        <f>(AM13*$AI$2/2)+SUM($AN$5:$AN$19)</f>
        <v>0.21000000000000002</v>
      </c>
      <c r="AK13" s="13"/>
      <c r="AM13" s="13">
        <v>0.2</v>
      </c>
      <c r="BH13">
        <v>0</v>
      </c>
      <c r="BI13">
        <v>10</v>
      </c>
      <c r="BJ13" s="107">
        <f t="shared" si="0"/>
        <v>3.6010355026182133E-8</v>
      </c>
      <c r="BL13">
        <f>BH57+1</f>
        <v>9</v>
      </c>
      <c r="BM13">
        <v>9</v>
      </c>
      <c r="BN13" s="107">
        <f>$H$34*H48</f>
        <v>9.6991094566353788E-9</v>
      </c>
      <c r="BP13">
        <f>BL7+1</f>
        <v>4</v>
      </c>
      <c r="BQ13">
        <v>3</v>
      </c>
      <c r="BR13" s="107">
        <f>$H$29*H42</f>
        <v>3.5105977271607428E-2</v>
      </c>
    </row>
    <row r="14" spans="1:70" x14ac:dyDescent="0.25">
      <c r="A14" s="7" t="s">
        <v>9</v>
      </c>
      <c r="B14" s="168">
        <v>11</v>
      </c>
      <c r="C14" s="169">
        <v>7.5</v>
      </c>
      <c r="E14" s="192" t="s">
        <v>20</v>
      </c>
      <c r="F14" s="167" t="s">
        <v>21</v>
      </c>
      <c r="G14" s="167"/>
      <c r="H14" s="10"/>
      <c r="I14" s="10"/>
      <c r="J14" s="166" t="s">
        <v>131</v>
      </c>
      <c r="K14" s="166"/>
      <c r="L14" s="10"/>
      <c r="M14" s="10"/>
      <c r="O14" s="67">
        <f>IF(COUNTIF(F6:F18,"CAB")&gt;0,AI14*B22/0.5,0)</f>
        <v>0.13670886075949368</v>
      </c>
      <c r="P14" s="196">
        <f>IF(COUNTIF(F6:F18,"CAB")-COUNTIF(J6:J18,"CAB")&gt;3,0.8,IF(COUNTIF(F6:F18,"CAB")-COUNTIF(J6:J18,"CAB")&gt;0,0.6,IF(COUNTIF(F6:F18,"CAB")-COUNTIF(J6:J18,"CAB")=0,0.4,0.15)))</f>
        <v>0.15</v>
      </c>
      <c r="Q14" s="16">
        <f t="shared" si="1"/>
        <v>2.0506329113924051E-2</v>
      </c>
      <c r="R14" s="157">
        <f t="shared" si="8"/>
        <v>2.0765902900176256E-2</v>
      </c>
      <c r="S14" s="176">
        <f t="shared" si="2"/>
        <v>0.97923409709982379</v>
      </c>
      <c r="T14" s="177">
        <f>R14*PRODUCT(S5:S13)*PRODUCT(S15:S19)</f>
        <v>9.1946874842120298E-3</v>
      </c>
      <c r="U14" s="177">
        <f>R14*R15*PRODUCT(S5:S13)*PRODUCT(S16:S19)+R14*R16*PRODUCT(S5:S13)*S15*PRODUCT(S17:S19)+R14*R17*PRODUCT(S5:S13)*PRODUCT(S15:S16)*PRODUCT(S18:S19)+R14*R18*PRODUCT(S5:S13)*PRODUCT(S15:S17)*PRODUCT(S19)+R14*R19*PRODUCT(S5:S13)*PRODUCT(S15:S18)</f>
        <v>5.1051515127416604E-3</v>
      </c>
      <c r="W14" s="186" t="s">
        <v>54</v>
      </c>
      <c r="X14" s="15" t="s">
        <v>55</v>
      </c>
      <c r="Y14" s="69">
        <f>IF(COUNTIF(J6:J18,"CAB")&gt;0,AI14*C22/0.5,0)</f>
        <v>0.13329113924050634</v>
      </c>
      <c r="Z14" s="197">
        <f>IF(COUNTIF(J6:J18,"CAB")-COUNTIF(F6:F18,"CAB")&gt;3,0.8,IF(COUNTIF(J6:J18,"CAB")-COUNTIF(F6:F18,"CAB")&gt;0,0.6,IF(COUNTIF(J6:J18,"CAB")-COUNTIF(F6:F18,"CAB")=0,0.4,0.15)))</f>
        <v>0.6</v>
      </c>
      <c r="AA14" s="19">
        <f t="shared" si="3"/>
        <v>7.9974683544303801E-2</v>
      </c>
      <c r="AB14" s="157">
        <f t="shared" si="4"/>
        <v>7.8962345777920204E-2</v>
      </c>
      <c r="AC14" s="176">
        <f t="shared" si="5"/>
        <v>0.92103765422207984</v>
      </c>
      <c r="AD14" s="177">
        <f>AB14*PRODUCT(AC5:AC13)*PRODUCT(AC15:AC19)</f>
        <v>5.1846705971251489E-2</v>
      </c>
      <c r="AE14" s="177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1.0646657053698135E-2</v>
      </c>
      <c r="AG14" s="13"/>
      <c r="AI14" s="206">
        <f>IF(COUNTIF(J6:J18,"CAB")+COUNTIF(F6:F18,"CAB")=0,0,(AM14*$AI$2/2)+SUM($AN$5:$AN$19))</f>
        <v>0.13500000000000001</v>
      </c>
      <c r="AK14" s="13"/>
      <c r="AM14" s="13">
        <v>0.125</v>
      </c>
      <c r="AN14">
        <f>IF(COUNTIF(J6:J18,"CAB")+COUNTIF(F6:F18,"CAB")=0,AM14*2/10,0)</f>
        <v>0</v>
      </c>
      <c r="BH14">
        <v>1</v>
      </c>
      <c r="BI14">
        <v>2</v>
      </c>
      <c r="BJ14" s="107">
        <f t="shared" ref="BJ14:BJ22" si="9">$H$26*H41</f>
        <v>3.6128590013162709E-2</v>
      </c>
      <c r="BL14">
        <f>BP39+1</f>
        <v>10</v>
      </c>
      <c r="BM14">
        <v>10</v>
      </c>
      <c r="BN14" s="107">
        <f>$H$35*H49</f>
        <v>9.6718544134395759E-11</v>
      </c>
      <c r="BP14">
        <f>BP10+1</f>
        <v>5</v>
      </c>
      <c r="BQ14">
        <v>0</v>
      </c>
      <c r="BR14" s="107">
        <f>$H$30*H39</f>
        <v>1.425556981715346E-2</v>
      </c>
    </row>
    <row r="15" spans="1:70" x14ac:dyDescent="0.25">
      <c r="A15" s="189" t="s">
        <v>71</v>
      </c>
      <c r="B15" s="170">
        <v>3</v>
      </c>
      <c r="C15" s="171">
        <v>8.75</v>
      </c>
      <c r="E15" s="192" t="s">
        <v>20</v>
      </c>
      <c r="F15" s="167" t="s">
        <v>146</v>
      </c>
      <c r="G15" s="167"/>
      <c r="H15" s="10"/>
      <c r="I15" s="10"/>
      <c r="J15" s="166" t="s">
        <v>123</v>
      </c>
      <c r="K15" s="166"/>
      <c r="L15" s="10"/>
      <c r="M15" s="10"/>
      <c r="O15" s="67"/>
      <c r="P15" s="196">
        <v>0.5</v>
      </c>
      <c r="Q15" s="16">
        <f t="shared" si="1"/>
        <v>0</v>
      </c>
      <c r="R15" s="157">
        <f t="shared" si="8"/>
        <v>0</v>
      </c>
      <c r="S15" s="176">
        <f t="shared" si="2"/>
        <v>1</v>
      </c>
      <c r="T15" s="177">
        <f>R15*PRODUCT(S5:S14)*PRODUCT(S16:S19)</f>
        <v>0</v>
      </c>
      <c r="U15" s="177">
        <f>R15*R16*PRODUCT(S5:S14)*PRODUCT(S17:S19)+R15*R17*PRODUCT(S5:S14)*S16*PRODUCT(S18:S19)+R15*R18*PRODUCT(S5:S14)*S16*S17*S19+R15*R19*PRODUCT(S5:S14)*S16*S17*S18</f>
        <v>0</v>
      </c>
      <c r="W15" s="186" t="s">
        <v>56</v>
      </c>
      <c r="X15" s="15" t="s">
        <v>57</v>
      </c>
      <c r="Y15" s="69"/>
      <c r="Z15" s="197">
        <v>0.5</v>
      </c>
      <c r="AA15" s="19">
        <f t="shared" si="3"/>
        <v>0</v>
      </c>
      <c r="AB15" s="157">
        <f t="shared" si="4"/>
        <v>0</v>
      </c>
      <c r="AC15" s="176">
        <f t="shared" si="5"/>
        <v>1</v>
      </c>
      <c r="AD15" s="177">
        <f>AB15*PRODUCT(AC5:AC14)*PRODUCT(AC16:AC19)</f>
        <v>0</v>
      </c>
      <c r="AE15" s="177">
        <f>AB15*AB16*PRODUCT(AC5:AC14)*PRODUCT(AC17:AC19)+AB15*AB17*PRODUCT(AC5:AC14)*AC16*PRODUCT(AC18:AC19)+AB15*AB18*PRODUCT(AC5:AC14)*AC16*AC17*AC19+AB15*AB19*PRODUCT(AC5:AC14)*AC16*AC17*AC18</f>
        <v>0</v>
      </c>
      <c r="AG15" s="13"/>
      <c r="AI15" s="206"/>
      <c r="AK15" s="13"/>
      <c r="AM15" s="13">
        <v>0</v>
      </c>
      <c r="BH15">
        <v>1</v>
      </c>
      <c r="BI15">
        <v>3</v>
      </c>
      <c r="BJ15" s="107">
        <f t="shared" si="9"/>
        <v>2.2607317323728657E-2</v>
      </c>
      <c r="BP15">
        <f>BP11+1</f>
        <v>5</v>
      </c>
      <c r="BQ15">
        <v>1</v>
      </c>
      <c r="BR15" s="107">
        <f>$H$30*H40</f>
        <v>3.1010385697287878E-2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 t="s">
        <v>123</v>
      </c>
      <c r="G16" s="167"/>
      <c r="H16" s="10"/>
      <c r="I16" s="10"/>
      <c r="J16" s="166" t="s">
        <v>21</v>
      </c>
      <c r="K16" s="166"/>
      <c r="L16" s="10"/>
      <c r="M16" s="10"/>
      <c r="O16" s="67"/>
      <c r="P16" s="196">
        <v>0.25</v>
      </c>
      <c r="Q16" s="16">
        <f t="shared" si="1"/>
        <v>0</v>
      </c>
      <c r="R16" s="157">
        <f t="shared" si="8"/>
        <v>0</v>
      </c>
      <c r="S16" s="176">
        <f t="shared" si="2"/>
        <v>1</v>
      </c>
      <c r="T16" s="177">
        <f>R16*PRODUCT(S5:S15)*PRODUCT(S17:S19)</f>
        <v>0</v>
      </c>
      <c r="U16" s="177">
        <f>R16*R17*PRODUCT(S5:S15)*PRODUCT(S18:S19)+R16*R18*PRODUCT(S5:S15)*S17*S19+R16*R19*PRODUCT(S5:S15)*S17*S18</f>
        <v>0</v>
      </c>
      <c r="W16" s="187" t="s">
        <v>58</v>
      </c>
      <c r="X16" s="15" t="s">
        <v>59</v>
      </c>
      <c r="Y16" s="69"/>
      <c r="Z16" s="197">
        <v>0.25</v>
      </c>
      <c r="AA16" s="19">
        <f t="shared" si="3"/>
        <v>0</v>
      </c>
      <c r="AB16" s="157">
        <f t="shared" si="4"/>
        <v>0</v>
      </c>
      <c r="AC16" s="176">
        <f t="shared" si="5"/>
        <v>1</v>
      </c>
      <c r="AD16" s="177">
        <f>AB16*PRODUCT(AC5:AC15)*PRODUCT(AC17:AC19)</f>
        <v>0</v>
      </c>
      <c r="AE16" s="177">
        <f>AB16*AB17*PRODUCT(AC5:AC15)*PRODUCT(AC18:AC19)+AB16*AB18*PRODUCT(AC5:AC15)*AC17*AC19+AB16*AB19*PRODUCT(AC5:AC15)*AC17*AC18</f>
        <v>0</v>
      </c>
      <c r="AG16" s="13"/>
      <c r="AI16" s="206"/>
      <c r="AK16" s="13"/>
      <c r="AM16" s="13">
        <v>0</v>
      </c>
      <c r="BH16">
        <v>1</v>
      </c>
      <c r="BI16">
        <v>4</v>
      </c>
      <c r="BJ16" s="107">
        <f t="shared" si="9"/>
        <v>9.7761591804591663E-3</v>
      </c>
      <c r="BP16">
        <f>BP12+1</f>
        <v>5</v>
      </c>
      <c r="BQ16">
        <v>2</v>
      </c>
      <c r="BR16" s="107">
        <f>$H$30*H41</f>
        <v>3.1396568363616442E-2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/>
      <c r="G17" s="167"/>
      <c r="H17" s="10"/>
      <c r="I17" s="10"/>
      <c r="J17" s="166"/>
      <c r="K17" s="166"/>
      <c r="L17" s="10"/>
      <c r="M17" s="10"/>
      <c r="O17" s="67">
        <f>(AI17*2)*IF(COUNTBLANK(F14:F15)&lt;&gt;0, (2-COUNTBLANK(F14:F15))/2,1)*AG17</f>
        <v>0.17</v>
      </c>
      <c r="P17" s="196">
        <f>IF(COUNTIF(F14:F18,"CAB")&gt;0,0.95,P3)</f>
        <v>0.7</v>
      </c>
      <c r="Q17" s="16">
        <f t="shared" si="1"/>
        <v>0.11899999999999999</v>
      </c>
      <c r="R17" s="157">
        <f t="shared" si="8"/>
        <v>0.12050632911392406</v>
      </c>
      <c r="S17" s="176">
        <f t="shared" si="2"/>
        <v>0.87949367088607588</v>
      </c>
      <c r="T17" s="177">
        <f>R17*PRODUCT(S5:S16)*PRODUCT(S18:S19)</f>
        <v>5.9408668609055242E-2</v>
      </c>
      <c r="U17" s="177">
        <f>R17*R18*PRODUCT(S5:S16)*S19+R17*R19*PRODUCT(S5:S16)*S18</f>
        <v>2.4845331464823907E-2</v>
      </c>
      <c r="W17" s="186" t="s">
        <v>60</v>
      </c>
      <c r="X17" s="15" t="s">
        <v>61</v>
      </c>
      <c r="Y17" s="69">
        <f>(AI17*2)*IF(COUNTBLANK(J14:J15)&lt;&gt;0, (2-COUNTBLANK(J14:J15))/2,1)*AK17</f>
        <v>0.17</v>
      </c>
      <c r="Z17" s="197">
        <f>IF(COUNTIF(J14:J18,"CAB")&gt;0,0.95,Z3)</f>
        <v>0.95</v>
      </c>
      <c r="AA17" s="19">
        <f t="shared" si="3"/>
        <v>0.1615</v>
      </c>
      <c r="AB17" s="157">
        <f t="shared" si="4"/>
        <v>0.15945569620253164</v>
      </c>
      <c r="AC17" s="176">
        <f t="shared" si="5"/>
        <v>0.84054430379746836</v>
      </c>
      <c r="AD17" s="177">
        <f>AB17*PRODUCT(AC5:AC16)*PRODUCT(AC18:AC19)</f>
        <v>0.11472496706944034</v>
      </c>
      <c r="AE17" s="177">
        <f>AB17*AB18*PRODUCT(AC5:AC16)*AC19+AB17*AB19*PRODUCT(AC5:AC16)*AC18</f>
        <v>1.7946978258813601E-3</v>
      </c>
      <c r="AG17" s="203">
        <f>IF(IF(COUNTBLANK(F14:F15)&lt;&gt;0,(2-COUNTBLANK(F14:F15))/2,1)+IF(COUNTBLANK(J14:J15)&lt;&gt;0,(2-COUNTBLANK(J14:J15))/2,1)=0,0,IF(COUNTBLANK(F14:F15)&lt;&gt;0,(2-COUNTBLANK(F14:F15))/2,1)/(IF(COUNTBLANK(F14:F15)&lt;&gt;0,(2-COUNTBLANK(F14:F15))/2,1)+IF(COUNTBLANK(J14:J15)&lt;&gt;0,(2-COUNTBLANK(J14:J15))/2,1)))</f>
        <v>0.5</v>
      </c>
      <c r="AI17" s="206">
        <f t="shared" si="6"/>
        <v>0.17</v>
      </c>
      <c r="AK17" s="203">
        <f>IF(IF(COUNTBLANK(F14:F15)&lt;&gt;0,(2-COUNTBLANK(F14:F15))/2,1)+IF(COUNTBLANK(J14:J15)&lt;&gt;0,(2-COUNTBLANK(J14:J15))/2,1)=0,0,IF(COUNTBLANK(J14:J15)&lt;&gt;0,(2-COUNTBLANK(J14:J15))/2,1)/(IF(COUNTBLANK(F14:F15)&lt;&gt;0,(2-COUNTBLANK(F14:F15))/2,1)+IF(COUNTBLANK(J14:J15)&lt;&gt;0,(2-COUNTBLANK(J14:J15))/2,1)))</f>
        <v>0.5</v>
      </c>
      <c r="AM17" s="13">
        <v>0.08</v>
      </c>
      <c r="AN17">
        <f t="shared" si="7"/>
        <v>0</v>
      </c>
      <c r="BH17">
        <v>1</v>
      </c>
      <c r="BI17">
        <v>5</v>
      </c>
      <c r="BJ17" s="107">
        <f t="shared" si="9"/>
        <v>3.0890803024262378E-3</v>
      </c>
      <c r="BP17">
        <f>BP13+1</f>
        <v>5</v>
      </c>
      <c r="BQ17">
        <v>3</v>
      </c>
      <c r="BR17" s="107">
        <f>$H$30*H42</f>
        <v>1.964627414504189E-2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 t="s">
        <v>21</v>
      </c>
      <c r="G18" s="167"/>
      <c r="H18" s="10"/>
      <c r="I18" s="10"/>
      <c r="J18" s="166" t="s">
        <v>154</v>
      </c>
      <c r="K18" s="166"/>
      <c r="L18" s="10"/>
      <c r="M18" s="10"/>
      <c r="O18" s="67"/>
      <c r="P18" s="196"/>
      <c r="Q18" s="16">
        <f t="shared" si="1"/>
        <v>0</v>
      </c>
      <c r="R18" s="157">
        <f t="shared" si="8"/>
        <v>0</v>
      </c>
      <c r="S18" s="176">
        <f t="shared" si="2"/>
        <v>1</v>
      </c>
      <c r="T18" s="177">
        <f>R18*PRODUCT(S5:S17)*PRODUCT(S19:S19)</f>
        <v>0</v>
      </c>
      <c r="U18" s="177">
        <f>R18*R19*PRODUCT(S5:S17)</f>
        <v>0</v>
      </c>
      <c r="W18" s="186" t="s">
        <v>62</v>
      </c>
      <c r="X18" s="15" t="s">
        <v>63</v>
      </c>
      <c r="Y18" s="69"/>
      <c r="Z18" s="197"/>
      <c r="AA18" s="19">
        <f t="shared" si="3"/>
        <v>0</v>
      </c>
      <c r="AB18" s="157">
        <f t="shared" si="4"/>
        <v>0</v>
      </c>
      <c r="AC18" s="176">
        <f t="shared" si="5"/>
        <v>1</v>
      </c>
      <c r="AD18" s="177">
        <f>AB18*PRODUCT(AC5:AC17)*PRODUCT(AC19:AC19)</f>
        <v>0</v>
      </c>
      <c r="AE18" s="177">
        <f>AB18*AB19*PRODUCT(AC5:AC17)</f>
        <v>0</v>
      </c>
      <c r="AG18" s="203"/>
      <c r="AI18" s="206"/>
      <c r="AK18" s="203"/>
      <c r="AM18" s="13">
        <v>0</v>
      </c>
      <c r="BH18">
        <v>1</v>
      </c>
      <c r="BI18">
        <v>6</v>
      </c>
      <c r="BJ18" s="107">
        <f t="shared" si="9"/>
        <v>7.3399972523867298E-4</v>
      </c>
      <c r="BP18">
        <f>BL8+1</f>
        <v>5</v>
      </c>
      <c r="BQ18">
        <v>4</v>
      </c>
      <c r="BR18" s="107">
        <f>$H$30*H43</f>
        <v>8.4957051999830675E-3</v>
      </c>
    </row>
    <row r="19" spans="1:70" x14ac:dyDescent="0.25">
      <c r="H19" s="13" t="s">
        <v>151</v>
      </c>
      <c r="L19" s="13" t="s">
        <v>151</v>
      </c>
      <c r="O19" s="67">
        <f>COUNTIF(F11:F18,"TEC")*AG19*AI19</f>
        <v>0.41600000000000004</v>
      </c>
      <c r="P19" s="196">
        <f>P3</f>
        <v>0.7</v>
      </c>
      <c r="Q19" s="16">
        <f t="shared" si="1"/>
        <v>0.29120000000000001</v>
      </c>
      <c r="R19" s="157">
        <f t="shared" si="8"/>
        <v>0.29488607594936711</v>
      </c>
      <c r="S19" s="178">
        <f t="shared" si="2"/>
        <v>0.70511392405063289</v>
      </c>
      <c r="T19" s="179">
        <f>R19*PRODUCT(S5:S18)</f>
        <v>0.18132916283360975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COUNTIF(J11:J18,"TEC")*AI19*AK19</f>
        <v>2.6000000000000002E-2</v>
      </c>
      <c r="Z19" s="197" t="str">
        <f>Z3</f>
        <v>0,6</v>
      </c>
      <c r="AA19" s="19">
        <f t="shared" si="3"/>
        <v>1.5600000000000001E-2</v>
      </c>
      <c r="AB19" s="157">
        <f t="shared" si="4"/>
        <v>1.5402531645569621E-2</v>
      </c>
      <c r="AC19" s="178">
        <f t="shared" si="5"/>
        <v>0.98459746835443041</v>
      </c>
      <c r="AD19" s="179">
        <f>AB19*PRODUCT(AC5:AC18)</f>
        <v>9.4604524674128717E-3</v>
      </c>
      <c r="AE19" s="179">
        <v>0</v>
      </c>
      <c r="AF19" s="1" t="s">
        <v>66</v>
      </c>
      <c r="AG19" s="203">
        <f>IF(COUNTIF(F11:F18,"TEC")&gt;0,IF(COUNTIF(J6:J13,"CAB")&gt;0,IF(COUNTIF(F11:F18,"TEC")+COUNTIF(J11:J18,"TEC")&gt;0,COUNTIF(F11:F18,"TEC")/(COUNTIF(F11:F18,"TEC")+COUNTIF(J11:J18,"TEC")),0),0),0)</f>
        <v>0.8</v>
      </c>
      <c r="AI19" s="206">
        <f t="shared" si="6"/>
        <v>0.13</v>
      </c>
      <c r="AK19" s="203">
        <f>IF(COUNTIF(J11:J18,"TEC")&gt;0,IF(COUNTIF(F6:F13,"CAB")&gt;0,IF(COUNTIF(F11:F18,"TEC")+COUNTIF(J11:J18,"TEC")&gt;0,COUNTIF(J11:J18,"TEC")/(COUNTIF(F11:F18,"TEC")+COUNTIF(J11:J18,"TEC")),0),0),0)</f>
        <v>0.2</v>
      </c>
      <c r="AM19" s="13">
        <v>0.06</v>
      </c>
      <c r="AN19">
        <f t="shared" si="7"/>
        <v>0</v>
      </c>
      <c r="BH19">
        <v>1</v>
      </c>
      <c r="BI19">
        <v>7</v>
      </c>
      <c r="BJ19" s="107">
        <f t="shared" si="9"/>
        <v>1.327109014555801E-4</v>
      </c>
      <c r="BP19">
        <f>BP15+1</f>
        <v>6</v>
      </c>
      <c r="BQ19">
        <v>1</v>
      </c>
      <c r="BR19" s="107">
        <f>$H$31*H40</f>
        <v>1.3024854120098572E-2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>
        <f>PRODUCT(S5:S19)</f>
        <v>0.43358343434423918</v>
      </c>
      <c r="T20" s="181">
        <f>SUM(T5:T19)</f>
        <v>0.40208073576866199</v>
      </c>
      <c r="U20" s="181">
        <f>SUM(U5:U19)</f>
        <v>0.13779519911749477</v>
      </c>
      <c r="V20" s="181">
        <f>1-S20-T20-U20</f>
        <v>2.6540630769604057E-2</v>
      </c>
      <c r="W20" s="21"/>
      <c r="X20" s="22"/>
      <c r="Y20" s="22"/>
      <c r="Z20" s="22"/>
      <c r="AA20" s="22"/>
      <c r="AB20" s="23"/>
      <c r="AC20" s="184">
        <f>PRODUCT(AC5:AC19)</f>
        <v>0.60475367058125318</v>
      </c>
      <c r="AD20" s="181">
        <f>SUM(AD5:AD19)</f>
        <v>0.31992054460988212</v>
      </c>
      <c r="AE20" s="181">
        <f>SUM(AE5:AE19)</f>
        <v>6.7349481678981971E-2</v>
      </c>
      <c r="AF20" s="181">
        <f>1-AC20-AD20-AE20</f>
        <v>7.9763031298827336E-3</v>
      </c>
      <c r="BH20">
        <v>1</v>
      </c>
      <c r="BI20">
        <v>8</v>
      </c>
      <c r="BJ20" s="107">
        <f t="shared" si="9"/>
        <v>1.8235891570016282E-5</v>
      </c>
      <c r="BP20">
        <f>BP16+1</f>
        <v>6</v>
      </c>
      <c r="BQ20">
        <v>2</v>
      </c>
      <c r="BR20" s="107">
        <f>$H$31*H41</f>
        <v>1.3187056968581048E-2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BH21" s="18">
        <v>1</v>
      </c>
      <c r="BI21">
        <v>9</v>
      </c>
      <c r="BJ21" s="107">
        <f t="shared" si="9"/>
        <v>1.8780739958297813E-6</v>
      </c>
      <c r="BP21">
        <f>BP17+1</f>
        <v>6</v>
      </c>
      <c r="BQ21">
        <v>3</v>
      </c>
      <c r="BR21" s="107">
        <f>$H$31*H42</f>
        <v>8.2517469224839303E-3</v>
      </c>
    </row>
    <row r="22" spans="1:70" x14ac:dyDescent="0.25">
      <c r="A22" s="26" t="s">
        <v>77</v>
      </c>
      <c r="B22" s="62">
        <f>(B6)/((B6)+(C6))</f>
        <v>0.50632911392405067</v>
      </c>
      <c r="C22" s="63">
        <f>1-B22</f>
        <v>0.49367088607594933</v>
      </c>
      <c r="D22" s="24"/>
      <c r="E22" s="24"/>
      <c r="V22" s="59">
        <f>SUM(V25:V35)</f>
        <v>1</v>
      </c>
      <c r="AS22" s="82">
        <f>Y23+AA23+AC23+AE23+AG23+AI23+AK23+AM23+AO23+AQ23+AS23</f>
        <v>1.0000000000000004</v>
      </c>
      <c r="BH22">
        <v>1</v>
      </c>
      <c r="BI22">
        <v>10</v>
      </c>
      <c r="BJ22" s="107">
        <f t="shared" si="9"/>
        <v>1.4072288188717728E-7</v>
      </c>
      <c r="BP22">
        <f>BP18+1</f>
        <v>6</v>
      </c>
      <c r="BQ22">
        <v>4</v>
      </c>
      <c r="BR22" s="107">
        <f>$H$31*H43</f>
        <v>3.568331008756853E-3</v>
      </c>
    </row>
    <row r="23" spans="1:70" ht="15.75" thickBot="1" x14ac:dyDescent="0.3">
      <c r="A23" s="40" t="s">
        <v>67</v>
      </c>
      <c r="B23" s="56">
        <f>((B22^2.8)/((B22^2.8)+(C22^2.8)))*B21</f>
        <v>2.5885752374206463</v>
      </c>
      <c r="C23" s="57">
        <f>B21-B23</f>
        <v>2.4114247625793537</v>
      </c>
      <c r="D23" s="151">
        <f>SUM(D25:D30)</f>
        <v>1</v>
      </c>
      <c r="E23" s="151">
        <f>SUM(E25:E30)</f>
        <v>1</v>
      </c>
      <c r="H23" s="59">
        <f>SUM(H25:H35)</f>
        <v>0.99999166034070996</v>
      </c>
      <c r="J23" s="59">
        <f>SUM(J25:J35)</f>
        <v>1.0000000000000004</v>
      </c>
      <c r="K23" s="59"/>
      <c r="L23" s="59">
        <f>SUM(L25:L35)</f>
        <v>1</v>
      </c>
      <c r="N23" s="59">
        <f>SUM(N25:N35)</f>
        <v>1</v>
      </c>
      <c r="O23" s="34"/>
      <c r="P23" s="59">
        <f>SUM(P25:P35)</f>
        <v>1</v>
      </c>
      <c r="R23" s="59">
        <f>SUM(R25:R35)</f>
        <v>1.0000000000000002</v>
      </c>
      <c r="T23" s="59">
        <f>SUM(T25:T35)</f>
        <v>1</v>
      </c>
      <c r="V23" s="59">
        <f>SUM(V25:V34)</f>
        <v>0.9984203460255956</v>
      </c>
      <c r="Y23" s="80">
        <f>SUM(Y25:Y35)</f>
        <v>6.7066611116898102E-4</v>
      </c>
      <c r="Z23" s="81"/>
      <c r="AA23" s="80">
        <f>SUM(AA25:AA35)</f>
        <v>7.2094630387723423E-3</v>
      </c>
      <c r="AB23" s="81"/>
      <c r="AC23" s="80">
        <f>SUM(AC25:AC35)</f>
        <v>3.4885656826804792E-2</v>
      </c>
      <c r="AD23" s="81"/>
      <c r="AE23" s="80">
        <f>SUM(AE25:AE35)</f>
        <v>0.10007655859300878</v>
      </c>
      <c r="AF23" s="81"/>
      <c r="AG23" s="80">
        <f>SUM(AG25:AG35)</f>
        <v>0.18851734716116808</v>
      </c>
      <c r="AH23" s="81"/>
      <c r="AI23" s="80">
        <f>SUM(AI25:AI35)</f>
        <v>0.24372989289727029</v>
      </c>
      <c r="AJ23" s="81"/>
      <c r="AK23" s="80">
        <f>SUM(AK25:AK35)</f>
        <v>0.21914630018326087</v>
      </c>
      <c r="AL23" s="81"/>
      <c r="AM23" s="80">
        <f>SUM(AM25:AM35)</f>
        <v>0.13545657840482672</v>
      </c>
      <c r="AN23" s="81"/>
      <c r="AO23" s="80">
        <f>SUM(AO25:AO35)</f>
        <v>5.5221886413987183E-2</v>
      </c>
      <c r="AP23" s="81"/>
      <c r="AQ23" s="80">
        <f>SUM(AQ25:AQ35)</f>
        <v>1.3505996395327855E-2</v>
      </c>
      <c r="AR23" s="81"/>
      <c r="AS23" s="80">
        <f>SUM(AS25:AS35)</f>
        <v>1.5796539744044056E-3</v>
      </c>
      <c r="BH23">
        <f t="shared" ref="BH23:BH30" si="10">BH15+1</f>
        <v>2</v>
      </c>
      <c r="BI23">
        <v>3</v>
      </c>
      <c r="BJ23" s="107">
        <f t="shared" ref="BJ23:BJ30" si="11">$H$27*H42</f>
        <v>4.096585013925879E-2</v>
      </c>
      <c r="BP23">
        <f>BL9+1</f>
        <v>6</v>
      </c>
      <c r="BQ23">
        <v>5</v>
      </c>
      <c r="BR23" s="107">
        <f>$H$31*H44</f>
        <v>1.1275247086524852E-3</v>
      </c>
    </row>
    <row r="24" spans="1:70" ht="15.75" thickBot="1" x14ac:dyDescent="0.3">
      <c r="A24" s="26" t="s">
        <v>76</v>
      </c>
      <c r="B24" s="64">
        <f>B23/B21</f>
        <v>0.51771504748412922</v>
      </c>
      <c r="C24" s="65">
        <f>C23/B21</f>
        <v>0.48228495251587072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10"/>
        <v>2</v>
      </c>
      <c r="BI24">
        <v>4</v>
      </c>
      <c r="BJ24" s="107">
        <f t="shared" si="11"/>
        <v>1.7715002014143274E-2</v>
      </c>
      <c r="BP24">
        <f>BH49+1</f>
        <v>7</v>
      </c>
      <c r="BQ24">
        <v>0</v>
      </c>
      <c r="BR24" s="107">
        <f t="shared" ref="BR24:BR30" si="12">$H$32*H39</f>
        <v>1.9123682880582405E-3</v>
      </c>
    </row>
    <row r="25" spans="1:70" x14ac:dyDescent="0.25">
      <c r="A25" s="26" t="s">
        <v>69</v>
      </c>
      <c r="B25" s="117">
        <f>1/(1+EXP(-3.1416*4*((B11/(B11+C8))-(3.1416/6))))</f>
        <v>0.19277400747398934</v>
      </c>
      <c r="C25" s="118">
        <f>1/(1+EXP(-3.1416*4*((C11/(C11+B8))-(3.1416/6))))</f>
        <v>0.1981739638679974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>
        <f>L25*J25</f>
        <v>3.1878558075582535E-2</v>
      </c>
      <c r="I25" s="97">
        <v>0</v>
      </c>
      <c r="J25" s="98">
        <f t="shared" ref="J25:J35" si="13">Y25+AA25+AC25+AE25+AG25+AI25+AK25+AM25+AO25+AQ25+AS25</f>
        <v>7.3523468727065985E-2</v>
      </c>
      <c r="K25" s="97">
        <v>0</v>
      </c>
      <c r="L25" s="98">
        <f>S20</f>
        <v>0.43358343434423918</v>
      </c>
      <c r="M25" s="84">
        <v>0</v>
      </c>
      <c r="N25" s="71">
        <f>(1-$B$24)^$B$21</f>
        <v>2.609267229353162E-2</v>
      </c>
      <c r="O25" s="70">
        <v>0</v>
      </c>
      <c r="P25" s="71">
        <f>N25</f>
        <v>2.609267229353162E-2</v>
      </c>
      <c r="Q25" s="12">
        <v>0</v>
      </c>
      <c r="R25" s="73">
        <f>P25*N25</f>
        <v>6.8082754741763266E-4</v>
      </c>
      <c r="S25" s="70">
        <v>0</v>
      </c>
      <c r="T25" s="135">
        <f>(1-$B$33)^(INT(C23*2*(1-C31)))</f>
        <v>0.98507487500000002</v>
      </c>
      <c r="U25" s="140">
        <v>0</v>
      </c>
      <c r="V25" s="86">
        <f>R25*T25</f>
        <v>6.7066611116898102E-4</v>
      </c>
      <c r="W25" s="136">
        <f>B31</f>
        <v>0.44275015742957341</v>
      </c>
      <c r="X25" s="12">
        <v>0</v>
      </c>
      <c r="Y25" s="79">
        <f>V25</f>
        <v>6.7066611116898102E-4</v>
      </c>
      <c r="Z25" s="12">
        <v>0</v>
      </c>
      <c r="AA25" s="78">
        <f>((1-W25)^Z26)*V26</f>
        <v>4.0174721433731972E-3</v>
      </c>
      <c r="AB25" s="12">
        <v>0</v>
      </c>
      <c r="AC25" s="79">
        <f>(((1-$W$25)^AB27))*V27</f>
        <v>1.083295185976807E-2</v>
      </c>
      <c r="AD25" s="12">
        <v>0</v>
      </c>
      <c r="AE25" s="79">
        <f>(((1-$W$25)^AB28))*V28</f>
        <v>1.73173815557849E-2</v>
      </c>
      <c r="AF25" s="12">
        <v>0</v>
      </c>
      <c r="AG25" s="79">
        <f>(((1-$W$25)^AB29))*V29</f>
        <v>1.8178210891951461E-2</v>
      </c>
      <c r="AH25" s="12">
        <v>0</v>
      </c>
      <c r="AI25" s="79">
        <f>(((1-$W$25)^AB30))*V30</f>
        <v>1.3096600198062138E-2</v>
      </c>
      <c r="AJ25" s="12">
        <v>0</v>
      </c>
      <c r="AK25" s="79">
        <f>(((1-$W$25)^AB31))*V31</f>
        <v>6.5619643962582909E-3</v>
      </c>
      <c r="AL25" s="12">
        <v>0</v>
      </c>
      <c r="AM25" s="79">
        <f>(((1-$W$25)^AB32))*V32</f>
        <v>2.2602151543482172E-3</v>
      </c>
      <c r="AN25" s="12">
        <v>0</v>
      </c>
      <c r="AO25" s="79">
        <f>(((1-$W$25)^AB33))*V33</f>
        <v>5.1346503363721265E-4</v>
      </c>
      <c r="AP25" s="12">
        <v>0</v>
      </c>
      <c r="AQ25" s="79">
        <f>(((1-$W$25)^AB34))*V34</f>
        <v>6.9980367623480612E-5</v>
      </c>
      <c r="AR25" s="12">
        <v>0</v>
      </c>
      <c r="AS25" s="79">
        <f>(((1-$W$25)^AB35))*V35</f>
        <v>4.5610150900362263E-6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10"/>
        <v>2</v>
      </c>
      <c r="BI25">
        <v>5</v>
      </c>
      <c r="BJ25" s="107">
        <f t="shared" si="11"/>
        <v>5.5976035955626578E-3</v>
      </c>
      <c r="BP25">
        <f>BP19+1</f>
        <v>7</v>
      </c>
      <c r="BQ25">
        <v>1</v>
      </c>
      <c r="BR25" s="107">
        <f t="shared" si="12"/>
        <v>4.1600075597532154E-3</v>
      </c>
    </row>
    <row r="26" spans="1:70" x14ac:dyDescent="0.25">
      <c r="A26" s="40" t="s">
        <v>24</v>
      </c>
      <c r="B26" s="119">
        <f>1/(1+EXP(-3.1416*4*((B10/(B10+C9))-(3.1416/6))))</f>
        <v>0.5285896379074263</v>
      </c>
      <c r="C26" s="120">
        <f>1/(1+EXP(-3.1416*4*((C10/(C10+B9))-(3.1416/6))))</f>
        <v>0.31821453174721837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>
        <f>L25*J26+L26*J25</f>
        <v>0.12457646028599401</v>
      </c>
      <c r="I26" s="93">
        <v>1</v>
      </c>
      <c r="J26" s="86">
        <f t="shared" si="13"/>
        <v>0.21913680818468639</v>
      </c>
      <c r="K26" s="93">
        <v>1</v>
      </c>
      <c r="L26" s="86">
        <f>T20</f>
        <v>0.40208073576866199</v>
      </c>
      <c r="M26" s="85">
        <v>1</v>
      </c>
      <c r="N26" s="71">
        <f>(($B$24)^M26)*((1-($B$24))^($B$21-M26))*HLOOKUP($B$21,$AV$24:$BF$34,M26+1)</f>
        <v>0.14004759017428617</v>
      </c>
      <c r="O26" s="72">
        <v>1</v>
      </c>
      <c r="P26" s="71">
        <f t="shared" ref="P26:P30" si="14">N26</f>
        <v>0.14004759017428617</v>
      </c>
      <c r="Q26" s="28">
        <v>1</v>
      </c>
      <c r="R26" s="37">
        <f>N26*P25+P26*N25</f>
        <v>7.308431751832936E-3</v>
      </c>
      <c r="S26" s="72">
        <v>1</v>
      </c>
      <c r="T26" s="135">
        <f t="shared" ref="T26:T35" si="15">(($B$33)^S26)*((1-($B$33))^(INT($C$23*2*(1-$C$31))-S26))*HLOOKUP(INT($C$23*2*(1-$C$31)),$AV$24:$BF$34,S26+1)</f>
        <v>1.4850375000000002E-2</v>
      </c>
      <c r="U26" s="93">
        <v>1</v>
      </c>
      <c r="V26" s="86">
        <f>R26*T25+T26*R25</f>
        <v>7.2094630387723423E-3</v>
      </c>
      <c r="W26" s="137"/>
      <c r="X26" s="28">
        <v>1</v>
      </c>
      <c r="Y26" s="73"/>
      <c r="Z26" s="28">
        <v>1</v>
      </c>
      <c r="AA26" s="79">
        <f>(1-((1-W25)^Z26))*V26</f>
        <v>3.191990895399145E-3</v>
      </c>
      <c r="AB26" s="28">
        <v>1</v>
      </c>
      <c r="AC26" s="79">
        <f>((($W$25)^M26)*((1-($W$25))^($U$27-M26))*HLOOKUP($U$27,$AV$24:$BF$34,M26+1))*V27</f>
        <v>1.7214149829869661E-2</v>
      </c>
      <c r="AD26" s="28">
        <v>1</v>
      </c>
      <c r="AE26" s="79">
        <f>((($W$25)^M26)*((1-($W$25))^($U$28-M26))*HLOOKUP($U$28,$AV$24:$BF$34,M26+1))*V28</f>
        <v>4.1277392065603394E-2</v>
      </c>
      <c r="AF26" s="28">
        <v>1</v>
      </c>
      <c r="AG26" s="79">
        <f>((($W$25)^M26)*((1-($W$25))^($U$29-M26))*HLOOKUP($U$29,$AV$24:$BF$34,M26+1))*V29</f>
        <v>5.7772332044632703E-2</v>
      </c>
      <c r="AH26" s="28">
        <v>1</v>
      </c>
      <c r="AI26" s="79">
        <f>((($W$25)^M26)*((1-($W$25))^($U$30-M26))*HLOOKUP($U$30,$AV$24:$BF$34,M26+1))*V30</f>
        <v>5.2028025461051272E-2</v>
      </c>
      <c r="AJ26" s="28">
        <v>1</v>
      </c>
      <c r="AK26" s="79">
        <f>((($W$25)^M26)*((1-($W$25))^($U$31-M26))*HLOOKUP($U$31,$AV$24:$BF$34,M26+1))*V31</f>
        <v>3.1281955211572086E-2</v>
      </c>
      <c r="AL26" s="28">
        <v>1</v>
      </c>
      <c r="AM26" s="79">
        <f>((($W$25)^Q26)*((1-($W$25))^($U$32-Q26))*HLOOKUP($U$32,$AV$24:$BF$34,Q26+1))*V32</f>
        <v>1.2570616934721448E-2</v>
      </c>
      <c r="AN26" s="28">
        <v>1</v>
      </c>
      <c r="AO26" s="79">
        <f>((($W$25)^Q26)*((1-($W$25))^($U$33-Q26))*HLOOKUP($U$33,$AV$24:$BF$34,Q26+1))*V33</f>
        <v>3.2636954860867555E-3</v>
      </c>
      <c r="AP26" s="28">
        <v>1</v>
      </c>
      <c r="AQ26" s="79">
        <f>((($W$25)^Q26)*((1-($W$25))^($U$34-Q26))*HLOOKUP($U$34,$AV$24:$BF$34,Q26+1))*V34</f>
        <v>5.0041175023793176E-4</v>
      </c>
      <c r="AR26" s="28">
        <v>1</v>
      </c>
      <c r="AS26" s="79">
        <f>((($W$25)^Q26)*((1-($W$25))^($U$35-Q26))*HLOOKUP($U$35,$AV$24:$BF$34,Q26+1))*V35</f>
        <v>3.6238505511950571E-5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10"/>
        <v>2</v>
      </c>
      <c r="BI26">
        <v>6</v>
      </c>
      <c r="BJ26" s="107">
        <f t="shared" si="11"/>
        <v>1.3300526690455325E-3</v>
      </c>
      <c r="BP26">
        <f>BP20+1</f>
        <v>7</v>
      </c>
      <c r="BQ26">
        <v>2</v>
      </c>
      <c r="BR26" s="107">
        <f t="shared" si="12"/>
        <v>4.2118135200871114E-3</v>
      </c>
    </row>
    <row r="27" spans="1:70" x14ac:dyDescent="0.25">
      <c r="A27" s="26" t="s">
        <v>25</v>
      </c>
      <c r="B27" s="119">
        <f>1/(1+EXP(-3.1416*4*((B12/(B12+C7))-(3.1416/6))))</f>
        <v>0.5421137804760956</v>
      </c>
      <c r="C27" s="120">
        <f>1/(1+EXP(-3.1416*4*((C12/(C12+B7))-(3.1416/6))))</f>
        <v>0.22411809231903218</v>
      </c>
      <c r="D27" s="153">
        <f>D26</f>
        <v>0.25700000000000001</v>
      </c>
      <c r="E27" s="153">
        <f>E26</f>
        <v>0.25700000000000001</v>
      </c>
      <c r="G27" s="87">
        <v>2</v>
      </c>
      <c r="H27" s="128">
        <f>L25*J27+J26*L26+J25*L27</f>
        <v>0.22574021189143229</v>
      </c>
      <c r="I27" s="93">
        <v>2</v>
      </c>
      <c r="J27" s="86">
        <f t="shared" si="13"/>
        <v>0.29405722569247528</v>
      </c>
      <c r="K27" s="93">
        <v>2</v>
      </c>
      <c r="L27" s="86">
        <f>U20</f>
        <v>0.13779519911749477</v>
      </c>
      <c r="M27" s="85">
        <v>2</v>
      </c>
      <c r="N27" s="71">
        <f>(($B$24)^M27)*((1-($B$24))^($B$21-M27))*HLOOKUP($B$21,$AV$24:$BF$34,M27+1)</f>
        <v>0.30067180996998855</v>
      </c>
      <c r="O27" s="72">
        <v>2</v>
      </c>
      <c r="P27" s="71">
        <f t="shared" si="14"/>
        <v>0.30067180996998855</v>
      </c>
      <c r="Q27" s="28">
        <v>2</v>
      </c>
      <c r="R27" s="37">
        <f>P25*N27+P26*N26+P27*N25</f>
        <v>3.5303989524524661E-2</v>
      </c>
      <c r="S27" s="72">
        <v>2</v>
      </c>
      <c r="T27" s="135">
        <f t="shared" si="15"/>
        <v>7.4625000000000011E-5</v>
      </c>
      <c r="U27" s="93">
        <v>2</v>
      </c>
      <c r="V27" s="86">
        <f>R27*T25+T26*R26+R25*T27</f>
        <v>3.4885656826804792E-2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6.8385551371670638E-3</v>
      </c>
      <c r="AD27" s="28">
        <v>2</v>
      </c>
      <c r="AE27" s="79">
        <f>((($W$25)^M27)*((1-($W$25))^($U$28-M27))*HLOOKUP($U$28,$AV$24:$BF$34,M27+1))*V28</f>
        <v>3.2796010764271161E-2</v>
      </c>
      <c r="AF27" s="28">
        <v>2</v>
      </c>
      <c r="AG27" s="79">
        <f>((($W$25)^M27)*((1-($W$25))^($U$29-M27))*HLOOKUP($U$29,$AV$24:$BF$34,M27+1))*V29</f>
        <v>6.885253387380369E-2</v>
      </c>
      <c r="AH27" s="28">
        <v>2</v>
      </c>
      <c r="AI27" s="79">
        <f>((($W$25)^M27)*((1-($W$25))^($U$30-M27))*HLOOKUP($U$30,$AV$24:$BF$34,M27+1))*V30</f>
        <v>8.2675362840390676E-2</v>
      </c>
      <c r="AJ27" s="28">
        <v>2</v>
      </c>
      <c r="AK27" s="79">
        <f>((($W$25)^M27)*((1-($W$25))^($U$31-M27))*HLOOKUP($U$31,$AV$24:$BF$34,M27+1))*V31</f>
        <v>6.2135910755676857E-2</v>
      </c>
      <c r="AL27" s="28">
        <v>2</v>
      </c>
      <c r="AM27" s="79">
        <f>((($W$25)^Q27)*((1-($W$25))^($U$32-Q27))*HLOOKUP($U$32,$AV$24:$BF$34,Q27+1))*V32</f>
        <v>2.9963091247341433E-2</v>
      </c>
      <c r="AN27" s="28">
        <v>2</v>
      </c>
      <c r="AO27" s="79">
        <f>((($W$25)^Q27)*((1-($W$25))^($U$33-Q27))*HLOOKUP($U$33,$AV$24:$BF$34,Q27+1))*V33</f>
        <v>9.0758319331344928E-3</v>
      </c>
      <c r="AP27" s="28">
        <v>2</v>
      </c>
      <c r="AQ27" s="79">
        <f>((($W$25)^Q27)*((1-($W$25))^($U$34-Q27))*HLOOKUP($U$34,$AV$24:$BF$34,Q27+1))*V34</f>
        <v>1.5903629881740284E-3</v>
      </c>
      <c r="AR27" s="28">
        <v>2</v>
      </c>
      <c r="AS27" s="79">
        <f>((($W$25)^Q27)*((1-($W$25))^($U$35-Q27))*HLOOKUP($U$35,$AV$24:$BF$34,Q27+1))*V35</f>
        <v>1.2956615251587744E-4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10"/>
        <v>2</v>
      </c>
      <c r="BI27">
        <v>7</v>
      </c>
      <c r="BJ27" s="107">
        <f t="shared" si="11"/>
        <v>2.4048031984621904E-4</v>
      </c>
      <c r="BP27">
        <f>BP21+1</f>
        <v>7</v>
      </c>
      <c r="BQ27">
        <v>3</v>
      </c>
      <c r="BR27" s="107">
        <f t="shared" si="12"/>
        <v>2.6355250709282946E-3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>
        <f>J28*L25+J27*L26+L28*J25+L27*J26</f>
        <v>0.25183672461128725</v>
      </c>
      <c r="I28" s="93">
        <v>3</v>
      </c>
      <c r="J28" s="86">
        <f t="shared" si="13"/>
        <v>0.23399099586459238</v>
      </c>
      <c r="K28" s="93">
        <v>3</v>
      </c>
      <c r="L28" s="86">
        <f>V20</f>
        <v>2.6540630769604057E-2</v>
      </c>
      <c r="M28" s="85">
        <v>3</v>
      </c>
      <c r="N28" s="71">
        <f>(($B$24)^M28)*((1-($B$24))^($B$21-M28))*HLOOKUP($B$21,$AV$24:$BF$34,M28+1)</f>
        <v>0.32276006034135857</v>
      </c>
      <c r="O28" s="72">
        <v>3</v>
      </c>
      <c r="P28" s="71">
        <f t="shared" si="14"/>
        <v>0.32276006034135857</v>
      </c>
      <c r="Q28" s="28">
        <v>3</v>
      </c>
      <c r="R28" s="37">
        <f>P25*N28+P26*N27+P27*N26+P28*N25</f>
        <v>0.10106006980713073</v>
      </c>
      <c r="S28" s="72">
        <v>3</v>
      </c>
      <c r="T28" s="135">
        <f t="shared" si="15"/>
        <v>1.2500000000000002E-7</v>
      </c>
      <c r="U28" s="93">
        <v>3</v>
      </c>
      <c r="V28" s="86">
        <f>R28*T25+R27*T26+R26*T27+R25*T28</f>
        <v>0.10007655859300876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8.6857742073493203E-3</v>
      </c>
      <c r="AF28" s="28">
        <v>3</v>
      </c>
      <c r="AG28" s="79">
        <f>((($W$25)^M28)*((1-($W$25))^($U$29-M28))*HLOOKUP($U$29,$AV$24:$BF$34,M28+1))*V29</f>
        <v>3.6470140660110235E-2</v>
      </c>
      <c r="AH28" s="28">
        <v>3</v>
      </c>
      <c r="AI28" s="79">
        <f>((($W$25)^M28)*((1-($W$25))^($U$30-M28))*HLOOKUP($U$30,$AV$24:$BF$34,M28+1))*V30</f>
        <v>6.5687824592797261E-2</v>
      </c>
      <c r="AJ28" s="28">
        <v>3</v>
      </c>
      <c r="AK28" s="79">
        <f>((($W$25)^M28)*((1-($W$25))^($U$31-M28))*HLOOKUP($U$31,$AV$24:$BF$34,M28+1))*V31</f>
        <v>6.5824894969211192E-2</v>
      </c>
      <c r="AL28" s="28">
        <v>3</v>
      </c>
      <c r="AM28" s="79">
        <f>((($W$25)^Q28)*((1-($W$25))^($U$32-Q28))*HLOOKUP($U$32,$AV$24:$BF$34,Q28+1))*V32</f>
        <v>3.9677485014753461E-2</v>
      </c>
      <c r="AN28" s="28">
        <v>3</v>
      </c>
      <c r="AO28" s="79">
        <f>((($W$25)^Q28)*((1-($W$25))^($U$33-Q28))*HLOOKUP($U$33,$AV$24:$BF$34,Q28+1))*V33</f>
        <v>1.4421990677159501E-2</v>
      </c>
      <c r="AP28" s="28">
        <v>3</v>
      </c>
      <c r="AQ28" s="79">
        <f>((($W$25)^Q28)*((1-($W$25))^($U$34-Q28))*HLOOKUP($U$34,$AV$24:$BF$34,Q28+1))*V34</f>
        <v>2.9483688566896244E-3</v>
      </c>
      <c r="AR28" s="28">
        <v>3</v>
      </c>
      <c r="AS28" s="79">
        <f>((($W$25)^Q28)*((1-($W$25))^($U$35-Q28))*HLOOKUP($U$35,$AV$24:$BF$34,Q28+1))*V35</f>
        <v>2.745168865218004E-4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10"/>
        <v>2</v>
      </c>
      <c r="BI28">
        <v>8</v>
      </c>
      <c r="BJ28" s="107">
        <f t="shared" si="11"/>
        <v>3.3044557676419079E-5</v>
      </c>
      <c r="BP28">
        <f>BP22+1</f>
        <v>7</v>
      </c>
      <c r="BQ28">
        <v>4</v>
      </c>
      <c r="BR28" s="107">
        <f t="shared" si="12"/>
        <v>1.1396890771486034E-3</v>
      </c>
    </row>
    <row r="29" spans="1:70" x14ac:dyDescent="0.25">
      <c r="A29" s="26" t="s">
        <v>27</v>
      </c>
      <c r="B29" s="123">
        <f>1/(1+EXP(-3.1416*4*((B14/(B14+C13))-(3.1416/6))))</f>
        <v>0.54070454379060173</v>
      </c>
      <c r="C29" s="118">
        <f>1/(1+EXP(-3.1416*4*((C14/(C14+B13))-(3.1416/6))))</f>
        <v>0.13384667200049305</v>
      </c>
      <c r="D29" s="153">
        <v>0.04</v>
      </c>
      <c r="E29" s="153">
        <v>0.04</v>
      </c>
      <c r="G29" s="87">
        <v>4</v>
      </c>
      <c r="H29" s="128">
        <f>J29*L25+J28*L26+J27*L27+J26*L28</f>
        <v>0.19344968360253473</v>
      </c>
      <c r="I29" s="93">
        <v>4</v>
      </c>
      <c r="J29" s="86">
        <f t="shared" si="13"/>
        <v>0.12230796783546449</v>
      </c>
      <c r="K29" s="93">
        <v>4</v>
      </c>
      <c r="L29" s="86"/>
      <c r="M29" s="85">
        <v>4</v>
      </c>
      <c r="N29" s="71">
        <f>(($B$24)^M29)*((1-($B$24))^($B$21-M29))*HLOOKUP($B$21,$AV$24:$BF$34,M29+1)</f>
        <v>0.17323548982186848</v>
      </c>
      <c r="O29" s="72">
        <v>4</v>
      </c>
      <c r="P29" s="71">
        <f t="shared" si="14"/>
        <v>0.17323548982186848</v>
      </c>
      <c r="Q29" s="28">
        <v>4</v>
      </c>
      <c r="R29" s="37">
        <f>P25*N29+P26*N28+P27*N27+P28*N26+P29*N25</f>
        <v>0.18984742835232069</v>
      </c>
      <c r="S29" s="72">
        <v>4</v>
      </c>
      <c r="T29" s="135">
        <f t="shared" si="15"/>
        <v>0</v>
      </c>
      <c r="U29" s="93">
        <v>4</v>
      </c>
      <c r="V29" s="86">
        <f>T29*R25+T28*R26+T27*R27+T26*R28+T25*R29</f>
        <v>0.18851734716116805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7.2441296906700214E-3</v>
      </c>
      <c r="AH29" s="28">
        <v>4</v>
      </c>
      <c r="AI29" s="79">
        <f>((($W$25)^M29)*((1-($W$25))^($U$30-M29))*HLOOKUP($U$30,$AV$24:$BF$34,M29+1))*V30</f>
        <v>2.6095381692271692E-2</v>
      </c>
      <c r="AJ29" s="28">
        <v>4</v>
      </c>
      <c r="AK29" s="79">
        <f>((($W$25)^M29)*((1-($W$25))^($U$31-M29))*HLOOKUP($U$31,$AV$24:$BF$34,M29+1))*V31</f>
        <v>3.9224752145246365E-2</v>
      </c>
      <c r="AL29" s="28">
        <v>4</v>
      </c>
      <c r="AM29" s="79">
        <f>((($W$25)^Q29)*((1-($W$25))^($U$32-Q29))*HLOOKUP($U$32,$AV$24:$BF$34,Q29+1))*V32</f>
        <v>3.1524841094004337E-2</v>
      </c>
      <c r="AN29" s="28">
        <v>4</v>
      </c>
      <c r="AO29" s="79">
        <f>((($W$25)^Q29)*((1-($W$25))^($U$33-Q29))*HLOOKUP($U$33,$AV$24:$BF$34,Q29+1))*V33</f>
        <v>1.4323329849019233E-2</v>
      </c>
      <c r="AP29" s="28">
        <v>4</v>
      </c>
      <c r="AQ29" s="79">
        <f>((($W$25)^Q29)*((1-($W$25))^($U$34-Q29))*HLOOKUP($U$34,$AV$24:$BF$34,Q29+1))*V34</f>
        <v>3.5138388808826013E-3</v>
      </c>
      <c r="AR29" s="28">
        <v>4</v>
      </c>
      <c r="AS29" s="79">
        <f>((($W$25)^Q29)*((1-($W$25))^($U$35-Q29))*HLOOKUP($U$35,$AV$24:$BF$34,Q29+1))*V35</f>
        <v>3.816944833702212E-4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6">BE28+BE29</f>
        <v>252</v>
      </c>
      <c r="BH29">
        <f t="shared" si="10"/>
        <v>2</v>
      </c>
      <c r="BI29">
        <v>9</v>
      </c>
      <c r="BJ29" s="107">
        <f t="shared" si="11"/>
        <v>3.4031856483408904E-6</v>
      </c>
      <c r="BP29">
        <f>BP23+1</f>
        <v>7</v>
      </c>
      <c r="BQ29">
        <v>5</v>
      </c>
      <c r="BR29" s="107">
        <f t="shared" si="12"/>
        <v>3.6012006495834617E-4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>
        <f>J30*L25+J29*L26+J28*L27+J27*L28</f>
        <v>0.10825978402261389</v>
      </c>
      <c r="I30" s="93">
        <v>5</v>
      </c>
      <c r="J30" s="86">
        <f t="shared" si="13"/>
        <v>4.3901138046587546E-2</v>
      </c>
      <c r="K30" s="93">
        <v>5</v>
      </c>
      <c r="L30" s="86"/>
      <c r="M30" s="85">
        <v>5</v>
      </c>
      <c r="N30" s="71">
        <f>(($B$24)^M30)*((1-($B$24))^($B$21-M30))*HLOOKUP($B$21,$AV$24:$BF$34,M30+1)</f>
        <v>3.7192377398966706E-2</v>
      </c>
      <c r="O30" s="72">
        <v>5</v>
      </c>
      <c r="P30" s="71">
        <f t="shared" si="14"/>
        <v>3.7192377398966706E-2</v>
      </c>
      <c r="Q30" s="28">
        <v>5</v>
      </c>
      <c r="R30" s="37">
        <f>P25*N30+P26*N29+P27*N28+P28*N27+P29*N26+P30*N25</f>
        <v>0.2445530258527247</v>
      </c>
      <c r="S30" s="72">
        <v>5</v>
      </c>
      <c r="T30" s="135">
        <f t="shared" si="15"/>
        <v>0</v>
      </c>
      <c r="U30" s="93">
        <v>5</v>
      </c>
      <c r="V30" s="86">
        <f>T30*R25+T29*R26+T28*R27+T27*R28+T26*R29+T25*R30</f>
        <v>0.24372989289727021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4.146698112697236E-3</v>
      </c>
      <c r="AJ30" s="28">
        <v>5</v>
      </c>
      <c r="AK30" s="79">
        <f>((($W$25)^M30)*((1-($W$25))^($U$31-M30))*HLOOKUP($U$31,$AV$24:$BF$34,M30+1))*V31</f>
        <v>1.2466053005837483E-2</v>
      </c>
      <c r="AL30" s="28">
        <v>5</v>
      </c>
      <c r="AM30" s="79">
        <f>((($W$25)^Q30)*((1-($W$25))^($U$32-Q30))*HLOOKUP($U$32,$AV$24:$BF$34,Q30+1))*V32</f>
        <v>1.5028406245497006E-2</v>
      </c>
      <c r="AN30" s="28">
        <v>5</v>
      </c>
      <c r="AO30" s="79">
        <f>((($W$25)^Q30)*((1-($W$25))^($U$33-Q30))*HLOOKUP($U$33,$AV$24:$BF$34,Q30+1))*V33</f>
        <v>9.104220134102595E-3</v>
      </c>
      <c r="AP30" s="28">
        <v>5</v>
      </c>
      <c r="AQ30" s="79">
        <f>((($W$25)^Q30)*((1-($W$25))^($U$34-Q30))*HLOOKUP($U$34,$AV$24:$BF$34,Q30+1))*V34</f>
        <v>2.7918405692439613E-3</v>
      </c>
      <c r="AR30" s="28">
        <v>5</v>
      </c>
      <c r="AS30" s="79">
        <f>((($W$25)^Q30)*((1-($W$25))^($U$35-Q30))*HLOOKUP($U$35,$AV$24:$BF$34,Q30+1))*V35</f>
        <v>3.6391997920926905E-4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6"/>
        <v>210</v>
      </c>
      <c r="BH30">
        <f t="shared" si="10"/>
        <v>2</v>
      </c>
      <c r="BI30">
        <v>10</v>
      </c>
      <c r="BJ30" s="107">
        <f t="shared" si="11"/>
        <v>2.5499852140810834E-7</v>
      </c>
      <c r="BP30">
        <f>BL10+1</f>
        <v>7</v>
      </c>
      <c r="BQ30">
        <v>6</v>
      </c>
      <c r="BR30" s="107">
        <f t="shared" si="12"/>
        <v>8.5568519706253528E-5</v>
      </c>
    </row>
    <row r="31" spans="1:70" x14ac:dyDescent="0.25">
      <c r="A31" s="189" t="s">
        <v>68</v>
      </c>
      <c r="B31" s="60">
        <f>(B25*D25)+(B26*D26)+(B27*D27)+(B28*D28)+(B29*D29)+(B30*D30)/(B25+B26+B27+B28+B29+B30)</f>
        <v>0.44275015742957341</v>
      </c>
      <c r="C31" s="61">
        <f>(C25*E25)+(C26*E26)+(C27*E27)+(C28*E28)+(C29*E29)+(C30*E30)/(C25+C26+C27+C28+C29+C30)</f>
        <v>0.29265392652363775</v>
      </c>
      <c r="G31" s="87">
        <v>6</v>
      </c>
      <c r="H31" s="128">
        <f>J31*L25+J30*L26+J29*L27+J28*L28</f>
        <v>4.5470827345796175E-2</v>
      </c>
      <c r="I31" s="93">
        <v>6</v>
      </c>
      <c r="J31" s="86">
        <f t="shared" si="13"/>
        <v>1.096745326522129E-2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0.21876551875827063</v>
      </c>
      <c r="S31" s="70">
        <v>6</v>
      </c>
      <c r="T31" s="135">
        <f t="shared" si="15"/>
        <v>0</v>
      </c>
      <c r="U31" s="93">
        <v>6</v>
      </c>
      <c r="V31" s="86">
        <f>T31*R25+T30*R26+T29*R27+T28*R28+T27*R29+T26*R30+T25*R31</f>
        <v>0.21914630018326078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1.6507696994585818E-3</v>
      </c>
      <c r="AL31" s="28">
        <v>6</v>
      </c>
      <c r="AM31" s="79">
        <f>((($W$25)^Q31)*((1-($W$25))^($U$32-Q31))*HLOOKUP($U$32,$AV$24:$BF$34,Q31+1))*V32</f>
        <v>3.9801591810340467E-3</v>
      </c>
      <c r="AN31" s="28">
        <v>6</v>
      </c>
      <c r="AO31" s="79">
        <f>((($W$25)^Q31)*((1-($W$25))^($U$33-Q31))*HLOOKUP($U$33,$AV$24:$BF$34,Q31+1))*V33</f>
        <v>3.6167752682119245E-3</v>
      </c>
      <c r="AP31" s="28">
        <v>6</v>
      </c>
      <c r="AQ31" s="79">
        <f>((($W$25)^Q31)*((1-($W$25))^($U$34-Q31))*HLOOKUP($U$34,$AV$24:$BF$34,Q31+1))*V34</f>
        <v>1.478795514592797E-3</v>
      </c>
      <c r="AR31" s="28">
        <v>6</v>
      </c>
      <c r="AS31" s="79">
        <f>((($W$25)^Q31)*((1-($W$25))^($U$35-Q31))*HLOOKUP($U$35,$AV$24:$BF$34,Q31+1))*V35</f>
        <v>2.4095360192393937E-4</v>
      </c>
      <c r="AV31" s="14">
        <v>7</v>
      </c>
      <c r="BC31">
        <v>1</v>
      </c>
      <c r="BD31">
        <v>8</v>
      </c>
      <c r="BE31">
        <f>28+8</f>
        <v>36</v>
      </c>
      <c r="BF31">
        <f t="shared" si="16"/>
        <v>120</v>
      </c>
      <c r="BH31">
        <f t="shared" ref="BH31:BH37" si="17">BH24+1</f>
        <v>3</v>
      </c>
      <c r="BI31">
        <v>4</v>
      </c>
      <c r="BJ31" s="107">
        <f t="shared" ref="BJ31:BJ37" si="18">$H$28*H43</f>
        <v>1.9762930345213883E-2</v>
      </c>
      <c r="BP31">
        <f t="shared" ref="BP31:BP37" si="19">BP24+1</f>
        <v>8</v>
      </c>
      <c r="BQ31">
        <v>0</v>
      </c>
      <c r="BR31" s="107">
        <f t="shared" ref="BR31:BR38" si="20">$H$33*H39</f>
        <v>4.6449894182826911E-4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>
        <f>J32*L25+J31*L26+J30*L27+J29*L28</f>
        <v>1.4522925459476376E-2</v>
      </c>
      <c r="I32" s="93">
        <v>7</v>
      </c>
      <c r="J32" s="86">
        <f t="shared" si="13"/>
        <v>1.8857434191611885E-3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0.1341923931556106</v>
      </c>
      <c r="S32" s="72">
        <v>7</v>
      </c>
      <c r="T32" s="135">
        <f t="shared" si="15"/>
        <v>0</v>
      </c>
      <c r="U32" s="93">
        <v>7</v>
      </c>
      <c r="V32" s="86">
        <f>T32*R25+T31*R26+T30*R27+T29*R28+T28*R29+T27*R30+T26*R31+T25*R32</f>
        <v>0.13545657840482664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4.517635331267495E-4</v>
      </c>
      <c r="AN32" s="28">
        <v>7</v>
      </c>
      <c r="AO32" s="79">
        <f>((($W$25)^Q32)*((1-($W$25))^($U$33-Q32))*HLOOKUP($U$33,$AV$24:$BF$34,Q32+1))*V33</f>
        <v>8.2103609397268947E-4</v>
      </c>
      <c r="AP32" s="28">
        <v>7</v>
      </c>
      <c r="AQ32" s="79">
        <f>((($W$25)^Q32)*((1-($W$25))^($U$34-Q32))*HLOOKUP($U$34,$AV$24:$BF$34,Q32+1))*V34</f>
        <v>5.0354711160386398E-4</v>
      </c>
      <c r="AR32" s="28">
        <v>7</v>
      </c>
      <c r="AS32" s="79">
        <f>((($W$25)^Q32)*((1-($W$25))^($U$35-Q32))*HLOOKUP($U$35,$AV$24:$BF$34,Q32+1))*V35</f>
        <v>1.0939668045788548E-4</v>
      </c>
      <c r="AV32" s="14">
        <v>8</v>
      </c>
      <c r="BD32">
        <v>1</v>
      </c>
      <c r="BE32">
        <v>9</v>
      </c>
      <c r="BF32">
        <f t="shared" si="16"/>
        <v>45</v>
      </c>
      <c r="BH32">
        <f t="shared" si="17"/>
        <v>3</v>
      </c>
      <c r="BI32">
        <v>5</v>
      </c>
      <c r="BJ32" s="107">
        <f t="shared" si="18"/>
        <v>6.244709984842391E-3</v>
      </c>
      <c r="BP32">
        <f t="shared" si="19"/>
        <v>8</v>
      </c>
      <c r="BQ32">
        <v>1</v>
      </c>
      <c r="BR32" s="107">
        <f t="shared" si="20"/>
        <v>1.0104325205397471E-3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>
        <f>J33*L25+J32*L26+J31*L27+J30*L28</f>
        <v>3.5275022861977947E-3</v>
      </c>
      <c r="I33" s="93">
        <v>8</v>
      </c>
      <c r="J33" s="86">
        <f t="shared" si="13"/>
        <v>2.1415689724886539E-4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5.4018962880880851E-2</v>
      </c>
      <c r="S33" s="72">
        <v>8</v>
      </c>
      <c r="T33" s="135">
        <f t="shared" si="15"/>
        <v>0</v>
      </c>
      <c r="U33" s="93">
        <v>8</v>
      </c>
      <c r="V33" s="86">
        <f>T33*R25+T32*R26+T31*R27+T30*R28+T29*R29+T28*R30+T27*R31+T26*R32+T25*R33</f>
        <v>5.5221886413987162E-2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8.1541938662779527E-5</v>
      </c>
      <c r="AP33" s="28">
        <v>8</v>
      </c>
      <c r="AQ33" s="79">
        <f>((($W$25)^Q33)*((1-($W$25))^($U$34-Q33))*HLOOKUP($U$34,$AV$24:$BF$34,Q33+1))*V34</f>
        <v>1.0002046923308069E-4</v>
      </c>
      <c r="AR33" s="28">
        <v>8</v>
      </c>
      <c r="AS33" s="79">
        <f>((($W$25)^Q33)*((1-($W$25))^($U$35-Q33))*HLOOKUP($U$35,$AV$24:$BF$34,Q33+1))*V35</f>
        <v>3.2594489353005159E-5</v>
      </c>
      <c r="AV33" s="29">
        <v>9</v>
      </c>
      <c r="BE33">
        <v>1</v>
      </c>
      <c r="BF33">
        <f t="shared" si="16"/>
        <v>10</v>
      </c>
      <c r="BH33">
        <f t="shared" si="17"/>
        <v>3</v>
      </c>
      <c r="BI33">
        <v>6</v>
      </c>
      <c r="BJ33" s="107">
        <f t="shared" si="18"/>
        <v>1.4838123209258856E-3</v>
      </c>
      <c r="BP33">
        <f t="shared" si="19"/>
        <v>8</v>
      </c>
      <c r="BQ33">
        <v>2</v>
      </c>
      <c r="BR33" s="107">
        <f t="shared" si="20"/>
        <v>1.0230157734130339E-3</v>
      </c>
    </row>
    <row r="34" spans="1:70" x14ac:dyDescent="0.25">
      <c r="A34" s="40" t="s">
        <v>86</v>
      </c>
      <c r="B34" s="56">
        <f>B23*2</f>
        <v>5.1771504748412926</v>
      </c>
      <c r="C34" s="57">
        <f>C23*2</f>
        <v>4.8228495251587074</v>
      </c>
      <c r="G34" s="87">
        <v>9</v>
      </c>
      <c r="H34" s="128">
        <f>J34*L25+J33*L26+J32*L27+J31*L28</f>
        <v>6.4336161765564338E-4</v>
      </c>
      <c r="I34" s="93">
        <v>9</v>
      </c>
      <c r="J34" s="86">
        <f t="shared" si="13"/>
        <v>1.4584822241887554E-5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1.2886079432699576E-2</v>
      </c>
      <c r="S34" s="72">
        <v>9</v>
      </c>
      <c r="T34" s="135">
        <f t="shared" si="15"/>
        <v>0</v>
      </c>
      <c r="U34" s="93">
        <v>9</v>
      </c>
      <c r="V34" s="86">
        <f>T34*R25+T33*R26+T32*R27+T31*R28+T30*R29+T29*R30+T28*R31+T27*R32+T26*R33+T25*R34</f>
        <v>1.350599639532785E-2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8.8298870464871021E-6</v>
      </c>
      <c r="AR34" s="28">
        <v>9</v>
      </c>
      <c r="AS34" s="79">
        <f>((($W$25)^Q34)*((1-($W$25))^($U$35-Q34))*HLOOKUP($U$35,$AV$24:$BF$34,Q34+1))*V35</f>
        <v>5.7549351954004514E-6</v>
      </c>
      <c r="AV34" s="14">
        <v>10</v>
      </c>
      <c r="BF34">
        <f t="shared" si="16"/>
        <v>1</v>
      </c>
      <c r="BH34">
        <f t="shared" si="17"/>
        <v>3</v>
      </c>
      <c r="BI34">
        <v>7</v>
      </c>
      <c r="BJ34" s="107">
        <f t="shared" si="18"/>
        <v>2.6828085070050865E-4</v>
      </c>
      <c r="BP34">
        <f t="shared" si="19"/>
        <v>8</v>
      </c>
      <c r="BQ34">
        <v>3</v>
      </c>
      <c r="BR34" s="107">
        <f t="shared" si="20"/>
        <v>6.401479329335043E-4</v>
      </c>
    </row>
    <row r="35" spans="1:70" ht="15.75" thickBot="1" x14ac:dyDescent="0.3">
      <c r="G35" s="88">
        <v>10</v>
      </c>
      <c r="H35" s="129">
        <f>J35*L25+J34*L26+J33*L27+J32*L28</f>
        <v>8.5621142139042614E-5</v>
      </c>
      <c r="I35" s="94">
        <v>10</v>
      </c>
      <c r="J35" s="89">
        <f t="shared" si="13"/>
        <v>4.5724525502015191E-7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1.3832729365871694E-3</v>
      </c>
      <c r="S35" s="72">
        <v>10</v>
      </c>
      <c r="T35" s="135">
        <f t="shared" si="15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1.5796539744044047E-3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4.5724525502015191E-7</v>
      </c>
      <c r="BH35">
        <f t="shared" si="17"/>
        <v>3</v>
      </c>
      <c r="BI35">
        <v>8</v>
      </c>
      <c r="BJ35" s="107">
        <f t="shared" si="18"/>
        <v>3.6864646762449483E-5</v>
      </c>
      <c r="BP35">
        <f t="shared" si="19"/>
        <v>8</v>
      </c>
      <c r="BQ35">
        <v>4</v>
      </c>
      <c r="BR35" s="107">
        <f t="shared" si="20"/>
        <v>2.7682134955620046E-4</v>
      </c>
    </row>
    <row r="36" spans="1:70" x14ac:dyDescent="0.25">
      <c r="A36" s="1"/>
      <c r="B36" s="108">
        <f>SUM(B37:B39)</f>
        <v>0.99990597913184853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1.0000000000000002</v>
      </c>
      <c r="BH36">
        <f t="shared" si="17"/>
        <v>3</v>
      </c>
      <c r="BI36">
        <v>9</v>
      </c>
      <c r="BJ36" s="107">
        <f t="shared" si="18"/>
        <v>3.7966081441196617E-6</v>
      </c>
      <c r="BP36">
        <f t="shared" si="19"/>
        <v>8</v>
      </c>
      <c r="BQ36">
        <v>5</v>
      </c>
      <c r="BR36" s="107">
        <f t="shared" si="20"/>
        <v>8.747027973054583E-5</v>
      </c>
    </row>
    <row r="37" spans="1:70" ht="15.75" thickBot="1" x14ac:dyDescent="0.3">
      <c r="A37" s="109" t="s">
        <v>104</v>
      </c>
      <c r="B37" s="107">
        <f>SUM(BN4:BN14)</f>
        <v>0.16920023840991782</v>
      </c>
      <c r="G37" s="13"/>
      <c r="H37" s="59">
        <f>SUM(H39:H49)</f>
        <v>0.9999999398309054</v>
      </c>
      <c r="I37" s="13"/>
      <c r="J37" s="59">
        <f>SUM(J39:J49)</f>
        <v>1</v>
      </c>
      <c r="K37" s="59"/>
      <c r="L37" s="59">
        <f>SUM(L39:L49)</f>
        <v>1</v>
      </c>
      <c r="M37" s="13"/>
      <c r="N37" s="74">
        <f>SUM(N39:N49)</f>
        <v>0.99999999999999989</v>
      </c>
      <c r="O37" s="13"/>
      <c r="P37" s="74">
        <f>SUM(P39:P49)</f>
        <v>0.99999999999999989</v>
      </c>
      <c r="Q37" s="13"/>
      <c r="R37" s="59">
        <f>SUM(R39:R49)</f>
        <v>0.99999999999999967</v>
      </c>
      <c r="S37" s="13"/>
      <c r="T37" s="59">
        <f>SUM(T39:T49)</f>
        <v>1</v>
      </c>
      <c r="U37" s="13"/>
      <c r="V37" s="59">
        <f>SUM(V39:V48)</f>
        <v>0.99924538824611953</v>
      </c>
      <c r="W37" s="13"/>
      <c r="X37" s="13"/>
      <c r="Y37" s="80">
        <f>SUM(Y39:Y49)</f>
        <v>1.3694747890447125E-3</v>
      </c>
      <c r="Z37" s="81"/>
      <c r="AA37" s="80">
        <f>SUM(AA39:AA49)</f>
        <v>1.2771304356077439E-2</v>
      </c>
      <c r="AB37" s="81"/>
      <c r="AC37" s="80">
        <f>SUM(AC39:AC49)</f>
        <v>5.3608374798322818E-2</v>
      </c>
      <c r="AD37" s="81"/>
      <c r="AE37" s="80">
        <f>SUM(AE39:AE49)</f>
        <v>0.13339163486653391</v>
      </c>
      <c r="AF37" s="81"/>
      <c r="AG37" s="80">
        <f>SUM(AG39:AG49)</f>
        <v>0.21791989749462715</v>
      </c>
      <c r="AH37" s="81"/>
      <c r="AI37" s="80">
        <f>SUM(AI39:AI49)</f>
        <v>0.24429368114131747</v>
      </c>
      <c r="AJ37" s="81"/>
      <c r="AK37" s="80">
        <f>SUM(AK39:AK49)</f>
        <v>0.19039247199970985</v>
      </c>
      <c r="AL37" s="81"/>
      <c r="AM37" s="80">
        <f>SUM(AM39:AM49)</f>
        <v>0.10194709134855648</v>
      </c>
      <c r="AN37" s="81"/>
      <c r="AO37" s="80">
        <f>SUM(AO39:AO49)</f>
        <v>3.5962126109307276E-2</v>
      </c>
      <c r="AP37" s="81"/>
      <c r="AQ37" s="80">
        <f>SUM(AQ39:AQ49)</f>
        <v>7.5893313426225947E-3</v>
      </c>
      <c r="AR37" s="81"/>
      <c r="AS37" s="80">
        <f>SUM(AS39:AS49)</f>
        <v>7.546117538804743E-4</v>
      </c>
      <c r="BH37">
        <f t="shared" si="17"/>
        <v>3</v>
      </c>
      <c r="BI37">
        <v>10</v>
      </c>
      <c r="BJ37" s="107">
        <f t="shared" si="18"/>
        <v>2.8447741708962457E-7</v>
      </c>
      <c r="BP37">
        <f t="shared" si="19"/>
        <v>8</v>
      </c>
      <c r="BQ37">
        <v>6</v>
      </c>
      <c r="BR37" s="107">
        <f t="shared" si="20"/>
        <v>2.0783908154910638E-5</v>
      </c>
    </row>
    <row r="38" spans="1:70" ht="15.75" thickBot="1" x14ac:dyDescent="0.3">
      <c r="A38" s="110" t="s">
        <v>105</v>
      </c>
      <c r="B38" s="107">
        <f>SUM(BJ4:BJ59)</f>
        <v>0.20684614276234842</v>
      </c>
      <c r="G38" s="103" t="str">
        <f t="shared" ref="G38:T38" si="21">G24</f>
        <v>G</v>
      </c>
      <c r="H38" s="104" t="str">
        <f t="shared" si="21"/>
        <v>p</v>
      </c>
      <c r="I38" s="103" t="str">
        <f t="shared" si="21"/>
        <v>GT</v>
      </c>
      <c r="J38" s="105" t="str">
        <f t="shared" si="21"/>
        <v>p(x)</v>
      </c>
      <c r="K38" s="106" t="str">
        <f t="shared" si="21"/>
        <v>EE(x)</v>
      </c>
      <c r="L38" s="105" t="str">
        <f t="shared" si="21"/>
        <v>p</v>
      </c>
      <c r="M38" s="90" t="str">
        <f t="shared" si="21"/>
        <v>OcaS</v>
      </c>
      <c r="N38" s="30" t="str">
        <f t="shared" si="21"/>
        <v>P</v>
      </c>
      <c r="O38" s="30" t="str">
        <f t="shared" si="21"/>
        <v>O_CA</v>
      </c>
      <c r="P38" s="30" t="str">
        <f t="shared" si="21"/>
        <v>p</v>
      </c>
      <c r="Q38" s="30" t="str">
        <f t="shared" si="21"/>
        <v>TotalN</v>
      </c>
      <c r="R38" s="30" t="str">
        <f t="shared" si="21"/>
        <v>p</v>
      </c>
      <c r="S38" s="30" t="str">
        <f t="shared" si="21"/>
        <v>OcaCA</v>
      </c>
      <c r="T38" s="141" t="str">
        <f t="shared" si="21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2">X24</f>
        <v>G0</v>
      </c>
      <c r="Y38" s="30" t="str">
        <f>Y24</f>
        <v>p</v>
      </c>
      <c r="Z38" s="30" t="str">
        <f t="shared" ref="Z38" si="23">Z24</f>
        <v>G1</v>
      </c>
      <c r="AA38" s="30" t="str">
        <f>AA24</f>
        <v>p</v>
      </c>
      <c r="AB38" s="30" t="str">
        <f t="shared" ref="AB38" si="24">AB24</f>
        <v>G2</v>
      </c>
      <c r="AC38" s="30" t="str">
        <f>AC24</f>
        <v>p</v>
      </c>
      <c r="AD38" s="30" t="str">
        <f t="shared" ref="AD38" si="25">AD24</f>
        <v>G3</v>
      </c>
      <c r="AE38" s="30" t="str">
        <f>AE24</f>
        <v>p</v>
      </c>
      <c r="AF38" s="30" t="str">
        <f t="shared" ref="AF38" si="26">AF24</f>
        <v>G4</v>
      </c>
      <c r="AG38" s="30" t="str">
        <f>AG24</f>
        <v>p</v>
      </c>
      <c r="AH38" s="30" t="str">
        <f t="shared" ref="AH38" si="27">AH24</f>
        <v>G5</v>
      </c>
      <c r="AI38" s="30" t="str">
        <f>AI24</f>
        <v>p</v>
      </c>
      <c r="AJ38" s="30" t="str">
        <f t="shared" ref="AJ38" si="28">AJ24</f>
        <v>G6</v>
      </c>
      <c r="AK38" s="30" t="str">
        <f>AK24</f>
        <v>p</v>
      </c>
      <c r="AL38" s="30" t="str">
        <f t="shared" ref="AL38" si="29">AL24</f>
        <v>G7</v>
      </c>
      <c r="AM38" s="30" t="str">
        <f>AM24</f>
        <v>p</v>
      </c>
      <c r="AN38" s="30" t="str">
        <f t="shared" ref="AN38" si="30">AN24</f>
        <v>G8</v>
      </c>
      <c r="AO38" s="30" t="str">
        <f>AO24</f>
        <v>p</v>
      </c>
      <c r="AP38" s="30" t="str">
        <f t="shared" ref="AP38" si="31">AP24</f>
        <v>G9</v>
      </c>
      <c r="AQ38" s="30" t="str">
        <f>AQ24</f>
        <v>p</v>
      </c>
      <c r="AR38" s="30" t="str">
        <f t="shared" ref="AR38" si="32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3">BH32+1</f>
        <v>4</v>
      </c>
      <c r="BI38">
        <v>5</v>
      </c>
      <c r="BJ38" s="107">
        <f t="shared" ref="BJ38:BJ43" si="34">$H$29*H44</f>
        <v>4.7969062995953772E-3</v>
      </c>
      <c r="BP38">
        <f>BL11+1</f>
        <v>8</v>
      </c>
      <c r="BQ38">
        <v>7</v>
      </c>
      <c r="BR38" s="107">
        <f t="shared" si="20"/>
        <v>3.7578368113302485E-6</v>
      </c>
    </row>
    <row r="39" spans="1:70" x14ac:dyDescent="0.25">
      <c r="A39" s="111" t="s">
        <v>0</v>
      </c>
      <c r="B39" s="107">
        <f>SUM(BR4:BR47)</f>
        <v>0.62385959795958223</v>
      </c>
      <c r="G39" s="130">
        <v>0</v>
      </c>
      <c r="H39" s="131">
        <f>L39*J39</f>
        <v>0.13167927449564909</v>
      </c>
      <c r="I39" s="97">
        <v>0</v>
      </c>
      <c r="J39" s="98">
        <f t="shared" ref="J39:J49" si="35">Y39+AA39+AC39+AE39+AG39+AI39+AK39+AM39+AO39+AQ39+AS39</f>
        <v>0.2177403476841849</v>
      </c>
      <c r="K39" s="102">
        <v>0</v>
      </c>
      <c r="L39" s="98">
        <f>AC20</f>
        <v>0.60475367058125318</v>
      </c>
      <c r="M39" s="84">
        <v>0</v>
      </c>
      <c r="N39" s="71">
        <f>(1-$C$24)^$B$21</f>
        <v>3.7192377398966706E-2</v>
      </c>
      <c r="O39" s="70">
        <v>0</v>
      </c>
      <c r="P39" s="71">
        <f>N39</f>
        <v>3.7192377398966706E-2</v>
      </c>
      <c r="Q39" s="12">
        <v>0</v>
      </c>
      <c r="R39" s="73">
        <f>P39*N39</f>
        <v>1.3832729365871694E-3</v>
      </c>
      <c r="S39" s="70">
        <v>0</v>
      </c>
      <c r="T39" s="135">
        <f>(1-$C$33)^(INT(B23*2*(1-B31)))</f>
        <v>0.99002500000000004</v>
      </c>
      <c r="U39" s="140">
        <v>0</v>
      </c>
      <c r="V39" s="86">
        <f>R39*T39</f>
        <v>1.3694747890447125E-3</v>
      </c>
      <c r="W39" s="136">
        <f>C31</f>
        <v>0.29265392652363775</v>
      </c>
      <c r="X39" s="12">
        <v>0</v>
      </c>
      <c r="Y39" s="79">
        <f>V39</f>
        <v>1.3694747890447125E-3</v>
      </c>
      <c r="Z39" s="12">
        <v>0</v>
      </c>
      <c r="AA39" s="78">
        <f>((1-W39)^Z40)*V40</f>
        <v>9.033731989442937E-3</v>
      </c>
      <c r="AB39" s="12">
        <v>0</v>
      </c>
      <c r="AC39" s="79">
        <f>(((1-$W$39)^AB41))*V41</f>
        <v>2.6822332100465925E-2</v>
      </c>
      <c r="AD39" s="12">
        <v>0</v>
      </c>
      <c r="AE39" s="79">
        <f>(((1-$W$39)^AB42))*V42</f>
        <v>4.7208960373176553E-2</v>
      </c>
      <c r="AF39" s="12">
        <v>0</v>
      </c>
      <c r="AG39" s="79">
        <f>(((1-$W$39)^AB43))*V43</f>
        <v>5.4553758176939776E-2</v>
      </c>
      <c r="AH39" s="12">
        <v>0</v>
      </c>
      <c r="AI39" s="79">
        <f>(((1-$W$39)^AB44))*V44</f>
        <v>4.325855110033134E-2</v>
      </c>
      <c r="AJ39" s="12">
        <v>0</v>
      </c>
      <c r="AK39" s="79">
        <f>(((1-$W$39)^AB45))*V45</f>
        <v>2.3847422995697087E-2</v>
      </c>
      <c r="AL39" s="12">
        <v>0</v>
      </c>
      <c r="AM39" s="79">
        <f>(((1-$W$39)^AB46))*V46</f>
        <v>9.0323023937710686E-3</v>
      </c>
      <c r="AN39" s="12">
        <v>0</v>
      </c>
      <c r="AO39" s="79">
        <f>(((1-$W$39)^AB47))*V47</f>
        <v>2.253725072752193E-3</v>
      </c>
      <c r="AP39" s="12">
        <v>0</v>
      </c>
      <c r="AQ39" s="79">
        <f>(((1-$W$39)^AB48))*V48</f>
        <v>3.3642715097175244E-4</v>
      </c>
      <c r="AR39" s="12">
        <v>0</v>
      </c>
      <c r="AS39" s="79">
        <f>(((1-$W$39)^AB49))*V49</f>
        <v>2.3661541591548565E-5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3"/>
        <v>4</v>
      </c>
      <c r="BI39">
        <v>6</v>
      </c>
      <c r="BJ39" s="107">
        <f t="shared" si="34"/>
        <v>1.1397981150354833E-3</v>
      </c>
      <c r="BP39">
        <f t="shared" ref="BP39:BP46" si="36">BP31+1</f>
        <v>9</v>
      </c>
      <c r="BQ39">
        <v>0</v>
      </c>
      <c r="BR39" s="107">
        <f t="shared" ref="BR39:BR47" si="37">$H$34*H39</f>
        <v>8.47173910512423E-5</v>
      </c>
    </row>
    <row r="40" spans="1:70" x14ac:dyDescent="0.25">
      <c r="G40" s="91">
        <v>1</v>
      </c>
      <c r="H40" s="132">
        <f>L39*J40+L40*J39</f>
        <v>0.28644418587432485</v>
      </c>
      <c r="I40" s="93">
        <v>1</v>
      </c>
      <c r="J40" s="86">
        <f t="shared" si="35"/>
        <v>0.35846756424197457</v>
      </c>
      <c r="K40" s="95">
        <v>1</v>
      </c>
      <c r="L40" s="86">
        <f>AD20</f>
        <v>0.31992054460988212</v>
      </c>
      <c r="M40" s="85">
        <v>1</v>
      </c>
      <c r="N40" s="71">
        <f>(($C$24)^M26)*((1-($C$24))^($B$21-M26))*HLOOKUP($B$21,$AV$24:$BF$34,M26+1)</f>
        <v>0.17323548982186843</v>
      </c>
      <c r="O40" s="72">
        <v>1</v>
      </c>
      <c r="P40" s="71">
        <f t="shared" ref="P40:P44" si="38">N40</f>
        <v>0.17323548982186843</v>
      </c>
      <c r="Q40" s="28">
        <v>1</v>
      </c>
      <c r="R40" s="37">
        <f>P40*N39+P39*N40</f>
        <v>1.2886079432699572E-2</v>
      </c>
      <c r="S40" s="72">
        <v>1</v>
      </c>
      <c r="T40" s="135">
        <f t="shared" ref="T40:T49" si="39">(($C$33)^S40)*((1-($C$33))^(INT($B$23*2*(1-$B$31))-S40))*HLOOKUP(INT($B$23*2*(1-$B$31)),$AV$24:$BF$34,S40+1)</f>
        <v>9.9500000000000005E-3</v>
      </c>
      <c r="U40" s="93">
        <v>1</v>
      </c>
      <c r="V40" s="86">
        <f>R40*T39+T40*R39</f>
        <v>1.2771304356077437E-2</v>
      </c>
      <c r="W40" s="137"/>
      <c r="X40" s="28">
        <v>1</v>
      </c>
      <c r="Y40" s="73"/>
      <c r="Z40" s="28">
        <v>1</v>
      </c>
      <c r="AA40" s="79">
        <f>(1-((1-W39)^Z40))*V40</f>
        <v>3.7375723666345012E-3</v>
      </c>
      <c r="AB40" s="28">
        <v>1</v>
      </c>
      <c r="AC40" s="79">
        <f>((($W$39)^M40)*((1-($W$39))^($U$27-M40))*HLOOKUP($U$27,$AV$24:$BF$34,M40+1))*V41</f>
        <v>2.2194682637153792E-2</v>
      </c>
      <c r="AD40" s="28">
        <v>1</v>
      </c>
      <c r="AE40" s="79">
        <f>((($W$39)^M40)*((1-($W$39))^($U$28-M40))*HLOOKUP($U$28,$AV$24:$BF$34,M40+1))*V42</f>
        <v>5.8596017444793091E-2</v>
      </c>
      <c r="AF40" s="28">
        <v>1</v>
      </c>
      <c r="AG40" s="79">
        <f>((($W$39)^M40)*((1-($W$39))^($U$29-M40))*HLOOKUP($U$29,$AV$24:$BF$34,M40+1))*V43</f>
        <v>9.0283227041259337E-2</v>
      </c>
      <c r="AH40" s="28">
        <v>1</v>
      </c>
      <c r="AI40" s="79">
        <f>((($W$39)^M40)*((1-($W$39))^($U$30-M40))*HLOOKUP($U$30,$AV$24:$BF$34,M40+1))*V44</f>
        <v>8.9487913412856848E-2</v>
      </c>
      <c r="AJ40" s="28">
        <v>1</v>
      </c>
      <c r="AK40" s="79">
        <f>((($W$39)^M40)*((1-($W$39))^($U$31-M40))*HLOOKUP($U$31,$AV$24:$BF$34,M40+1))*V45</f>
        <v>5.9199101307182693E-2</v>
      </c>
      <c r="AL40" s="28">
        <v>1</v>
      </c>
      <c r="AM40" s="79">
        <f>((($W$39)^Q40)*((1-($W$39))^($U$32-Q40))*HLOOKUP($U$32,$AV$24:$BF$34,Q40+1))*V46</f>
        <v>2.6158866248686439E-2</v>
      </c>
      <c r="AN40" s="28">
        <v>1</v>
      </c>
      <c r="AO40" s="79">
        <f>((($W$39)^Q40)*((1-($W$39))^($U$33-Q40))*HLOOKUP($U$33,$AV$24:$BF$34,Q40+1))*V47</f>
        <v>7.4595620625042313E-3</v>
      </c>
      <c r="AP40" s="28">
        <v>1</v>
      </c>
      <c r="AQ40" s="79">
        <f>((($W$39)^Q40)*((1-($W$39))^($U$34-Q40))*HLOOKUP($U$34,$AV$24:$BF$34,Q40+1))*V48</f>
        <v>1.2527256087454734E-3</v>
      </c>
      <c r="AR40" s="28">
        <v>1</v>
      </c>
      <c r="AS40" s="79">
        <f>((($W$39)^Q40)*((1-($W$39))^($U$35-Q40))*HLOOKUP($U$35,$AV$24:$BF$34,Q40+1))*V49</f>
        <v>9.7896112158180474E-5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3"/>
        <v>4</v>
      </c>
      <c r="BI40">
        <v>7</v>
      </c>
      <c r="BJ40" s="107">
        <f t="shared" si="34"/>
        <v>2.0608132417834887E-4</v>
      </c>
      <c r="BP40">
        <f t="shared" si="36"/>
        <v>9</v>
      </c>
      <c r="BQ40">
        <v>1</v>
      </c>
      <c r="BR40" s="107">
        <f t="shared" si="37"/>
        <v>1.8428719479215942E-4</v>
      </c>
    </row>
    <row r="41" spans="1:70" x14ac:dyDescent="0.25">
      <c r="G41" s="91">
        <v>2</v>
      </c>
      <c r="H41" s="132">
        <f>L39*J41+J40*L40+J39*L41</f>
        <v>0.2900113707695755</v>
      </c>
      <c r="I41" s="93">
        <v>2</v>
      </c>
      <c r="J41" s="86">
        <f t="shared" si="35"/>
        <v>0.2656710337628076</v>
      </c>
      <c r="K41" s="95">
        <v>2</v>
      </c>
      <c r="L41" s="86">
        <f>AE20</f>
        <v>6.7349481678981971E-2</v>
      </c>
      <c r="M41" s="85">
        <v>2</v>
      </c>
      <c r="N41" s="71">
        <f>(($C$24)^M27)*((1-($C$24))^($B$21-M27))*HLOOKUP($B$21,$AV$24:$BF$34,M27+1)</f>
        <v>0.32276006034135851</v>
      </c>
      <c r="O41" s="72">
        <v>2</v>
      </c>
      <c r="P41" s="71">
        <f t="shared" si="38"/>
        <v>0.32276006034135851</v>
      </c>
      <c r="Q41" s="28">
        <v>2</v>
      </c>
      <c r="R41" s="37">
        <f>P41*N39+P40*N40+P39*N41</f>
        <v>5.401896288088083E-2</v>
      </c>
      <c r="S41" s="72">
        <v>2</v>
      </c>
      <c r="T41" s="135">
        <f t="shared" si="39"/>
        <v>2.5000000000000001E-5</v>
      </c>
      <c r="U41" s="93">
        <v>2</v>
      </c>
      <c r="V41" s="86">
        <f>R41*T39+T40*R40+R39*T41</f>
        <v>5.3608374798322818E-2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4.5913600607031032E-3</v>
      </c>
      <c r="AD41" s="28">
        <v>2</v>
      </c>
      <c r="AE41" s="79">
        <f>((($W$39)^M41)*((1-($W$39))^($U$28-M41))*HLOOKUP($U$28,$AV$24:$BF$34,M41+1))*V42</f>
        <v>2.4243231463190313E-2</v>
      </c>
      <c r="AF41" s="28">
        <v>2</v>
      </c>
      <c r="AG41" s="79">
        <f>((($W$39)^M41)*((1-($W$39))^($U$29-M41))*HLOOKUP($U$29,$AV$24:$BF$34,M41+1))*V43</f>
        <v>5.6030015328273189E-2</v>
      </c>
      <c r="AH41" s="28">
        <v>2</v>
      </c>
      <c r="AI41" s="79">
        <f>((($W$39)^M41)*((1-($W$39))^($U$30-M41))*HLOOKUP($U$30,$AV$24:$BF$34,M41+1))*V44</f>
        <v>7.4048588714064681E-2</v>
      </c>
      <c r="AJ41" s="28">
        <v>2</v>
      </c>
      <c r="AK41" s="79">
        <f>((($W$39)^M41)*((1-($W$39))^($U$31-M41))*HLOOKUP($U$31,$AV$24:$BF$34,M41+1))*V45</f>
        <v>6.1231871123112222E-2</v>
      </c>
      <c r="AL41" s="28">
        <v>2</v>
      </c>
      <c r="AM41" s="79">
        <f>((($W$39)^Q41)*((1-($W$39))^($U$32-Q41))*HLOOKUP($U$32,$AV$24:$BF$34,Q41+1))*V46</f>
        <v>3.2468526545120814E-2</v>
      </c>
      <c r="AN41" s="28">
        <v>2</v>
      </c>
      <c r="AO41" s="79">
        <f>((($W$39)^Q41)*((1-($W$39))^($U$33-Q41))*HLOOKUP($U$33,$AV$24:$BF$34,Q41+1))*V47</f>
        <v>1.0801990332021739E-2</v>
      </c>
      <c r="AP41" s="28">
        <v>2</v>
      </c>
      <c r="AQ41" s="79">
        <f>((($W$39)^Q41)*((1-($W$39))^($U$34-Q41))*HLOOKUP($U$34,$AV$24:$BF$34,Q41+1))*V48</f>
        <v>2.0731864189436453E-3</v>
      </c>
      <c r="AR41" s="28">
        <v>2</v>
      </c>
      <c r="AS41" s="79">
        <f>((($W$39)^Q41)*((1-($W$39))^($U$35-Q41))*HLOOKUP($U$35,$AV$24:$BF$34,Q41+1))*V49</f>
        <v>1.8226377737786802E-4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3"/>
        <v>4</v>
      </c>
      <c r="BI41">
        <v>8</v>
      </c>
      <c r="BJ41" s="107">
        <f t="shared" si="34"/>
        <v>2.831776923450119E-5</v>
      </c>
      <c r="BP41">
        <f t="shared" si="36"/>
        <v>9</v>
      </c>
      <c r="BQ41">
        <v>2</v>
      </c>
      <c r="BR41" s="107">
        <f t="shared" si="37"/>
        <v>1.8658218463684466E-4</v>
      </c>
    </row>
    <row r="42" spans="1:70" ht="15" customHeight="1" x14ac:dyDescent="0.25">
      <c r="G42" s="91">
        <v>3</v>
      </c>
      <c r="H42" s="132">
        <f>J42*L39+J41*L40+L42*J39+L41*J40</f>
        <v>0.18147342822093632</v>
      </c>
      <c r="I42" s="93">
        <v>3</v>
      </c>
      <c r="J42" s="86">
        <f t="shared" si="35"/>
        <v>0.11674247248049331</v>
      </c>
      <c r="K42" s="95">
        <v>3</v>
      </c>
      <c r="L42" s="86">
        <f>AF20</f>
        <v>7.9763031298827336E-3</v>
      </c>
      <c r="M42" s="85">
        <v>3</v>
      </c>
      <c r="N42" s="71">
        <f>(($C$24)^M28)*((1-($C$24))^($B$21-M28))*HLOOKUP($B$21,$AV$24:$BF$34,M28+1)</f>
        <v>0.30067180996998849</v>
      </c>
      <c r="O42" s="72">
        <v>3</v>
      </c>
      <c r="P42" s="71">
        <f t="shared" si="38"/>
        <v>0.30067180996998849</v>
      </c>
      <c r="Q42" s="28">
        <v>3</v>
      </c>
      <c r="R42" s="37">
        <f>P42*N39+P41*N40+P40*N41+P39*N42</f>
        <v>0.13419239315561052</v>
      </c>
      <c r="S42" s="72">
        <v>3</v>
      </c>
      <c r="T42" s="135">
        <f t="shared" si="39"/>
        <v>0</v>
      </c>
      <c r="U42" s="93">
        <v>3</v>
      </c>
      <c r="V42" s="86">
        <f>R42*T39+R41*T40+R40*T41+R39*T42</f>
        <v>0.13339163486653391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3.3434255853739625E-3</v>
      </c>
      <c r="AF42" s="28">
        <v>3</v>
      </c>
      <c r="AG42" s="79">
        <f>((($W$39)^M42)*((1-($W$39))^($U$29-M42))*HLOOKUP($U$29,$AV$24:$BF$34,M42+1))*V43</f>
        <v>1.5454390812699991E-2</v>
      </c>
      <c r="AH42" s="28">
        <v>3</v>
      </c>
      <c r="AI42" s="79">
        <f>((($W$39)^M42)*((1-($W$39))^($U$30-M42))*HLOOKUP($U$30,$AV$24:$BF$34,M42+1))*V44</f>
        <v>3.063650319595523E-2</v>
      </c>
      <c r="AJ42" s="28">
        <v>3</v>
      </c>
      <c r="AK42" s="79">
        <f>((($W$39)^M42)*((1-($W$39))^($U$31-M42))*HLOOKUP($U$31,$AV$24:$BF$34,M42+1))*V45</f>
        <v>3.377836900401289E-2</v>
      </c>
      <c r="AL42" s="28">
        <v>3</v>
      </c>
      <c r="AM42" s="79">
        <f>((($W$39)^Q42)*((1-($W$39))^($U$32-Q42))*HLOOKUP($U$32,$AV$24:$BF$34,Q42+1))*V46</f>
        <v>2.2388950609817972E-2</v>
      </c>
      <c r="AN42" s="28">
        <v>3</v>
      </c>
      <c r="AO42" s="79">
        <f>((($W$39)^Q42)*((1-($W$39))^($U$33-Q42))*HLOOKUP($U$33,$AV$24:$BF$34,Q42+1))*V47</f>
        <v>8.9383259580423074E-3</v>
      </c>
      <c r="AP42" s="28">
        <v>3</v>
      </c>
      <c r="AQ42" s="79">
        <f>((($W$39)^Q42)*((1-($W$39))^($U$34-Q42))*HLOOKUP($U$34,$AV$24:$BF$34,Q42+1))*V48</f>
        <v>2.0014168362041001E-3</v>
      </c>
      <c r="AR42" s="28">
        <v>3</v>
      </c>
      <c r="AS42" s="79">
        <f>((($W$39)^Q42)*((1-($W$39))^($U$35-Q42))*HLOOKUP($U$35,$AV$24:$BF$34,Q42+1))*V49</f>
        <v>2.0109047838686938E-4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3"/>
        <v>4</v>
      </c>
      <c r="BI42">
        <v>9</v>
      </c>
      <c r="BJ42" s="107">
        <f t="shared" si="34"/>
        <v>2.916384198438059E-6</v>
      </c>
      <c r="BP42">
        <f t="shared" si="36"/>
        <v>9</v>
      </c>
      <c r="BQ42">
        <v>3</v>
      </c>
      <c r="BR42" s="107">
        <f t="shared" si="37"/>
        <v>1.1675303834173687E-4</v>
      </c>
    </row>
    <row r="43" spans="1:70" ht="15" customHeight="1" x14ac:dyDescent="0.25">
      <c r="G43" s="91">
        <v>4</v>
      </c>
      <c r="H43" s="132">
        <f>J43*L39+J42*L40+J41*L41+J40*L42</f>
        <v>7.8475172259797221E-2</v>
      </c>
      <c r="I43" s="93">
        <v>4</v>
      </c>
      <c r="J43" s="86">
        <f t="shared" si="35"/>
        <v>3.369108035256977E-2</v>
      </c>
      <c r="K43" s="95">
        <v>4</v>
      </c>
      <c r="L43" s="86"/>
      <c r="M43" s="85">
        <v>4</v>
      </c>
      <c r="N43" s="71">
        <f>(($C$24)^M29)*((1-($C$24))^($B$21-M29))*HLOOKUP($B$21,$AV$24:$BF$34,M29+1)</f>
        <v>0.14004759017428609</v>
      </c>
      <c r="O43" s="72">
        <v>4</v>
      </c>
      <c r="P43" s="71">
        <f t="shared" si="38"/>
        <v>0.14004759017428609</v>
      </c>
      <c r="Q43" s="28">
        <v>4</v>
      </c>
      <c r="R43" s="37">
        <f>P43*N39+P42*N40+P41*N41+P40*N42+P39*N43</f>
        <v>0.21876551875827052</v>
      </c>
      <c r="S43" s="72">
        <v>4</v>
      </c>
      <c r="T43" s="135">
        <f t="shared" si="39"/>
        <v>0</v>
      </c>
      <c r="U43" s="93">
        <v>4</v>
      </c>
      <c r="V43" s="86">
        <f>T43*R39+T42*R40+T41*R41+T40*R42+T39*R43</f>
        <v>0.21791989749462715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1.598506135454863E-3</v>
      </c>
      <c r="AH43" s="28">
        <v>4</v>
      </c>
      <c r="AI43" s="79">
        <f>((($W$39)^M43)*((1-($W$39))^($U$30-M43))*HLOOKUP($U$30,$AV$24:$BF$34,M43+1))*V44</f>
        <v>6.337698964798094E-3</v>
      </c>
      <c r="AJ43" s="28">
        <v>4</v>
      </c>
      <c r="AK43" s="79">
        <f>((($W$39)^M43)*((1-($W$39))^($U$31-M43))*HLOOKUP($U$31,$AV$24:$BF$34,M43+1))*V45</f>
        <v>1.0481473663950851E-2</v>
      </c>
      <c r="AL43" s="28">
        <v>4</v>
      </c>
      <c r="AM43" s="79">
        <f>((($W$39)^Q43)*((1-($W$39))^($U$32-Q43))*HLOOKUP($U$32,$AV$24:$BF$34,Q43+1))*V46</f>
        <v>9.2630956082150086E-3</v>
      </c>
      <c r="AN43" s="28">
        <v>4</v>
      </c>
      <c r="AO43" s="79">
        <f>((($W$39)^Q43)*((1-($W$39))^($U$33-Q43))*HLOOKUP($U$33,$AV$24:$BF$34,Q43+1))*V47</f>
        <v>4.6226244236313207E-3</v>
      </c>
      <c r="AP43" s="28">
        <v>4</v>
      </c>
      <c r="AQ43" s="79">
        <f>((($W$39)^Q43)*((1-($W$39))^($U$34-Q43))*HLOOKUP($U$34,$AV$24:$BF$34,Q43+1))*V48</f>
        <v>1.242084711477273E-3</v>
      </c>
      <c r="AR43" s="28">
        <v>4</v>
      </c>
      <c r="AS43" s="79">
        <f>((($W$39)^Q43)*((1-($W$39))^($U$35-Q43))*HLOOKUP($U$35,$AV$24:$BF$34,Q43+1))*V49</f>
        <v>1.4559684504235982E-4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40">BE42+BE43</f>
        <v>252</v>
      </c>
      <c r="BH43">
        <f t="shared" si="33"/>
        <v>4</v>
      </c>
      <c r="BI43">
        <v>10</v>
      </c>
      <c r="BJ43" s="107">
        <f t="shared" si="34"/>
        <v>2.1852280048907393E-7</v>
      </c>
      <c r="BP43">
        <f t="shared" si="36"/>
        <v>9</v>
      </c>
      <c r="BQ43">
        <v>4</v>
      </c>
      <c r="BR43" s="107">
        <f t="shared" si="37"/>
        <v>5.0487913770868413E-5</v>
      </c>
    </row>
    <row r="44" spans="1:70" ht="15" customHeight="1" thickBot="1" x14ac:dyDescent="0.3">
      <c r="G44" s="91">
        <v>5</v>
      </c>
      <c r="H44" s="132">
        <f>J44*L39+J43*L40+J42*L41+J41*L42</f>
        <v>2.4796661386385047E-2</v>
      </c>
      <c r="I44" s="93">
        <v>5</v>
      </c>
      <c r="J44" s="86">
        <f t="shared" si="35"/>
        <v>6.6747422930238821E-3</v>
      </c>
      <c r="K44" s="95">
        <v>5</v>
      </c>
      <c r="L44" s="86"/>
      <c r="M44" s="85">
        <v>5</v>
      </c>
      <c r="N44" s="71">
        <f>(($C$24)^M30)*((1-($C$24))^($B$21-M30))*HLOOKUP($B$21,$AV$24:$BF$34,M30+1)</f>
        <v>2.6092672293531606E-2</v>
      </c>
      <c r="O44" s="72">
        <v>5</v>
      </c>
      <c r="P44" s="71">
        <f t="shared" si="38"/>
        <v>2.6092672293531606E-2</v>
      </c>
      <c r="Q44" s="28">
        <v>5</v>
      </c>
      <c r="R44" s="37">
        <f>P44*N39+P43*N40+P42*N41+P41*N42+P40*N43+P39*N44</f>
        <v>0.24455302585272462</v>
      </c>
      <c r="S44" s="72">
        <v>5</v>
      </c>
      <c r="T44" s="135">
        <f t="shared" si="39"/>
        <v>0</v>
      </c>
      <c r="U44" s="93">
        <v>5</v>
      </c>
      <c r="V44" s="86">
        <f>T44*R39+T43*R40+T42*R41+T41*R42+T40*R43+T39*R44</f>
        <v>0.24429368114131739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5.2442575331124327E-4</v>
      </c>
      <c r="AJ44" s="28">
        <v>5</v>
      </c>
      <c r="AK44" s="79">
        <f>((($W$39)^M44)*((1-($W$39))^($U$31-M44))*HLOOKUP($U$31,$AV$24:$BF$34,M44+1))*V45</f>
        <v>1.7346215882326932E-3</v>
      </c>
      <c r="AL44" s="28">
        <v>5</v>
      </c>
      <c r="AM44" s="79">
        <f>((($W$39)^Q44)*((1-($W$39))^($U$32-Q44))*HLOOKUP($U$32,$AV$24:$BF$34,Q44+1))*V46</f>
        <v>2.2994808932931001E-3</v>
      </c>
      <c r="AN44" s="28">
        <v>5</v>
      </c>
      <c r="AO44" s="79">
        <f>((($W$39)^Q44)*((1-($W$39))^($U$33-Q44))*HLOOKUP($U$33,$AV$24:$BF$34,Q44+1))*V47</f>
        <v>1.5300337293410952E-3</v>
      </c>
      <c r="AP44" s="28">
        <v>5</v>
      </c>
      <c r="AQ44" s="79">
        <f>((($W$39)^Q44)*((1-($W$39))^($U$34-Q44))*HLOOKUP($U$34,$AV$24:$BF$34,Q44+1))*V48</f>
        <v>5.1389409161815467E-4</v>
      </c>
      <c r="AR44" s="28">
        <v>5</v>
      </c>
      <c r="AS44" s="79">
        <f>((($W$39)^Q44)*((1-($W$39))^($U$35-Q44))*HLOOKUP($U$35,$AV$24:$BF$34,Q44+1))*V49</f>
        <v>7.2286237227595172E-5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40"/>
        <v>210</v>
      </c>
      <c r="BH44">
        <f>BH39+1</f>
        <v>5</v>
      </c>
      <c r="BI44">
        <v>6</v>
      </c>
      <c r="BJ44" s="107">
        <f>$H$30*H45</f>
        <v>6.378624946042922E-4</v>
      </c>
      <c r="BP44">
        <f t="shared" si="36"/>
        <v>9</v>
      </c>
      <c r="BQ44">
        <v>5</v>
      </c>
      <c r="BR44" s="107">
        <f t="shared" si="37"/>
        <v>1.5953220182003914E-5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>
        <f>J45*L39+J44*L40+J43*L41+J42*L42</f>
        <v>5.8919616398925385E-3</v>
      </c>
      <c r="I45" s="93">
        <v>6</v>
      </c>
      <c r="J45" s="86">
        <f t="shared" si="35"/>
        <v>9.199188526728654E-4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0.1898474283523206</v>
      </c>
      <c r="S45" s="70">
        <v>6</v>
      </c>
      <c r="T45" s="135">
        <f t="shared" si="39"/>
        <v>0</v>
      </c>
      <c r="U45" s="93">
        <v>6</v>
      </c>
      <c r="V45" s="86">
        <f>T45*R39+T44*R40+T43*R41+T42*R42+T41*R43+T40*R44+T39*R45</f>
        <v>0.19039247199970979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1.1961231752138712E-4</v>
      </c>
      <c r="AL45" s="28">
        <v>6</v>
      </c>
      <c r="AM45" s="79">
        <f>((($W$39)^Q45)*((1-($W$39))^($U$32-Q45))*HLOOKUP($U$32,$AV$24:$BF$34,Q45+1))*V46</f>
        <v>3.1712534953881908E-4</v>
      </c>
      <c r="AN45" s="28">
        <v>6</v>
      </c>
      <c r="AO45" s="79">
        <f>((($W$39)^Q45)*((1-($W$39))^($U$33-Q45))*HLOOKUP($U$33,$AV$24:$BF$34,Q45+1))*V47</f>
        <v>3.1651435937478183E-4</v>
      </c>
      <c r="AP45" s="28">
        <v>6</v>
      </c>
      <c r="AQ45" s="79">
        <f>((($W$39)^Q45)*((1-($W$39))^($U$34-Q45))*HLOOKUP($U$34,$AV$24:$BF$34,Q45+1))*V48</f>
        <v>1.4174402918995562E-4</v>
      </c>
      <c r="AR45" s="28">
        <v>6</v>
      </c>
      <c r="AS45" s="79">
        <f>((($W$39)^Q45)*((1-($W$39))^($U$35-Q45))*HLOOKUP($U$35,$AV$24:$BF$34,Q45+1))*V49</f>
        <v>2.4922797047921773E-5</v>
      </c>
      <c r="AV45" s="14">
        <v>7</v>
      </c>
      <c r="BC45">
        <v>1</v>
      </c>
      <c r="BD45">
        <v>8</v>
      </c>
      <c r="BE45">
        <f>28+8</f>
        <v>36</v>
      </c>
      <c r="BF45">
        <f t="shared" si="40"/>
        <v>120</v>
      </c>
      <c r="BH45">
        <f>BH40+1</f>
        <v>5</v>
      </c>
      <c r="BI45">
        <v>7</v>
      </c>
      <c r="BJ45" s="107">
        <f>$H$30*H46</f>
        <v>1.153287988440525E-4</v>
      </c>
      <c r="BP45">
        <f t="shared" si="36"/>
        <v>9</v>
      </c>
      <c r="BQ45">
        <v>6</v>
      </c>
      <c r="BR45" s="107">
        <f t="shared" si="37"/>
        <v>3.7906619718062608E-6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>
        <f>J46*L39+J45*L40+J44*L41+J43*L42</f>
        <v>1.065296775577919E-3</v>
      </c>
      <c r="I46" s="93">
        <v>7</v>
      </c>
      <c r="J46" s="86">
        <f t="shared" si="35"/>
        <v>8.7184475857700274E-5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0.10106006980713066</v>
      </c>
      <c r="S46" s="72">
        <v>7</v>
      </c>
      <c r="T46" s="135">
        <f t="shared" si="39"/>
        <v>0</v>
      </c>
      <c r="U46" s="93">
        <v>7</v>
      </c>
      <c r="V46" s="86">
        <f>T46*R39+T45*R40+T44*R41+T43*R42+T42*R43+T41*R44+T40*R45+T39*R46</f>
        <v>0.10194709134855645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1.8743700113257204E-5</v>
      </c>
      <c r="AN46" s="28">
        <v>7</v>
      </c>
      <c r="AO46" s="79">
        <f>((($W$39)^Q46)*((1-($W$39))^($U$33-Q46))*HLOOKUP($U$33,$AV$24:$BF$34,Q46+1))*V47</f>
        <v>3.7415175054836912E-5</v>
      </c>
      <c r="AP46" s="28">
        <v>7</v>
      </c>
      <c r="AQ46" s="79">
        <f>((($W$39)^Q46)*((1-($W$39))^($U$34-Q46))*HLOOKUP($U$34,$AV$24:$BF$34,Q46+1))*V48</f>
        <v>2.5133351022032558E-5</v>
      </c>
      <c r="AR46" s="28">
        <v>7</v>
      </c>
      <c r="AS46" s="79">
        <f>((($W$39)^Q46)*((1-($W$39))^($U$35-Q46))*HLOOKUP($U$35,$AV$24:$BF$34,Q46+1))*V49</f>
        <v>5.8922496675736047E-6</v>
      </c>
      <c r="AV46" s="14">
        <v>8</v>
      </c>
      <c r="BD46">
        <v>1</v>
      </c>
      <c r="BE46">
        <v>9</v>
      </c>
      <c r="BF46">
        <f t="shared" si="40"/>
        <v>45</v>
      </c>
      <c r="BH46">
        <f>BH41+1</f>
        <v>5</v>
      </c>
      <c r="BI46">
        <v>8</v>
      </c>
      <c r="BJ46" s="107">
        <f>$H$30*H47</f>
        <v>1.5847405507408904E-5</v>
      </c>
      <c r="BP46">
        <f t="shared" si="36"/>
        <v>9</v>
      </c>
      <c r="BQ46">
        <v>7</v>
      </c>
      <c r="BR46" s="107">
        <f t="shared" si="37"/>
        <v>6.8537105681915092E-7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>
        <f>J47*L39+J46*L40+J45*L41+J44*L42</f>
        <v>1.4638312509563674E-4</v>
      </c>
      <c r="I47" s="93">
        <v>8</v>
      </c>
      <c r="J47" s="86">
        <f t="shared" si="35"/>
        <v>5.4488207360505934E-6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3.5303989524524626E-2</v>
      </c>
      <c r="S47" s="72">
        <v>8</v>
      </c>
      <c r="T47" s="135">
        <f t="shared" si="39"/>
        <v>0</v>
      </c>
      <c r="U47" s="93">
        <v>8</v>
      </c>
      <c r="V47" s="86">
        <f>T47*R39+T46*R40+T45*R41+T44*R42+T43*R43+T42*R44+T41*R45+T40*R46+T39*R47</f>
        <v>3.5962126109307255E-2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1.9349965847610655E-6</v>
      </c>
      <c r="AP47" s="28">
        <v>8</v>
      </c>
      <c r="AQ47" s="79">
        <f>((($W$39)^Q47)*((1-($W$39))^($U$34-Q47))*HLOOKUP($U$34,$AV$24:$BF$34,Q47+1))*V48</f>
        <v>2.5996376240365568E-6</v>
      </c>
      <c r="AR47" s="28">
        <v>8</v>
      </c>
      <c r="AS47" s="79">
        <f>((($W$39)^Q47)*((1-($W$39))^($U$35-Q47))*HLOOKUP($U$35,$AV$24:$BF$34,Q47+1))*V49</f>
        <v>9.1418652725297106E-7</v>
      </c>
      <c r="AV47" s="29">
        <v>9</v>
      </c>
      <c r="BE47">
        <v>1</v>
      </c>
      <c r="BF47">
        <f t="shared" si="40"/>
        <v>10</v>
      </c>
      <c r="BH47">
        <f>BH42+1</f>
        <v>5</v>
      </c>
      <c r="BI47">
        <v>9</v>
      </c>
      <c r="BJ47" s="107">
        <f>$H$30*H48</f>
        <v>1.6320891178016447E-6</v>
      </c>
      <c r="BP47">
        <f>BL12+1</f>
        <v>9</v>
      </c>
      <c r="BQ47">
        <v>8</v>
      </c>
      <c r="BR47" s="107">
        <f t="shared" si="37"/>
        <v>9.4177284159017262E-8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>
        <f>J48*L39+J47*L40+J46*L41+J45*L42</f>
        <v>1.507567313694922E-5</v>
      </c>
      <c r="I48" s="93">
        <v>9</v>
      </c>
      <c r="J48" s="86">
        <f t="shared" si="35"/>
        <v>2.0355817962946135E-7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7.3084317518329273E-3</v>
      </c>
      <c r="S48" s="72">
        <v>9</v>
      </c>
      <c r="T48" s="135">
        <f t="shared" si="39"/>
        <v>0</v>
      </c>
      <c r="U48" s="93">
        <v>9</v>
      </c>
      <c r="V48" s="86">
        <f>T48*R39+T47*R40+T46*R41+T45*R42+T44*R43+T43*R44+T42*R45+T41*R46+T40*R47+T39*R48</f>
        <v>7.589331342622593E-3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1.1950682617127762E-7</v>
      </c>
      <c r="AR48" s="28">
        <v>9</v>
      </c>
      <c r="AS48" s="79">
        <f>((($W$39)^Q48)*((1-($W$39))^($U$35-Q48))*HLOOKUP($U$35,$AV$24:$BF$34,Q48+1))*V49</f>
        <v>8.4051353458183732E-8</v>
      </c>
      <c r="AV48" s="14">
        <v>10</v>
      </c>
      <c r="BF48">
        <f t="shared" si="40"/>
        <v>1</v>
      </c>
      <c r="BH48">
        <f>BH43+1</f>
        <v>5</v>
      </c>
      <c r="BI48">
        <v>10</v>
      </c>
      <c r="BJ48" s="107">
        <f>$H$30*H49</f>
        <v>1.2229139249237788E-7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>
        <f>J49*L39+J48*L40+J47*L41+J46*L42</f>
        <v>1.1296105344791098E-6</v>
      </c>
      <c r="I49" s="94">
        <v>10</v>
      </c>
      <c r="J49" s="89">
        <f t="shared" si="35"/>
        <v>3.4774998464716313E-9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6.808275474176319E-4</v>
      </c>
      <c r="S49" s="72">
        <v>10</v>
      </c>
      <c r="T49" s="135">
        <f t="shared" si="39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7.5461175388047419E-4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3.4774998464716313E-9</v>
      </c>
      <c r="BH49">
        <f>BP14+1</f>
        <v>6</v>
      </c>
      <c r="BI49">
        <v>0</v>
      </c>
      <c r="BJ49" s="107">
        <f>$H$31*H39</f>
        <v>5.9875655556113619E-3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4.8439925754336933E-5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>
        <f>$H$31*H47</f>
        <v>6.6561618075617818E-6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6.855033303318754E-7</v>
      </c>
    </row>
    <row r="53" spans="1:62" x14ac:dyDescent="0.25">
      <c r="BH53">
        <f>BH48+1</f>
        <v>6</v>
      </c>
      <c r="BI53">
        <v>10</v>
      </c>
      <c r="BJ53" s="107">
        <f>$H$31*H49</f>
        <v>5.136432558129214E-8</v>
      </c>
    </row>
    <row r="54" spans="1:62" x14ac:dyDescent="0.25">
      <c r="BH54">
        <f>BH51+1</f>
        <v>7</v>
      </c>
      <c r="BI54">
        <v>8</v>
      </c>
      <c r="BJ54" s="107">
        <f>$H$32*H47</f>
        <v>2.1259112142891382E-6</v>
      </c>
    </row>
    <row r="55" spans="1:62" x14ac:dyDescent="0.25">
      <c r="BH55">
        <f>BH52+1</f>
        <v>7</v>
      </c>
      <c r="BI55">
        <v>9</v>
      </c>
      <c r="BJ55" s="107">
        <f>$H$32*H48</f>
        <v>2.189428772193439E-7</v>
      </c>
    </row>
    <row r="56" spans="1:62" x14ac:dyDescent="0.25">
      <c r="BH56">
        <f>BH53+1</f>
        <v>7</v>
      </c>
      <c r="BI56">
        <v>10</v>
      </c>
      <c r="BJ56" s="107">
        <f>$H$32*H49</f>
        <v>1.640524959047938E-8</v>
      </c>
    </row>
    <row r="57" spans="1:62" x14ac:dyDescent="0.25">
      <c r="BH57">
        <f>BH55+1</f>
        <v>8</v>
      </c>
      <c r="BI57">
        <v>9</v>
      </c>
      <c r="BJ57" s="107">
        <f>$H$33*H48</f>
        <v>5.3179471456559054E-8</v>
      </c>
    </row>
    <row r="58" spans="1:62" x14ac:dyDescent="0.25">
      <c r="BH58">
        <f>BH56+1</f>
        <v>8</v>
      </c>
      <c r="BI58">
        <v>10</v>
      </c>
      <c r="BJ58" s="107">
        <f>$H$33*H49</f>
        <v>3.9847037428881729E-9</v>
      </c>
    </row>
    <row r="59" spans="1:62" x14ac:dyDescent="0.25">
      <c r="BH59">
        <f t="shared" ref="BH59" si="41">BH58+1</f>
        <v>9</v>
      </c>
      <c r="BI59">
        <v>10</v>
      </c>
      <c r="BJ59" s="107">
        <f>$H$34*H49</f>
        <v>7.2674806078333605E-10</v>
      </c>
    </row>
  </sheetData>
  <mergeCells count="2">
    <mergeCell ref="P1:Q1"/>
    <mergeCell ref="B3:C3"/>
  </mergeCells>
  <conditionalFormatting sqref="V25:V35 V39:V49">
    <cfRule type="cellIs" dxfId="69" priority="14" operator="greaterThan">
      <formula>0.15</formula>
    </cfRule>
  </conditionalFormatting>
  <conditionalFormatting sqref="V35">
    <cfRule type="cellIs" dxfId="68" priority="13" operator="greaterThan">
      <formula>0.15</formula>
    </cfRule>
  </conditionalFormatting>
  <conditionalFormatting sqref="V49">
    <cfRule type="cellIs" dxfId="67" priority="12" operator="greaterThan">
      <formula>0.15</formula>
    </cfRule>
  </conditionalFormatting>
  <conditionalFormatting sqref="V25:V35 V39:V49">
    <cfRule type="cellIs" dxfId="66" priority="11" operator="greaterThan">
      <formula>0.15</formula>
    </cfRule>
  </conditionalFormatting>
  <conditionalFormatting sqref="V35">
    <cfRule type="cellIs" dxfId="65" priority="10" operator="greaterThan">
      <formula>0.15</formula>
    </cfRule>
  </conditionalFormatting>
  <conditionalFormatting sqref="V49">
    <cfRule type="cellIs" dxfId="64" priority="9" operator="greaterThan">
      <formula>0.15</formula>
    </cfRule>
  </conditionalFormatting>
  <conditionalFormatting sqref="H25:H35">
    <cfRule type="cellIs" dxfId="63" priority="8" operator="greaterThan">
      <formula>0.15</formula>
    </cfRule>
  </conditionalFormatting>
  <conditionalFormatting sqref="H35">
    <cfRule type="cellIs" dxfId="62" priority="7" operator="greaterThan">
      <formula>0.15</formula>
    </cfRule>
  </conditionalFormatting>
  <conditionalFormatting sqref="H25:H35">
    <cfRule type="cellIs" dxfId="61" priority="6" operator="greaterThan">
      <formula>0.15</formula>
    </cfRule>
  </conditionalFormatting>
  <conditionalFormatting sqref="H35">
    <cfRule type="cellIs" dxfId="60" priority="5" operator="greaterThan">
      <formula>0.15</formula>
    </cfRule>
  </conditionalFormatting>
  <conditionalFormatting sqref="H39:H49">
    <cfRule type="cellIs" dxfId="59" priority="4" operator="greaterThan">
      <formula>0.15</formula>
    </cfRule>
  </conditionalFormatting>
  <conditionalFormatting sqref="H49">
    <cfRule type="cellIs" dxfId="58" priority="3" operator="greaterThan">
      <formula>0.15</formula>
    </cfRule>
  </conditionalFormatting>
  <conditionalFormatting sqref="H39:H49">
    <cfRule type="cellIs" dxfId="57" priority="2" operator="greaterThan">
      <formula>0.15</formula>
    </cfRule>
  </conditionalFormatting>
  <conditionalFormatting sqref="H49">
    <cfRule type="cellIs" dxfId="56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R59"/>
  <sheetViews>
    <sheetView tabSelected="1" topLeftCell="F1" zoomScale="80" zoomScaleNormal="80" workbookViewId="0">
      <selection activeCell="AM13" sqref="AM13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8.42578125" bestFit="1" customWidth="1"/>
    <col min="16" max="16" width="10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8.425781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200" t="s">
        <v>142</v>
      </c>
      <c r="B1" t="s">
        <v>145</v>
      </c>
      <c r="F1" s="204" t="s">
        <v>123</v>
      </c>
      <c r="G1" s="202">
        <f>IF(D3="SI",COUNTIF($F$6:$F$18,"RAP"),0)</f>
        <v>0</v>
      </c>
      <c r="H1" s="13"/>
      <c r="J1" s="205" t="s">
        <v>123</v>
      </c>
      <c r="K1" s="202">
        <f>IF(D3="SI",COUNTIF($J$6:$J$18,"RAP"),0)</f>
        <v>0</v>
      </c>
      <c r="L1" s="13"/>
      <c r="P1" s="207"/>
      <c r="Q1" s="207"/>
      <c r="R1" s="152">
        <v>0</v>
      </c>
      <c r="S1" s="153">
        <f>1+R1</f>
        <v>1</v>
      </c>
      <c r="AI1" s="160" t="s">
        <v>152</v>
      </c>
    </row>
    <row r="2" spans="1:70" x14ac:dyDescent="0.25">
      <c r="A2" s="200" t="s">
        <v>143</v>
      </c>
      <c r="B2" t="s">
        <v>145</v>
      </c>
      <c r="F2" s="204" t="s">
        <v>21</v>
      </c>
      <c r="G2" s="202">
        <f>IF(D3="SI",COUNTIF($F$6:$F$18,"TEC"),0)</f>
        <v>0</v>
      </c>
      <c r="H2" s="13"/>
      <c r="J2" s="205" t="s">
        <v>21</v>
      </c>
      <c r="K2" s="202">
        <f>IF(D3="SI",COUNTIF($J$6:$J$18,"TEC"),0)</f>
        <v>0</v>
      </c>
      <c r="L2" s="13"/>
      <c r="M2" s="163"/>
      <c r="O2" t="s">
        <v>147</v>
      </c>
      <c r="P2" s="198" t="s">
        <v>148</v>
      </c>
      <c r="R2" s="152">
        <v>0</v>
      </c>
      <c r="S2" s="153">
        <f>1+R2</f>
        <v>1</v>
      </c>
      <c r="Y2" t="s">
        <v>147</v>
      </c>
      <c r="Z2" s="199" t="s">
        <v>148</v>
      </c>
      <c r="AI2" s="13">
        <f>IF(B17="JC",IF(C17="JC",4,3),IF(C17="JC",3,2))</f>
        <v>2</v>
      </c>
    </row>
    <row r="3" spans="1:70" x14ac:dyDescent="0.25">
      <c r="A3" s="162" t="s">
        <v>108</v>
      </c>
      <c r="B3" s="208" t="s">
        <v>116</v>
      </c>
      <c r="C3" s="208"/>
      <c r="D3" t="str">
        <f>IF(B3="Sol","SI",IF(B3="Lluvia","SI","NO"))</f>
        <v>SI</v>
      </c>
      <c r="F3" s="204" t="s">
        <v>131</v>
      </c>
      <c r="G3" s="202">
        <f>IF(D3="SI",COUNTIF($F$6:$F$18,"POT"),0)</f>
        <v>0</v>
      </c>
      <c r="H3" s="13"/>
      <c r="J3" s="205" t="s">
        <v>131</v>
      </c>
      <c r="K3" s="202">
        <f>IF(D3="SI",COUNTIF($J$6:$J$18,"POT"),0)</f>
        <v>0</v>
      </c>
      <c r="L3" s="13"/>
      <c r="O3" t="s">
        <v>132</v>
      </c>
      <c r="P3" s="198" t="s">
        <v>138</v>
      </c>
      <c r="Q3" t="s">
        <v>133</v>
      </c>
      <c r="R3" s="198" t="s">
        <v>139</v>
      </c>
      <c r="Y3" t="s">
        <v>132</v>
      </c>
      <c r="Z3" s="199" t="s">
        <v>138</v>
      </c>
      <c r="AA3" t="s">
        <v>133</v>
      </c>
      <c r="AB3" s="199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75</v>
      </c>
      <c r="R4" s="8" t="s">
        <v>70</v>
      </c>
      <c r="S4" s="8" t="s">
        <v>31</v>
      </c>
      <c r="T4" s="8" t="s">
        <v>32</v>
      </c>
      <c r="U4" s="8" t="s">
        <v>33</v>
      </c>
      <c r="V4" s="200"/>
      <c r="W4" s="125"/>
      <c r="X4" s="12" t="s">
        <v>72</v>
      </c>
      <c r="Y4" s="9" t="s">
        <v>28</v>
      </c>
      <c r="Z4" s="9" t="s">
        <v>29</v>
      </c>
      <c r="AA4" s="9" t="s">
        <v>75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AG4" s="8" t="s">
        <v>79</v>
      </c>
      <c r="AI4" s="200" t="s">
        <v>75</v>
      </c>
      <c r="AK4" s="9" t="s">
        <v>14</v>
      </c>
      <c r="AM4" s="13" t="s">
        <v>153</v>
      </c>
      <c r="BH4">
        <v>0</v>
      </c>
      <c r="BI4">
        <v>1</v>
      </c>
      <c r="BJ4" s="107" t="e">
        <f t="shared" ref="BJ4:BJ13" si="0">$H$25*H40</f>
        <v>#DIV/0!</v>
      </c>
      <c r="BL4">
        <v>0</v>
      </c>
      <c r="BM4">
        <v>0</v>
      </c>
      <c r="BN4" s="107" t="e">
        <f>H25*H39</f>
        <v>#DIV/0!</v>
      </c>
      <c r="BP4">
        <v>1</v>
      </c>
      <c r="BQ4">
        <v>0</v>
      </c>
      <c r="BR4" s="107" t="e">
        <f>$H$26*H39</f>
        <v>#DIV/0!</v>
      </c>
    </row>
    <row r="5" spans="1:70" x14ac:dyDescent="0.25">
      <c r="A5" s="40" t="s">
        <v>150</v>
      </c>
      <c r="B5" s="161">
        <v>352</v>
      </c>
      <c r="C5" s="161">
        <v>352</v>
      </c>
      <c r="E5" s="192" t="s">
        <v>15</v>
      </c>
      <c r="F5" s="167"/>
      <c r="G5" s="167">
        <v>12</v>
      </c>
      <c r="H5" s="10"/>
      <c r="I5" s="10"/>
      <c r="J5" s="166"/>
      <c r="K5" s="166">
        <v>12</v>
      </c>
      <c r="L5" s="10"/>
      <c r="M5" s="10"/>
      <c r="O5" s="67">
        <f>COUNTIF(F5:F10,"IMP")*AI5*AG5</f>
        <v>0</v>
      </c>
      <c r="P5" s="196" t="str">
        <f>P3</f>
        <v>0,6</v>
      </c>
      <c r="Q5" s="16">
        <f>P5*O5</f>
        <v>0</v>
      </c>
      <c r="R5" s="157" t="e">
        <f>IF($M$2="SI",Q5*$B$22/0.5*$S$1,Q5*$B$22/0.5*$S$2)</f>
        <v>#DIV/0!</v>
      </c>
      <c r="S5" s="176" t="e">
        <f>(1-R5)</f>
        <v>#DIV/0!</v>
      </c>
      <c r="T5" s="177" t="e">
        <f>R5*PRODUCT(S6:S19)</f>
        <v>#DIV/0!</v>
      </c>
      <c r="U5" s="177" t="e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#DIV/0!</v>
      </c>
      <c r="V5" s="18"/>
      <c r="W5" s="186" t="s">
        <v>36</v>
      </c>
      <c r="X5" s="15" t="s">
        <v>37</v>
      </c>
      <c r="Y5" s="69">
        <f>COUNTIF(J5:J10,"IMP")*AI5*AK5</f>
        <v>0</v>
      </c>
      <c r="Z5" s="197" t="str">
        <f>Z3</f>
        <v>0,6</v>
      </c>
      <c r="AA5" s="19">
        <f>Z5*Y5</f>
        <v>0</v>
      </c>
      <c r="AB5" s="157" t="e">
        <f>IF($M$2="SI",AA5*$C$22/0.5*$S$1,AA5*$C$22/0.5*$S$2)</f>
        <v>#DIV/0!</v>
      </c>
      <c r="AC5" s="176" t="e">
        <f>(1-AB5)</f>
        <v>#DIV/0!</v>
      </c>
      <c r="AD5" s="177" t="e">
        <f>AB5*PRODUCT(AC6:AC19)</f>
        <v>#DIV/0!</v>
      </c>
      <c r="AE5" s="177" t="e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#DIV/0!</v>
      </c>
      <c r="AF5" s="18"/>
      <c r="AG5" s="203">
        <f>IF(COUNTIF(F5:F10,"IMP")+COUNTIF(J5:J10,"IMP")=0,0,COUNTIF(F5:F10,"IMP")/(COUNTIF(F5:F10,"IMP")+COUNTIF(J5:J10,"IMP")))</f>
        <v>0</v>
      </c>
      <c r="AI5" s="201">
        <f>IF(AN5=0,(AM5*2*$AI$2/2)+SUM($AN$5:$AN$19),0)</f>
        <v>0</v>
      </c>
      <c r="AK5" s="203">
        <f>IF(COUNTIF(F5:F10,"IMP")+COUNTIF(J5:J10,"IMP")=0,0,COUNTIF(J5:J10,"IMP")/(COUNTIF(F5:F10,"IMP")+COUNTIF(J5:J10,"IMP")))</f>
        <v>0</v>
      </c>
      <c r="AM5" s="13">
        <v>0.05</v>
      </c>
      <c r="AN5">
        <f>IF(AK5+AG5=0,AM5*2/10,0)</f>
        <v>0.01</v>
      </c>
      <c r="BH5">
        <v>0</v>
      </c>
      <c r="BI5">
        <v>2</v>
      </c>
      <c r="BJ5" s="107" t="e">
        <f t="shared" si="0"/>
        <v>#DIV/0!</v>
      </c>
      <c r="BL5">
        <v>1</v>
      </c>
      <c r="BM5">
        <v>1</v>
      </c>
      <c r="BN5" s="107" t="e">
        <f>$H$26*H40</f>
        <v>#DIV/0!</v>
      </c>
      <c r="BP5">
        <f>BP4+1</f>
        <v>2</v>
      </c>
      <c r="BQ5">
        <v>0</v>
      </c>
      <c r="BR5" s="107" t="e">
        <f>$H$27*H39</f>
        <v>#DIV/0!</v>
      </c>
    </row>
    <row r="6" spans="1:70" x14ac:dyDescent="0.25">
      <c r="A6" s="2" t="s">
        <v>1</v>
      </c>
      <c r="B6" s="168"/>
      <c r="C6" s="169"/>
      <c r="E6" s="192" t="s">
        <v>17</v>
      </c>
      <c r="F6" s="167"/>
      <c r="G6" s="167"/>
      <c r="H6" s="10"/>
      <c r="I6" s="10"/>
      <c r="J6" s="166"/>
      <c r="K6" s="166"/>
      <c r="L6" s="10"/>
      <c r="M6" s="10"/>
      <c r="O6" s="67">
        <f>COUNTIF(F11:F18,"IMP")*AI6*AG6</f>
        <v>0</v>
      </c>
      <c r="P6" s="196" t="str">
        <f>P3</f>
        <v>0,6</v>
      </c>
      <c r="Q6" s="16">
        <f t="shared" ref="Q6:Q19" si="1">P6*O6</f>
        <v>0</v>
      </c>
      <c r="R6" s="157" t="e">
        <f>IF($M$2="SI",Q6*$B$22/0.5*$S$1,Q6*$B$22/0.5*$S$2)</f>
        <v>#DIV/0!</v>
      </c>
      <c r="S6" s="176" t="e">
        <f t="shared" ref="S6:S19" si="2">(1-R6)</f>
        <v>#DIV/0!</v>
      </c>
      <c r="T6" s="177" t="e">
        <f>R6*S5*PRODUCT(S7:S19)</f>
        <v>#DIV/0!</v>
      </c>
      <c r="U6" s="177" t="e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#DIV/0!</v>
      </c>
      <c r="V6" s="18"/>
      <c r="W6" s="186" t="s">
        <v>38</v>
      </c>
      <c r="X6" s="15" t="s">
        <v>39</v>
      </c>
      <c r="Y6" s="69">
        <f>COUNTIF(J11:J18,"IMP")*AI6*AK6</f>
        <v>0</v>
      </c>
      <c r="Z6" s="197" t="str">
        <f>Z3</f>
        <v>0,6</v>
      </c>
      <c r="AA6" s="19">
        <f t="shared" ref="AA6:AA19" si="3">Z6*Y6</f>
        <v>0</v>
      </c>
      <c r="AB6" s="157" t="e">
        <f t="shared" ref="AB6:AB19" si="4">IF($M$2="SI",AA6*$C$22/0.5*$S$1,AA6*$C$22/0.5*$S$2)</f>
        <v>#DIV/0!</v>
      </c>
      <c r="AC6" s="176" t="e">
        <f t="shared" ref="AC6:AC19" si="5">(1-AB6)</f>
        <v>#DIV/0!</v>
      </c>
      <c r="AD6" s="177" t="e">
        <f>AB6*AC5*PRODUCT(AC7:AC19)</f>
        <v>#DIV/0!</v>
      </c>
      <c r="AE6" s="177" t="e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#DIV/0!</v>
      </c>
      <c r="AF6" s="18"/>
      <c r="AG6" s="203">
        <f>IF(COUNTIF(F11:F18,"IMP")+COUNTIF(J11:J18,"IMP")=0,0,COUNTIF(F11:F18,"IMP")/(COUNTIF(F11:F18,"IMP")+COUNTIF(J11:J18,"IMP")))</f>
        <v>0</v>
      </c>
      <c r="AI6" s="201">
        <f t="shared" ref="AI6:AI19" si="6">IF(AN6=0,(AM6*2*$AI$2/2)+SUM($AN$5:$AN$19),0)</f>
        <v>0</v>
      </c>
      <c r="AK6" s="203">
        <f>IF(COUNTIF(F11:F18,"IMP")+COUNTIF(J11:J18,"IMP")=0,0,COUNTIF(J11:J18,"IMP")/(COUNTIF(F11:F18,"IMP")+COUNTIF(J11:J18,"IMP")))</f>
        <v>0</v>
      </c>
      <c r="AM6" s="13">
        <v>0.05</v>
      </c>
      <c r="AN6">
        <f t="shared" ref="AN6:AN19" si="7">IF(AK6+AG6=0,AM6*2/10,0)</f>
        <v>0.01</v>
      </c>
      <c r="BH6">
        <v>0</v>
      </c>
      <c r="BI6">
        <v>3</v>
      </c>
      <c r="BJ6" s="107" t="e">
        <f t="shared" si="0"/>
        <v>#DIV/0!</v>
      </c>
      <c r="BL6">
        <f>BH14+1</f>
        <v>2</v>
      </c>
      <c r="BM6">
        <v>2</v>
      </c>
      <c r="BN6" s="107" t="e">
        <f>$H$27*H41</f>
        <v>#DIV/0!</v>
      </c>
      <c r="BP6">
        <f>BL5+1</f>
        <v>2</v>
      </c>
      <c r="BQ6">
        <v>1</v>
      </c>
      <c r="BR6" s="107" t="e">
        <f>$H$27*H40</f>
        <v>#DIV/0!</v>
      </c>
    </row>
    <row r="7" spans="1:70" x14ac:dyDescent="0.25">
      <c r="A7" s="5" t="s">
        <v>2</v>
      </c>
      <c r="B7" s="168"/>
      <c r="C7" s="169"/>
      <c r="E7" s="192" t="s">
        <v>18</v>
      </c>
      <c r="F7" s="167"/>
      <c r="G7" s="167"/>
      <c r="H7" s="10"/>
      <c r="I7" s="10"/>
      <c r="J7" s="166"/>
      <c r="K7" s="166"/>
      <c r="L7" s="10"/>
      <c r="M7" s="10"/>
      <c r="O7" s="67"/>
      <c r="P7" s="196">
        <f>B30</f>
        <v>0.15</v>
      </c>
      <c r="Q7" s="16">
        <f t="shared" si="1"/>
        <v>0</v>
      </c>
      <c r="R7" s="157" t="e">
        <f t="shared" ref="R7:R19" si="8">IF($M$2="SI",Q7*$B$22/0.5*$S$1,Q7*$B$22/0.5*$S$2)</f>
        <v>#DIV/0!</v>
      </c>
      <c r="S7" s="176" t="e">
        <f t="shared" si="2"/>
        <v>#DIV/0!</v>
      </c>
      <c r="T7" s="177" t="e">
        <f>R7*PRODUCT(S5:S6)*PRODUCT(S8:S19)</f>
        <v>#DIV/0!</v>
      </c>
      <c r="U7" s="177" t="e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#DIV/0!</v>
      </c>
      <c r="W7" s="186" t="s">
        <v>40</v>
      </c>
      <c r="X7" s="15" t="s">
        <v>41</v>
      </c>
      <c r="Y7" s="69"/>
      <c r="Z7" s="197">
        <f>C30</f>
        <v>0.15</v>
      </c>
      <c r="AA7" s="19">
        <f t="shared" si="3"/>
        <v>0</v>
      </c>
      <c r="AB7" s="157" t="e">
        <f t="shared" si="4"/>
        <v>#DIV/0!</v>
      </c>
      <c r="AC7" s="176" t="e">
        <f t="shared" si="5"/>
        <v>#DIV/0!</v>
      </c>
      <c r="AD7" s="177" t="e">
        <f>AB7*PRODUCT(AC5:AC6)*PRODUCT(AC8:AC19)</f>
        <v>#DIV/0!</v>
      </c>
      <c r="AE7" s="177" t="e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#DIV/0!</v>
      </c>
      <c r="AG7" s="13"/>
      <c r="AI7" s="201"/>
      <c r="AK7" s="13"/>
      <c r="AM7" s="13">
        <v>0</v>
      </c>
      <c r="BH7">
        <v>0</v>
      </c>
      <c r="BI7">
        <v>4</v>
      </c>
      <c r="BJ7" s="107" t="e">
        <f t="shared" si="0"/>
        <v>#DIV/0!</v>
      </c>
      <c r="BL7">
        <f>BH23+1</f>
        <v>3</v>
      </c>
      <c r="BM7">
        <v>3</v>
      </c>
      <c r="BN7" s="107" t="e">
        <f>$H$28*H42</f>
        <v>#DIV/0!</v>
      </c>
      <c r="BP7">
        <f>BP5+1</f>
        <v>3</v>
      </c>
      <c r="BQ7">
        <v>0</v>
      </c>
      <c r="BR7" s="107" t="e">
        <f>$H$28*H39</f>
        <v>#DIV/0!</v>
      </c>
    </row>
    <row r="8" spans="1:70" x14ac:dyDescent="0.25">
      <c r="A8" s="5" t="s">
        <v>3</v>
      </c>
      <c r="B8" s="168"/>
      <c r="C8" s="169"/>
      <c r="E8" s="192" t="s">
        <v>18</v>
      </c>
      <c r="F8" s="167"/>
      <c r="G8" s="167"/>
      <c r="H8" s="10"/>
      <c r="I8" s="10"/>
      <c r="J8" s="166"/>
      <c r="K8" s="166"/>
      <c r="L8" s="10"/>
      <c r="M8" s="10"/>
      <c r="O8" s="67">
        <f>COUNTIF(F6:F18,"IMP")*AI8*AG8</f>
        <v>0</v>
      </c>
      <c r="P8" s="196" t="str">
        <f>P3</f>
        <v>0,6</v>
      </c>
      <c r="Q8" s="16">
        <f t="shared" si="1"/>
        <v>0</v>
      </c>
      <c r="R8" s="157" t="e">
        <f t="shared" si="8"/>
        <v>#DIV/0!</v>
      </c>
      <c r="S8" s="176" t="e">
        <f t="shared" si="2"/>
        <v>#DIV/0!</v>
      </c>
      <c r="T8" s="177" t="e">
        <f>R8*PRODUCT(S5:S7)*PRODUCT(S9:S19)</f>
        <v>#DIV/0!</v>
      </c>
      <c r="U8" s="177" t="e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#DIV/0!</v>
      </c>
      <c r="W8" s="186" t="s">
        <v>42</v>
      </c>
      <c r="X8" s="15" t="s">
        <v>43</v>
      </c>
      <c r="Y8" s="69">
        <f>COUNTIF(J6:J18,"IMP")*AI8*AK8</f>
        <v>0</v>
      </c>
      <c r="Z8" s="197" t="str">
        <f>Z3</f>
        <v>0,6</v>
      </c>
      <c r="AA8" s="19">
        <f t="shared" si="3"/>
        <v>0</v>
      </c>
      <c r="AB8" s="157" t="e">
        <f t="shared" si="4"/>
        <v>#DIV/0!</v>
      </c>
      <c r="AC8" s="176" t="e">
        <f t="shared" si="5"/>
        <v>#DIV/0!</v>
      </c>
      <c r="AD8" s="177" t="e">
        <f>AB8*PRODUCT(AC5:AC7)*PRODUCT(AC9:AC19)</f>
        <v>#DIV/0!</v>
      </c>
      <c r="AE8" s="177" t="e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#DIV/0!</v>
      </c>
      <c r="AG8" s="203">
        <f>IF(COUNTIF(F6:F18,"IMP")+COUNTIF(J6:J18,"IMP")=0,0,COUNTIF(F6:F18,"IMP")/(COUNTIF(F6:F18,"IMP")+COUNTIF(J6:J18,"IMP")))</f>
        <v>0</v>
      </c>
      <c r="AI8" s="201">
        <f t="shared" si="6"/>
        <v>0</v>
      </c>
      <c r="AK8" s="203">
        <f>IF(COUNTIF(F6:F18,"IMP")+COUNTIF(J6:J18,"IMP")=0,0,COUNTIF(J6:J18,"IMP")/(COUNTIF(F6:F18,"IMP")+COUNTIF(J6:J18,"IMP")))</f>
        <v>0</v>
      </c>
      <c r="AM8" s="13">
        <v>0.05</v>
      </c>
      <c r="AN8">
        <f t="shared" si="7"/>
        <v>0.01</v>
      </c>
      <c r="BH8">
        <v>0</v>
      </c>
      <c r="BI8">
        <v>5</v>
      </c>
      <c r="BJ8" s="107" t="e">
        <f t="shared" si="0"/>
        <v>#DIV/0!</v>
      </c>
      <c r="BL8">
        <f>BH31+1</f>
        <v>4</v>
      </c>
      <c r="BM8">
        <v>4</v>
      </c>
      <c r="BN8" s="107" t="e">
        <f>$H$29*H43</f>
        <v>#DIV/0!</v>
      </c>
      <c r="BP8">
        <f>BP6+1</f>
        <v>3</v>
      </c>
      <c r="BQ8">
        <v>1</v>
      </c>
      <c r="BR8" s="107" t="e">
        <f>$H$28*H40</f>
        <v>#DIV/0!</v>
      </c>
    </row>
    <row r="9" spans="1:70" x14ac:dyDescent="0.25">
      <c r="A9" s="5" t="s">
        <v>4</v>
      </c>
      <c r="B9" s="168"/>
      <c r="C9" s="169"/>
      <c r="E9" s="192" t="s">
        <v>18</v>
      </c>
      <c r="F9" s="167"/>
      <c r="G9" s="167"/>
      <c r="H9" s="10"/>
      <c r="I9" s="10"/>
      <c r="J9" s="166"/>
      <c r="K9" s="166"/>
      <c r="L9" s="10"/>
      <c r="M9" s="10"/>
      <c r="O9" s="67">
        <f>COUNTIF(J6:J13,"IMP")*AI9*AG9</f>
        <v>0</v>
      </c>
      <c r="P9" s="196" t="str">
        <f>Z3</f>
        <v>0,6</v>
      </c>
      <c r="Q9" s="16">
        <f t="shared" si="1"/>
        <v>0</v>
      </c>
      <c r="R9" s="157" t="e">
        <f t="shared" si="8"/>
        <v>#DIV/0!</v>
      </c>
      <c r="S9" s="176" t="e">
        <f t="shared" si="2"/>
        <v>#DIV/0!</v>
      </c>
      <c r="T9" s="177" t="e">
        <f>R9*PRODUCT(S5:S8)*PRODUCT(S10:S19)</f>
        <v>#DIV/0!</v>
      </c>
      <c r="U9" s="177" t="e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#DIV/0!</v>
      </c>
      <c r="W9" s="187" t="s">
        <v>44</v>
      </c>
      <c r="X9" s="15" t="s">
        <v>45</v>
      </c>
      <c r="Y9" s="69">
        <f>COUNTIF(F6:F13,"IMP")*AI9*AK9</f>
        <v>0</v>
      </c>
      <c r="Z9" s="197" t="str">
        <f>P3</f>
        <v>0,6</v>
      </c>
      <c r="AA9" s="19">
        <f t="shared" si="3"/>
        <v>0</v>
      </c>
      <c r="AB9" s="157" t="e">
        <f t="shared" si="4"/>
        <v>#DIV/0!</v>
      </c>
      <c r="AC9" s="176" t="e">
        <f t="shared" si="5"/>
        <v>#DIV/0!</v>
      </c>
      <c r="AD9" s="177" t="e">
        <f>AB9*PRODUCT(AC5:AC8)*PRODUCT(AC10:AC19)</f>
        <v>#DIV/0!</v>
      </c>
      <c r="AE9" s="177" t="e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#DIV/0!</v>
      </c>
      <c r="AG9" s="203">
        <f>IF(COUNTIF(J6:J13,"IMP")+COUNTIF(F6:F13,"IMP")=0,0,COUNTIF(J6:J13,"IMP")/(COUNTIF(J6:J13,"IMP")+COUNTIF(F6:F13,"IMP")))</f>
        <v>0</v>
      </c>
      <c r="AI9" s="201">
        <f t="shared" si="6"/>
        <v>0</v>
      </c>
      <c r="AK9" s="203">
        <f>IF(COUNTIF(J6:J13,"IMP")+COUNTIF(F6:F13,"IMP")=0,0,COUNTIF(F6:F13,"IMP")/(COUNTIF(J6:J13,"IMP")+COUNTIF(F6:F13,"IMP")))</f>
        <v>0</v>
      </c>
      <c r="AM9" s="13">
        <v>2.5000000000000001E-2</v>
      </c>
      <c r="AN9">
        <f t="shared" si="7"/>
        <v>5.0000000000000001E-3</v>
      </c>
      <c r="BH9">
        <v>0</v>
      </c>
      <c r="BI9">
        <v>6</v>
      </c>
      <c r="BJ9" s="107" t="e">
        <f t="shared" si="0"/>
        <v>#DIV/0!</v>
      </c>
      <c r="BL9">
        <f>BH38+1</f>
        <v>5</v>
      </c>
      <c r="BM9">
        <v>5</v>
      </c>
      <c r="BN9" s="107" t="e">
        <f>$H$30*H44</f>
        <v>#DIV/0!</v>
      </c>
      <c r="BP9">
        <f>BL6+1</f>
        <v>3</v>
      </c>
      <c r="BQ9">
        <v>2</v>
      </c>
      <c r="BR9" s="107" t="e">
        <f>$H$28*H41</f>
        <v>#DIV/0!</v>
      </c>
    </row>
    <row r="10" spans="1:70" x14ac:dyDescent="0.25">
      <c r="A10" s="6" t="s">
        <v>5</v>
      </c>
      <c r="B10" s="168"/>
      <c r="C10" s="169"/>
      <c r="E10" s="192" t="s">
        <v>17</v>
      </c>
      <c r="F10" s="167"/>
      <c r="G10" s="167"/>
      <c r="H10" s="10"/>
      <c r="I10" s="10"/>
      <c r="J10" s="166"/>
      <c r="K10" s="166"/>
      <c r="L10" s="10"/>
      <c r="M10" s="10"/>
      <c r="O10" s="67">
        <f>COUNTIF(F11:F18,"RAP")*AI10*AG10</f>
        <v>0</v>
      </c>
      <c r="P10" s="196" t="str">
        <f>R3</f>
        <v>0,72</v>
      </c>
      <c r="Q10" s="16">
        <f t="shared" si="1"/>
        <v>0</v>
      </c>
      <c r="R10" s="157" t="e">
        <f t="shared" si="8"/>
        <v>#DIV/0!</v>
      </c>
      <c r="S10" s="176" t="e">
        <f t="shared" si="2"/>
        <v>#DIV/0!</v>
      </c>
      <c r="T10" s="177" t="e">
        <f>R10*PRODUCT(S5:S9)*PRODUCT(S11:S19)</f>
        <v>#DIV/0!</v>
      </c>
      <c r="U10" s="177" t="e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#DIV/0!</v>
      </c>
      <c r="W10" s="186" t="s">
        <v>46</v>
      </c>
      <c r="X10" s="15" t="s">
        <v>47</v>
      </c>
      <c r="Y10" s="69">
        <f>COUNTIF(J11:J18,"RAP")*AI10*AK10</f>
        <v>0</v>
      </c>
      <c r="Z10" s="197" t="str">
        <f>AB3</f>
        <v>0,72</v>
      </c>
      <c r="AA10" s="19">
        <f t="shared" si="3"/>
        <v>0</v>
      </c>
      <c r="AB10" s="157" t="e">
        <f t="shared" si="4"/>
        <v>#DIV/0!</v>
      </c>
      <c r="AC10" s="176" t="e">
        <f t="shared" si="5"/>
        <v>#DIV/0!</v>
      </c>
      <c r="AD10" s="177" t="e">
        <f>AB10*PRODUCT(AC5:AC9)*PRODUCT(AC11:AC19)</f>
        <v>#DIV/0!</v>
      </c>
      <c r="AE10" s="177" t="e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#DIV/0!</v>
      </c>
      <c r="AG10" s="203">
        <f>IF(COUNTIF(F11:F18,"RAP")+COUNTIF(J11:J18,"RAP")=0,0,COUNTIF(F11:F18,"RAP")/(COUNTIF(F11:F18,"RAP")+COUNTIF(J11:J18,"RAP")))</f>
        <v>0</v>
      </c>
      <c r="AI10" s="201">
        <f t="shared" si="6"/>
        <v>0</v>
      </c>
      <c r="AK10" s="203">
        <f>IF(COUNTIF(F11:F18,"RAP")+COUNTIF(J11:J18,"RAP")=0,0,COUNTIF(J11:J18,"RAP")/(COUNTIF(F11:F18,"RAP")+COUNTIF(J11:J18,"RAP")))</f>
        <v>0</v>
      </c>
      <c r="AM10" s="13">
        <v>0.05</v>
      </c>
      <c r="AN10">
        <f t="shared" si="7"/>
        <v>0.01</v>
      </c>
      <c r="BH10">
        <v>0</v>
      </c>
      <c r="BI10">
        <v>7</v>
      </c>
      <c r="BJ10" s="107" t="e">
        <f t="shared" si="0"/>
        <v>#DIV/0!</v>
      </c>
      <c r="BL10">
        <f>BH44+1</f>
        <v>6</v>
      </c>
      <c r="BM10">
        <v>6</v>
      </c>
      <c r="BN10" s="107" t="e">
        <f>$H$31*H45</f>
        <v>#DIV/0!</v>
      </c>
      <c r="BP10">
        <f>BP7+1</f>
        <v>4</v>
      </c>
      <c r="BQ10">
        <v>0</v>
      </c>
      <c r="BR10" s="107" t="e">
        <f>$H$29*H39</f>
        <v>#DIV/0!</v>
      </c>
    </row>
    <row r="11" spans="1:70" x14ac:dyDescent="0.25">
      <c r="A11" s="6" t="s">
        <v>6</v>
      </c>
      <c r="B11" s="168"/>
      <c r="C11" s="169"/>
      <c r="E11" s="192" t="s">
        <v>19</v>
      </c>
      <c r="F11" s="167"/>
      <c r="G11" s="167"/>
      <c r="H11" s="10"/>
      <c r="I11" s="10"/>
      <c r="J11" s="166"/>
      <c r="K11" s="166"/>
      <c r="L11" s="10"/>
      <c r="M11" s="10"/>
      <c r="O11" s="67">
        <f>COUNTIF(F11:F18,"RAP")*AI11*AG11</f>
        <v>0</v>
      </c>
      <c r="P11" s="196" t="str">
        <f>R3</f>
        <v>0,72</v>
      </c>
      <c r="Q11" s="16">
        <f t="shared" si="1"/>
        <v>0</v>
      </c>
      <c r="R11" s="157" t="e">
        <f t="shared" si="8"/>
        <v>#DIV/0!</v>
      </c>
      <c r="S11" s="176" t="e">
        <f t="shared" si="2"/>
        <v>#DIV/0!</v>
      </c>
      <c r="T11" s="177" t="e">
        <f>R11*PRODUCT(S5:S10)*PRODUCT(S12:S19)</f>
        <v>#DIV/0!</v>
      </c>
      <c r="U11" s="177" t="e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#DIV/0!</v>
      </c>
      <c r="W11" s="186" t="s">
        <v>48</v>
      </c>
      <c r="X11" s="15" t="s">
        <v>49</v>
      </c>
      <c r="Y11" s="69">
        <f>COUNTIF(J11:J18,"RAP")*AI11*AK11</f>
        <v>0</v>
      </c>
      <c r="Z11" s="197" t="str">
        <f>AB3</f>
        <v>0,72</v>
      </c>
      <c r="AA11" s="19">
        <f t="shared" si="3"/>
        <v>0</v>
      </c>
      <c r="AB11" s="157" t="e">
        <f t="shared" si="4"/>
        <v>#DIV/0!</v>
      </c>
      <c r="AC11" s="176" t="e">
        <f t="shared" si="5"/>
        <v>#DIV/0!</v>
      </c>
      <c r="AD11" s="177" t="e">
        <f>AB11*PRODUCT(AC5:AC10)*PRODUCT(AC12:AC19)</f>
        <v>#DIV/0!</v>
      </c>
      <c r="AE11" s="177" t="e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#DIV/0!</v>
      </c>
      <c r="AG11" s="203">
        <f>IF(COUNTIF(F11:F18,"RAP")+COUNTIF(J11:J18,"RAP")=0,0,COUNTIF(F11:F18,"RAP")/(COUNTIF(F11:F18,"RAP")+COUNTIF(J11:J18,"RAP")))</f>
        <v>0</v>
      </c>
      <c r="AI11" s="201">
        <f t="shared" si="6"/>
        <v>0</v>
      </c>
      <c r="AK11" s="203">
        <f>IF(COUNTIF(F11:F18,"RAP")+COUNTIF(J11:J18,"RAP")=0,0,COUNTIF(J11:J18,"RAP")/(COUNTIF(F11:F18,"RAP")+COUNTIF(J11:J18,"RAP")))</f>
        <v>0</v>
      </c>
      <c r="AM11" s="13">
        <v>0.05</v>
      </c>
      <c r="AN11">
        <f t="shared" si="7"/>
        <v>0.01</v>
      </c>
      <c r="BH11">
        <v>0</v>
      </c>
      <c r="BI11">
        <v>8</v>
      </c>
      <c r="BJ11" s="107" t="e">
        <f t="shared" si="0"/>
        <v>#DIV/0!</v>
      </c>
      <c r="BL11">
        <f>BH50+1</f>
        <v>7</v>
      </c>
      <c r="BM11">
        <v>7</v>
      </c>
      <c r="BN11" s="107" t="e">
        <f>$H$32*H46</f>
        <v>#DIV/0!</v>
      </c>
      <c r="BP11">
        <f>BP8+1</f>
        <v>4</v>
      </c>
      <c r="BQ11">
        <v>1</v>
      </c>
      <c r="BR11" s="107" t="e">
        <f>$H$29*H40</f>
        <v>#DIV/0!</v>
      </c>
    </row>
    <row r="12" spans="1:70" x14ac:dyDescent="0.25">
      <c r="A12" s="6" t="s">
        <v>7</v>
      </c>
      <c r="B12" s="168"/>
      <c r="C12" s="169"/>
      <c r="E12" s="192" t="s">
        <v>19</v>
      </c>
      <c r="F12" s="167"/>
      <c r="G12" s="167"/>
      <c r="H12" s="10"/>
      <c r="I12" s="10"/>
      <c r="J12" s="166"/>
      <c r="K12" s="166"/>
      <c r="L12" s="10"/>
      <c r="M12" s="10"/>
      <c r="O12" s="67"/>
      <c r="P12" s="196">
        <v>0.5</v>
      </c>
      <c r="Q12" s="16">
        <f t="shared" si="1"/>
        <v>0</v>
      </c>
      <c r="R12" s="157" t="e">
        <f t="shared" si="8"/>
        <v>#DIV/0!</v>
      </c>
      <c r="S12" s="176" t="e">
        <f t="shared" si="2"/>
        <v>#DIV/0!</v>
      </c>
      <c r="T12" s="177" t="e">
        <f>R12*PRODUCT(S5:S11)*PRODUCT(S13:S19)</f>
        <v>#DIV/0!</v>
      </c>
      <c r="U12" s="177" t="e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#DIV/0!</v>
      </c>
      <c r="W12" s="187" t="s">
        <v>50</v>
      </c>
      <c r="X12" s="15" t="s">
        <v>51</v>
      </c>
      <c r="Y12" s="69"/>
      <c r="Z12" s="197">
        <v>0.5</v>
      </c>
      <c r="AA12" s="19">
        <f t="shared" si="3"/>
        <v>0</v>
      </c>
      <c r="AB12" s="157" t="e">
        <f t="shared" si="4"/>
        <v>#DIV/0!</v>
      </c>
      <c r="AC12" s="176" t="e">
        <f t="shared" si="5"/>
        <v>#DIV/0!</v>
      </c>
      <c r="AD12" s="177" t="e">
        <f>AB12*PRODUCT(AC5:AC11)*PRODUCT(AC13:AC19)</f>
        <v>#DIV/0!</v>
      </c>
      <c r="AE12" s="177" t="e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#DIV/0!</v>
      </c>
      <c r="AG12" s="13"/>
      <c r="AI12" s="201"/>
      <c r="AK12" s="13"/>
      <c r="AM12" s="13">
        <v>0</v>
      </c>
      <c r="BH12">
        <v>0</v>
      </c>
      <c r="BI12">
        <v>9</v>
      </c>
      <c r="BJ12" s="107" t="e">
        <f t="shared" si="0"/>
        <v>#DIV/0!</v>
      </c>
      <c r="BL12">
        <f>BH54+1</f>
        <v>8</v>
      </c>
      <c r="BM12">
        <v>8</v>
      </c>
      <c r="BN12" s="107" t="e">
        <f>$H$33*H47</f>
        <v>#DIV/0!</v>
      </c>
      <c r="BP12">
        <f>BP9+1</f>
        <v>4</v>
      </c>
      <c r="BQ12">
        <v>2</v>
      </c>
      <c r="BR12" s="107" t="e">
        <f>$H$29*H41</f>
        <v>#DIV/0!</v>
      </c>
    </row>
    <row r="13" spans="1:70" x14ac:dyDescent="0.25">
      <c r="A13" s="7" t="s">
        <v>8</v>
      </c>
      <c r="B13" s="168">
        <v>3</v>
      </c>
      <c r="C13" s="169">
        <v>12.5</v>
      </c>
      <c r="E13" s="192" t="s">
        <v>19</v>
      </c>
      <c r="F13" s="167"/>
      <c r="G13" s="167"/>
      <c r="H13" s="10"/>
      <c r="I13" s="10"/>
      <c r="J13" s="166"/>
      <c r="K13" s="166"/>
      <c r="L13" s="10"/>
      <c r="M13" s="10"/>
      <c r="O13" s="67" t="e">
        <f>AI13*B22/0.5</f>
        <v>#DIV/0!</v>
      </c>
      <c r="P13" s="196" t="str">
        <f>P2</f>
        <v>0,4</v>
      </c>
      <c r="Q13" s="16" t="e">
        <f t="shared" si="1"/>
        <v>#DIV/0!</v>
      </c>
      <c r="R13" s="157" t="e">
        <f t="shared" si="8"/>
        <v>#DIV/0!</v>
      </c>
      <c r="S13" s="176" t="e">
        <f t="shared" si="2"/>
        <v>#DIV/0!</v>
      </c>
      <c r="T13" s="177" t="e">
        <f>R13*PRODUCT(S5:S12)*PRODUCT(S14:S19)</f>
        <v>#DIV/0!</v>
      </c>
      <c r="U13" s="177" t="e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#DIV/0!</v>
      </c>
      <c r="W13" s="186" t="s">
        <v>52</v>
      </c>
      <c r="X13" s="15" t="s">
        <v>53</v>
      </c>
      <c r="Y13" s="69" t="e">
        <f>AI13*C22/0.5</f>
        <v>#DIV/0!</v>
      </c>
      <c r="Z13" s="197" t="str">
        <f>Z2</f>
        <v>0,4</v>
      </c>
      <c r="AA13" s="19" t="e">
        <f t="shared" si="3"/>
        <v>#DIV/0!</v>
      </c>
      <c r="AB13" s="157" t="e">
        <f t="shared" si="4"/>
        <v>#DIV/0!</v>
      </c>
      <c r="AC13" s="176" t="e">
        <f t="shared" si="5"/>
        <v>#DIV/0!</v>
      </c>
      <c r="AD13" s="177" t="e">
        <f>AB13*PRODUCT(AC5:AC12)*PRODUCT(AC14:AC19)</f>
        <v>#DIV/0!</v>
      </c>
      <c r="AE13" s="177" t="e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#DIV/0!</v>
      </c>
      <c r="AG13" s="13"/>
      <c r="AI13" s="201">
        <f>(AM13*$AI$2/2)+SUM($AN$5:$AN$19)</f>
        <v>0.32800000000000001</v>
      </c>
      <c r="AK13" s="13"/>
      <c r="AM13" s="13">
        <v>0.22</v>
      </c>
      <c r="BH13">
        <v>0</v>
      </c>
      <c r="BI13">
        <v>10</v>
      </c>
      <c r="BJ13" s="107" t="e">
        <f t="shared" si="0"/>
        <v>#DIV/0!</v>
      </c>
      <c r="BL13">
        <f>BH57+1</f>
        <v>9</v>
      </c>
      <c r="BM13">
        <v>9</v>
      </c>
      <c r="BN13" s="107" t="e">
        <f>$H$34*H48</f>
        <v>#DIV/0!</v>
      </c>
      <c r="BP13">
        <f>BL7+1</f>
        <v>4</v>
      </c>
      <c r="BQ13">
        <v>3</v>
      </c>
      <c r="BR13" s="107" t="e">
        <f>$H$29*H42</f>
        <v>#DIV/0!</v>
      </c>
    </row>
    <row r="14" spans="1:70" x14ac:dyDescent="0.25">
      <c r="A14" s="7" t="s">
        <v>9</v>
      </c>
      <c r="B14" s="168">
        <v>3</v>
      </c>
      <c r="C14" s="169">
        <v>10.75</v>
      </c>
      <c r="E14" s="192" t="s">
        <v>20</v>
      </c>
      <c r="F14" s="167"/>
      <c r="G14" s="167"/>
      <c r="H14" s="10"/>
      <c r="I14" s="10"/>
      <c r="J14" s="166"/>
      <c r="K14" s="166"/>
      <c r="L14" s="10"/>
      <c r="M14" s="10"/>
      <c r="O14" s="67">
        <f>IF(COUNTIF(F6:F18,"CAB")&gt;0,AI14*B22/0.5,0)</f>
        <v>0</v>
      </c>
      <c r="P14" s="196">
        <f>IF(COUNTIF(F6:F18,"CAB")-COUNTIF(J6:J18,"CAB")&gt;3,0.8,IF(COUNTIF(F6:F18,"CAB")-COUNTIF(J6:J18,"CAB")&gt;0,0.6,IF(COUNTIF(F6:F18,"CAB")-COUNTIF(J6:J18,"CAB")=0,0.4,0.15)))</f>
        <v>0.4</v>
      </c>
      <c r="Q14" s="16">
        <f t="shared" si="1"/>
        <v>0</v>
      </c>
      <c r="R14" s="157" t="e">
        <f t="shared" si="8"/>
        <v>#DIV/0!</v>
      </c>
      <c r="S14" s="176" t="e">
        <f t="shared" si="2"/>
        <v>#DIV/0!</v>
      </c>
      <c r="T14" s="177" t="e">
        <f>R14*PRODUCT(S5:S13)*PRODUCT(S15:S19)</f>
        <v>#DIV/0!</v>
      </c>
      <c r="U14" s="177" t="e">
        <f>R14*R15*PRODUCT(S5:S13)*PRODUCT(S16:S19)+R14*R16*PRODUCT(S5:S13)*S15*PRODUCT(S17:S19)+R14*R17*PRODUCT(S5:S13)*PRODUCT(S15:S16)*PRODUCT(S18:S19)+R14*R18*PRODUCT(S5:S13)*PRODUCT(S15:S17)*PRODUCT(S19)+R14*R19*PRODUCT(S5:S13)*PRODUCT(S15:S18)</f>
        <v>#DIV/0!</v>
      </c>
      <c r="W14" s="186" t="s">
        <v>54</v>
      </c>
      <c r="X14" s="15" t="s">
        <v>55</v>
      </c>
      <c r="Y14" s="69">
        <f>IF(COUNTIF(J6:J18,"CAB")&gt;0,AI14*C22/0.5,0)</f>
        <v>0</v>
      </c>
      <c r="Z14" s="197">
        <f>IF(COUNTIF(J6:J18,"CAB")-COUNTIF(F6:F18,"CAB")&gt;3,0.8,IF(COUNTIF(J6:J18,"CAB")-COUNTIF(F6:F18,"CAB")&gt;0,0.6,IF(COUNTIF(J6:J18,"CAB")-COUNTIF(F6:F18,"CAB")=0,0.4,0.15)))</f>
        <v>0.4</v>
      </c>
      <c r="AA14" s="19">
        <f t="shared" si="3"/>
        <v>0</v>
      </c>
      <c r="AB14" s="157" t="e">
        <f t="shared" si="4"/>
        <v>#DIV/0!</v>
      </c>
      <c r="AC14" s="176" t="e">
        <f t="shared" si="5"/>
        <v>#DIV/0!</v>
      </c>
      <c r="AD14" s="177" t="e">
        <f>AB14*PRODUCT(AC5:AC13)*PRODUCT(AC15:AC19)</f>
        <v>#DIV/0!</v>
      </c>
      <c r="AE14" s="177" t="e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#DIV/0!</v>
      </c>
      <c r="AG14" s="13"/>
      <c r="AI14" s="201">
        <f>IF(COUNTIF(J6:J18,"CAB")+COUNTIF(F6:F18,"CAB")=0,0,(AM14*$AI$2/2)+SUM($AN$5:$AN$19))</f>
        <v>0</v>
      </c>
      <c r="AK14" s="13"/>
      <c r="AM14" s="13">
        <v>0.125</v>
      </c>
      <c r="AN14">
        <f>IF(COUNTIF(J6:J18,"CAB")+COUNTIF(F6:F18,"CAB")=0,AM14*2/10,0)</f>
        <v>2.5000000000000001E-2</v>
      </c>
      <c r="BH14">
        <v>1</v>
      </c>
      <c r="BI14">
        <v>2</v>
      </c>
      <c r="BJ14" s="107" t="e">
        <f t="shared" ref="BJ14:BJ22" si="9">$H$26*H41</f>
        <v>#DIV/0!</v>
      </c>
      <c r="BL14">
        <f>BP39+1</f>
        <v>10</v>
      </c>
      <c r="BM14">
        <v>10</v>
      </c>
      <c r="BN14" s="107" t="e">
        <f>$H$35*H49</f>
        <v>#DIV/0!</v>
      </c>
      <c r="BP14">
        <f>BP10+1</f>
        <v>5</v>
      </c>
      <c r="BQ14">
        <v>0</v>
      </c>
      <c r="BR14" s="107" t="e">
        <f>$H$30*H39</f>
        <v>#DIV/0!</v>
      </c>
    </row>
    <row r="15" spans="1:70" x14ac:dyDescent="0.25">
      <c r="A15" s="189" t="s">
        <v>71</v>
      </c>
      <c r="B15" s="170">
        <v>3</v>
      </c>
      <c r="C15" s="171">
        <v>8.25</v>
      </c>
      <c r="E15" s="192" t="s">
        <v>20</v>
      </c>
      <c r="F15" s="167"/>
      <c r="G15" s="167"/>
      <c r="H15" s="10"/>
      <c r="I15" s="10"/>
      <c r="J15" s="166"/>
      <c r="K15" s="166"/>
      <c r="L15" s="10"/>
      <c r="M15" s="10"/>
      <c r="O15" s="67"/>
      <c r="P15" s="196">
        <v>0.5</v>
      </c>
      <c r="Q15" s="16">
        <f t="shared" si="1"/>
        <v>0</v>
      </c>
      <c r="R15" s="157" t="e">
        <f t="shared" si="8"/>
        <v>#DIV/0!</v>
      </c>
      <c r="S15" s="176" t="e">
        <f t="shared" si="2"/>
        <v>#DIV/0!</v>
      </c>
      <c r="T15" s="177" t="e">
        <f>R15*PRODUCT(S5:S14)*PRODUCT(S16:S19)</f>
        <v>#DIV/0!</v>
      </c>
      <c r="U15" s="177" t="e">
        <f>R15*R16*PRODUCT(S5:S14)*PRODUCT(S17:S19)+R15*R17*PRODUCT(S5:S14)*S16*PRODUCT(S18:S19)+R15*R18*PRODUCT(S5:S14)*S16*S17*S19+R15*R19*PRODUCT(S5:S14)*S16*S17*S18</f>
        <v>#DIV/0!</v>
      </c>
      <c r="W15" s="186" t="s">
        <v>56</v>
      </c>
      <c r="X15" s="15" t="s">
        <v>57</v>
      </c>
      <c r="Y15" s="69"/>
      <c r="Z15" s="197">
        <v>0.5</v>
      </c>
      <c r="AA15" s="19">
        <f t="shared" si="3"/>
        <v>0</v>
      </c>
      <c r="AB15" s="157" t="e">
        <f t="shared" si="4"/>
        <v>#DIV/0!</v>
      </c>
      <c r="AC15" s="176" t="e">
        <f t="shared" si="5"/>
        <v>#DIV/0!</v>
      </c>
      <c r="AD15" s="177" t="e">
        <f>AB15*PRODUCT(AC5:AC14)*PRODUCT(AC16:AC19)</f>
        <v>#DIV/0!</v>
      </c>
      <c r="AE15" s="177" t="e">
        <f>AB15*AB16*PRODUCT(AC5:AC14)*PRODUCT(AC17:AC19)+AB15*AB17*PRODUCT(AC5:AC14)*AC16*PRODUCT(AC18:AC19)+AB15*AB18*PRODUCT(AC5:AC14)*AC16*AC17*AC19+AB15*AB19*PRODUCT(AC5:AC14)*AC16*AC17*AC18</f>
        <v>#DIV/0!</v>
      </c>
      <c r="AG15" s="13"/>
      <c r="AI15" s="201"/>
      <c r="AK15" s="13"/>
      <c r="AM15" s="13">
        <v>0</v>
      </c>
      <c r="BH15">
        <v>1</v>
      </c>
      <c r="BI15">
        <v>3</v>
      </c>
      <c r="BJ15" s="107" t="e">
        <f t="shared" si="9"/>
        <v>#DIV/0!</v>
      </c>
      <c r="BP15">
        <f>BP11+1</f>
        <v>5</v>
      </c>
      <c r="BQ15">
        <v>1</v>
      </c>
      <c r="BR15" s="107" t="e">
        <f>$H$30*H40</f>
        <v>#DIV/0!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/>
      <c r="G16" s="167"/>
      <c r="H16" s="10"/>
      <c r="I16" s="10"/>
      <c r="J16" s="166"/>
      <c r="K16" s="166"/>
      <c r="L16" s="10"/>
      <c r="M16" s="10"/>
      <c r="O16" s="67"/>
      <c r="P16" s="196">
        <v>0.25</v>
      </c>
      <c r="Q16" s="16">
        <f t="shared" si="1"/>
        <v>0</v>
      </c>
      <c r="R16" s="157" t="e">
        <f t="shared" si="8"/>
        <v>#DIV/0!</v>
      </c>
      <c r="S16" s="176" t="e">
        <f t="shared" si="2"/>
        <v>#DIV/0!</v>
      </c>
      <c r="T16" s="177" t="e">
        <f>R16*PRODUCT(S5:S15)*PRODUCT(S17:S19)</f>
        <v>#DIV/0!</v>
      </c>
      <c r="U16" s="177" t="e">
        <f>R16*R17*PRODUCT(S5:S15)*PRODUCT(S18:S19)+R16*R18*PRODUCT(S5:S15)*S17*S19+R16*R19*PRODUCT(S5:S15)*S17*S18</f>
        <v>#DIV/0!</v>
      </c>
      <c r="W16" s="187" t="s">
        <v>58</v>
      </c>
      <c r="X16" s="15" t="s">
        <v>59</v>
      </c>
      <c r="Y16" s="69"/>
      <c r="Z16" s="197">
        <v>0.25</v>
      </c>
      <c r="AA16" s="19">
        <f t="shared" si="3"/>
        <v>0</v>
      </c>
      <c r="AB16" s="157" t="e">
        <f t="shared" si="4"/>
        <v>#DIV/0!</v>
      </c>
      <c r="AC16" s="176" t="e">
        <f t="shared" si="5"/>
        <v>#DIV/0!</v>
      </c>
      <c r="AD16" s="177" t="e">
        <f>AB16*PRODUCT(AC5:AC15)*PRODUCT(AC17:AC19)</f>
        <v>#DIV/0!</v>
      </c>
      <c r="AE16" s="177" t="e">
        <f>AB16*AB17*PRODUCT(AC5:AC15)*PRODUCT(AC18:AC19)+AB16*AB18*PRODUCT(AC5:AC15)*AC17*AC19+AB16*AB19*PRODUCT(AC5:AC15)*AC17*AC18</f>
        <v>#DIV/0!</v>
      </c>
      <c r="AG16" s="13"/>
      <c r="AI16" s="201"/>
      <c r="AK16" s="13"/>
      <c r="AM16" s="13">
        <v>0</v>
      </c>
      <c r="BH16">
        <v>1</v>
      </c>
      <c r="BI16">
        <v>4</v>
      </c>
      <c r="BJ16" s="107" t="e">
        <f t="shared" si="9"/>
        <v>#DIV/0!</v>
      </c>
      <c r="BP16">
        <f>BP12+1</f>
        <v>5</v>
      </c>
      <c r="BQ16">
        <v>2</v>
      </c>
      <c r="BR16" s="107" t="e">
        <f>$H$30*H41</f>
        <v>#DIV/0!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/>
      <c r="G17" s="167"/>
      <c r="H17" s="10"/>
      <c r="I17" s="10"/>
      <c r="J17" s="166"/>
      <c r="K17" s="166"/>
      <c r="L17" s="10"/>
      <c r="M17" s="10"/>
      <c r="O17" s="67">
        <f>(AI17*2)*IF(COUNTBLANK(F14:F15)&lt;&gt;0, (2-COUNTBLANK(F14:F15))/2,1)*AG17</f>
        <v>0</v>
      </c>
      <c r="P17" s="196" t="str">
        <f>IF(COUNTIF(F14:F18,"CAB")&gt;0,0.95,P3)</f>
        <v>0,6</v>
      </c>
      <c r="Q17" s="16">
        <f t="shared" si="1"/>
        <v>0</v>
      </c>
      <c r="R17" s="157" t="e">
        <f t="shared" si="8"/>
        <v>#DIV/0!</v>
      </c>
      <c r="S17" s="176" t="e">
        <f t="shared" si="2"/>
        <v>#DIV/0!</v>
      </c>
      <c r="T17" s="177" t="e">
        <f>R17*PRODUCT(S5:S16)*PRODUCT(S18:S19)</f>
        <v>#DIV/0!</v>
      </c>
      <c r="U17" s="177" t="e">
        <f>R17*R18*PRODUCT(S5:S16)*S19+R17*R19*PRODUCT(S5:S16)*S18</f>
        <v>#DIV/0!</v>
      </c>
      <c r="W17" s="186" t="s">
        <v>60</v>
      </c>
      <c r="X17" s="15" t="s">
        <v>61</v>
      </c>
      <c r="Y17" s="69">
        <f>(AI17*2)*IF(COUNTBLANK(J14:J15)&lt;&gt;0, (2-COUNTBLANK(J14:J15))/2,1)*AK17</f>
        <v>0</v>
      </c>
      <c r="Z17" s="197" t="str">
        <f>IF(COUNTIF(J14:J18,"CAB")&gt;0,0.95,Z3)</f>
        <v>0,6</v>
      </c>
      <c r="AA17" s="19">
        <f t="shared" si="3"/>
        <v>0</v>
      </c>
      <c r="AB17" s="157" t="e">
        <f t="shared" si="4"/>
        <v>#DIV/0!</v>
      </c>
      <c r="AC17" s="176" t="e">
        <f t="shared" si="5"/>
        <v>#DIV/0!</v>
      </c>
      <c r="AD17" s="177" t="e">
        <f>AB17*PRODUCT(AC5:AC16)*PRODUCT(AC18:AC19)</f>
        <v>#DIV/0!</v>
      </c>
      <c r="AE17" s="177" t="e">
        <f>AB17*AB18*PRODUCT(AC5:AC16)*AC19+AB17*AB19*PRODUCT(AC5:AC16)*AC18</f>
        <v>#DIV/0!</v>
      </c>
      <c r="AG17" s="203">
        <f>IF(IF(COUNTBLANK(F14:F15)&lt;&gt;0,(2-COUNTBLANK(F14:F15))/2,1)+IF(COUNTBLANK(J14:J15)&lt;&gt;0,(2-COUNTBLANK(J14:J15))/2,1)=0,0,IF(COUNTBLANK(F14:F15)&lt;&gt;0,(2-COUNTBLANK(F14:F15))/2,1)/(IF(COUNTBLANK(F14:F15)&lt;&gt;0,(2-COUNTBLANK(F14:F15))/2,1)+IF(COUNTBLANK(J14:J15)&lt;&gt;0,(2-COUNTBLANK(J14:J15))/2,1)))</f>
        <v>0</v>
      </c>
      <c r="AI17" s="201">
        <f t="shared" si="6"/>
        <v>0</v>
      </c>
      <c r="AK17" s="203">
        <f>IF(IF(COUNTBLANK(F14:F15)&lt;&gt;0,(2-COUNTBLANK(F14:F15))/2,1)+IF(COUNTBLANK(J14:J15)&lt;&gt;0,(2-COUNTBLANK(J14:J15))/2,1)=0,0,IF(COUNTBLANK(J14:J15)&lt;&gt;0,(2-COUNTBLANK(J14:J15))/2,1)/(IF(COUNTBLANK(F14:F15)&lt;&gt;0,(2-COUNTBLANK(F14:F15))/2,1)+IF(COUNTBLANK(J14:J15)&lt;&gt;0,(2-COUNTBLANK(J14:J15))/2,1)))</f>
        <v>0</v>
      </c>
      <c r="AM17" s="13">
        <v>0.08</v>
      </c>
      <c r="AN17">
        <f t="shared" si="7"/>
        <v>1.6E-2</v>
      </c>
      <c r="BH17">
        <v>1</v>
      </c>
      <c r="BI17">
        <v>5</v>
      </c>
      <c r="BJ17" s="107" t="e">
        <f t="shared" si="9"/>
        <v>#DIV/0!</v>
      </c>
      <c r="BP17">
        <f>BP13+1</f>
        <v>5</v>
      </c>
      <c r="BQ17">
        <v>3</v>
      </c>
      <c r="BR17" s="107" t="e">
        <f>$H$30*H42</f>
        <v>#DIV/0!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/>
      <c r="G18" s="167"/>
      <c r="H18" s="10"/>
      <c r="I18" s="10"/>
      <c r="J18" s="166"/>
      <c r="K18" s="166"/>
      <c r="L18" s="10"/>
      <c r="M18" s="10"/>
      <c r="O18" s="67"/>
      <c r="P18" s="196"/>
      <c r="Q18" s="16">
        <f t="shared" si="1"/>
        <v>0</v>
      </c>
      <c r="R18" s="157" t="e">
        <f t="shared" si="8"/>
        <v>#DIV/0!</v>
      </c>
      <c r="S18" s="176" t="e">
        <f t="shared" si="2"/>
        <v>#DIV/0!</v>
      </c>
      <c r="T18" s="177" t="e">
        <f>R18*PRODUCT(S5:S17)*PRODUCT(S19:S19)</f>
        <v>#DIV/0!</v>
      </c>
      <c r="U18" s="177" t="e">
        <f>R18*R19*PRODUCT(S5:S17)</f>
        <v>#DIV/0!</v>
      </c>
      <c r="W18" s="186" t="s">
        <v>62</v>
      </c>
      <c r="X18" s="15" t="s">
        <v>63</v>
      </c>
      <c r="Y18" s="69"/>
      <c r="Z18" s="197"/>
      <c r="AA18" s="19">
        <f t="shared" si="3"/>
        <v>0</v>
      </c>
      <c r="AB18" s="157" t="e">
        <f t="shared" si="4"/>
        <v>#DIV/0!</v>
      </c>
      <c r="AC18" s="176" t="e">
        <f t="shared" si="5"/>
        <v>#DIV/0!</v>
      </c>
      <c r="AD18" s="177" t="e">
        <f>AB18*PRODUCT(AC5:AC17)*PRODUCT(AC19:AC19)</f>
        <v>#DIV/0!</v>
      </c>
      <c r="AE18" s="177" t="e">
        <f>AB18*AB19*PRODUCT(AC5:AC17)</f>
        <v>#DIV/0!</v>
      </c>
      <c r="AG18" s="203"/>
      <c r="AI18" s="201"/>
      <c r="AK18" s="203"/>
      <c r="AM18" s="13">
        <v>0</v>
      </c>
      <c r="BH18">
        <v>1</v>
      </c>
      <c r="BI18">
        <v>6</v>
      </c>
      <c r="BJ18" s="107" t="e">
        <f t="shared" si="9"/>
        <v>#DIV/0!</v>
      </c>
      <c r="BP18">
        <f>BL8+1</f>
        <v>5</v>
      </c>
      <c r="BQ18">
        <v>4</v>
      </c>
      <c r="BR18" s="107" t="e">
        <f>$H$30*H43</f>
        <v>#DIV/0!</v>
      </c>
    </row>
    <row r="19" spans="1:70" x14ac:dyDescent="0.25">
      <c r="H19" s="13" t="s">
        <v>151</v>
      </c>
      <c r="L19" s="13" t="s">
        <v>151</v>
      </c>
      <c r="O19" s="67">
        <f>COUNTIF(F11:F18,"TEC")*AG19*AI19</f>
        <v>0</v>
      </c>
      <c r="P19" s="196" t="str">
        <f>P3</f>
        <v>0,6</v>
      </c>
      <c r="Q19" s="16">
        <f t="shared" si="1"/>
        <v>0</v>
      </c>
      <c r="R19" s="157" t="e">
        <f t="shared" si="8"/>
        <v>#DIV/0!</v>
      </c>
      <c r="S19" s="178" t="e">
        <f t="shared" si="2"/>
        <v>#DIV/0!</v>
      </c>
      <c r="T19" s="179" t="e">
        <f>R19*PRODUCT(S5:S18)</f>
        <v>#DIV/0!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COUNTIF(J11:J18,"TEC")*AI19*AK19</f>
        <v>0</v>
      </c>
      <c r="Z19" s="197" t="str">
        <f>Z3</f>
        <v>0,6</v>
      </c>
      <c r="AA19" s="19">
        <f t="shared" si="3"/>
        <v>0</v>
      </c>
      <c r="AB19" s="157" t="e">
        <f t="shared" si="4"/>
        <v>#DIV/0!</v>
      </c>
      <c r="AC19" s="178" t="e">
        <f t="shared" si="5"/>
        <v>#DIV/0!</v>
      </c>
      <c r="AD19" s="179" t="e">
        <f>AB19*PRODUCT(AC5:AC18)</f>
        <v>#DIV/0!</v>
      </c>
      <c r="AE19" s="179">
        <v>0</v>
      </c>
      <c r="AF19" s="1" t="s">
        <v>66</v>
      </c>
      <c r="AG19" s="203">
        <f>IF(COUNTIF(F11:F18,"TEC")&gt;0,IF(COUNTIF(J6:J13,"CAB")&gt;0,IF(COUNTIF(F11:F18,"TEC")+COUNTIF(J11:J18,"TEC")&gt;0,COUNTIF(F11:F18,"TEC")/(COUNTIF(F11:F18,"TEC")+COUNTIF(J11:J18,"TEC")),0),0),0)</f>
        <v>0</v>
      </c>
      <c r="AI19" s="201">
        <f t="shared" si="6"/>
        <v>0</v>
      </c>
      <c r="AK19" s="203">
        <f>IF(COUNTIF(J11:J18,"TEC")&gt;0,IF(COUNTIF(F6:F13,"CAB")&gt;0,IF(COUNTIF(F11:F18,"TEC")+COUNTIF(J11:J18,"TEC")&gt;0,COUNTIF(J11:J18,"TEC")/(COUNTIF(F11:F18,"TEC")+COUNTIF(J11:J18,"TEC")),0),0),0)</f>
        <v>0</v>
      </c>
      <c r="AM19" s="13">
        <v>0.06</v>
      </c>
      <c r="AN19">
        <f t="shared" si="7"/>
        <v>1.2E-2</v>
      </c>
      <c r="BH19">
        <v>1</v>
      </c>
      <c r="BI19">
        <v>7</v>
      </c>
      <c r="BJ19" s="107" t="e">
        <f t="shared" si="9"/>
        <v>#DIV/0!</v>
      </c>
      <c r="BP19">
        <f>BP15+1</f>
        <v>6</v>
      </c>
      <c r="BQ19">
        <v>1</v>
      </c>
      <c r="BR19" s="107" t="e">
        <f>$H$31*H40</f>
        <v>#DIV/0!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 t="e">
        <f>PRODUCT(S5:S19)</f>
        <v>#DIV/0!</v>
      </c>
      <c r="T20" s="181" t="e">
        <f>SUM(T5:T19)</f>
        <v>#DIV/0!</v>
      </c>
      <c r="U20" s="181" t="e">
        <f>SUM(U5:U19)</f>
        <v>#DIV/0!</v>
      </c>
      <c r="V20" s="181" t="e">
        <f>1-S20-T20-U20</f>
        <v>#DIV/0!</v>
      </c>
      <c r="W20" s="21"/>
      <c r="X20" s="22"/>
      <c r="Y20" s="22"/>
      <c r="Z20" s="22"/>
      <c r="AA20" s="22"/>
      <c r="AB20" s="23"/>
      <c r="AC20" s="184" t="e">
        <f>PRODUCT(AC5:AC19)</f>
        <v>#DIV/0!</v>
      </c>
      <c r="AD20" s="181" t="e">
        <f>SUM(AD5:AD19)</f>
        <v>#DIV/0!</v>
      </c>
      <c r="AE20" s="181" t="e">
        <f>SUM(AE5:AE19)</f>
        <v>#DIV/0!</v>
      </c>
      <c r="AF20" s="181" t="e">
        <f>1-AC20-AD20-AE20</f>
        <v>#DIV/0!</v>
      </c>
      <c r="BH20">
        <v>1</v>
      </c>
      <c r="BI20">
        <v>8</v>
      </c>
      <c r="BJ20" s="107" t="e">
        <f t="shared" si="9"/>
        <v>#DIV/0!</v>
      </c>
      <c r="BP20">
        <f>BP16+1</f>
        <v>6</v>
      </c>
      <c r="BQ20">
        <v>2</v>
      </c>
      <c r="BR20" s="107" t="e">
        <f>$H$31*H41</f>
        <v>#DIV/0!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BH21" s="18">
        <v>1</v>
      </c>
      <c r="BI21">
        <v>9</v>
      </c>
      <c r="BJ21" s="107" t="e">
        <f t="shared" si="9"/>
        <v>#DIV/0!</v>
      </c>
      <c r="BP21">
        <f>BP17+1</f>
        <v>6</v>
      </c>
      <c r="BQ21">
        <v>3</v>
      </c>
      <c r="BR21" s="107" t="e">
        <f>$H$31*H42</f>
        <v>#DIV/0!</v>
      </c>
    </row>
    <row r="22" spans="1:70" x14ac:dyDescent="0.25">
      <c r="A22" s="26" t="s">
        <v>77</v>
      </c>
      <c r="B22" s="62" t="e">
        <f>(B6)/((B6)+(C6))</f>
        <v>#DIV/0!</v>
      </c>
      <c r="C22" s="63" t="e">
        <f>1-B22</f>
        <v>#DIV/0!</v>
      </c>
      <c r="D22" s="24"/>
      <c r="E22" s="24"/>
      <c r="V22" s="59" t="e">
        <f>SUM(V25:V35)</f>
        <v>#DIV/0!</v>
      </c>
      <c r="AS22" s="82" t="e">
        <f>Y23+AA23+AC23+AE23+AG23+AI23+AK23+AM23+AO23+AQ23+AS23</f>
        <v>#DIV/0!</v>
      </c>
      <c r="BH22">
        <v>1</v>
      </c>
      <c r="BI22">
        <v>10</v>
      </c>
      <c r="BJ22" s="107" t="e">
        <f t="shared" si="9"/>
        <v>#DIV/0!</v>
      </c>
      <c r="BP22">
        <f>BP18+1</f>
        <v>6</v>
      </c>
      <c r="BQ22">
        <v>4</v>
      </c>
      <c r="BR22" s="107" t="e">
        <f>$H$31*H43</f>
        <v>#DIV/0!</v>
      </c>
    </row>
    <row r="23" spans="1:70" ht="15.75" thickBot="1" x14ac:dyDescent="0.3">
      <c r="A23" s="40" t="s">
        <v>67</v>
      </c>
      <c r="B23" s="56" t="e">
        <f>((B22^2.8)/((B22^2.8)+(C22^2.8)))*B21</f>
        <v>#DIV/0!</v>
      </c>
      <c r="C23" s="57" t="e">
        <f>B21-B23</f>
        <v>#DIV/0!</v>
      </c>
      <c r="D23" s="151">
        <f>SUM(D25:D30)</f>
        <v>1</v>
      </c>
      <c r="E23" s="151">
        <f>SUM(E25:E30)</f>
        <v>1</v>
      </c>
      <c r="H23" s="59" t="e">
        <f>SUM(H25:H35)</f>
        <v>#DIV/0!</v>
      </c>
      <c r="J23" s="59" t="e">
        <f>SUM(J25:J35)</f>
        <v>#DIV/0!</v>
      </c>
      <c r="K23" s="59"/>
      <c r="L23" s="59" t="e">
        <f>SUM(L25:L35)</f>
        <v>#DIV/0!</v>
      </c>
      <c r="N23" s="59" t="e">
        <f>SUM(N25:N35)</f>
        <v>#DIV/0!</v>
      </c>
      <c r="O23" s="34"/>
      <c r="P23" s="59" t="e">
        <f>SUM(P25:P35)</f>
        <v>#DIV/0!</v>
      </c>
      <c r="R23" s="59" t="e">
        <f>SUM(R25:R35)</f>
        <v>#DIV/0!</v>
      </c>
      <c r="T23" s="59" t="e">
        <f>SUM(T25:T35)</f>
        <v>#DIV/0!</v>
      </c>
      <c r="V23" s="59" t="e">
        <f>SUM(V25:V34)</f>
        <v>#DIV/0!</v>
      </c>
      <c r="Y23" s="80" t="e">
        <f>SUM(Y25:Y35)</f>
        <v>#DIV/0!</v>
      </c>
      <c r="Z23" s="81"/>
      <c r="AA23" s="80" t="e">
        <f>SUM(AA25:AA35)</f>
        <v>#DIV/0!</v>
      </c>
      <c r="AB23" s="81"/>
      <c r="AC23" s="80" t="e">
        <f>SUM(AC25:AC35)</f>
        <v>#DIV/0!</v>
      </c>
      <c r="AD23" s="81"/>
      <c r="AE23" s="80" t="e">
        <f>SUM(AE25:AE35)</f>
        <v>#DIV/0!</v>
      </c>
      <c r="AF23" s="81"/>
      <c r="AG23" s="80" t="e">
        <f>SUM(AG25:AG35)</f>
        <v>#DIV/0!</v>
      </c>
      <c r="AH23" s="81"/>
      <c r="AI23" s="80" t="e">
        <f>SUM(AI25:AI35)</f>
        <v>#DIV/0!</v>
      </c>
      <c r="AJ23" s="81"/>
      <c r="AK23" s="80" t="e">
        <f>SUM(AK25:AK35)</f>
        <v>#DIV/0!</v>
      </c>
      <c r="AL23" s="81"/>
      <c r="AM23" s="80" t="e">
        <f>SUM(AM25:AM35)</f>
        <v>#DIV/0!</v>
      </c>
      <c r="AN23" s="81"/>
      <c r="AO23" s="80" t="e">
        <f>SUM(AO25:AO35)</f>
        <v>#DIV/0!</v>
      </c>
      <c r="AP23" s="81"/>
      <c r="AQ23" s="80" t="e">
        <f>SUM(AQ25:AQ35)</f>
        <v>#DIV/0!</v>
      </c>
      <c r="AR23" s="81"/>
      <c r="AS23" s="80" t="e">
        <f>SUM(AS25:AS35)</f>
        <v>#DIV/0!</v>
      </c>
      <c r="BH23">
        <f t="shared" ref="BH23:BH30" si="10">BH15+1</f>
        <v>2</v>
      </c>
      <c r="BI23">
        <v>3</v>
      </c>
      <c r="BJ23" s="107" t="e">
        <f t="shared" ref="BJ23:BJ30" si="11">$H$27*H42</f>
        <v>#DIV/0!</v>
      </c>
      <c r="BP23">
        <f>BL9+1</f>
        <v>6</v>
      </c>
      <c r="BQ23">
        <v>5</v>
      </c>
      <c r="BR23" s="107" t="e">
        <f>$H$31*H44</f>
        <v>#DIV/0!</v>
      </c>
    </row>
    <row r="24" spans="1:70" ht="15.75" thickBot="1" x14ac:dyDescent="0.3">
      <c r="A24" s="26" t="s">
        <v>76</v>
      </c>
      <c r="B24" s="64" t="e">
        <f>B23/B21</f>
        <v>#DIV/0!</v>
      </c>
      <c r="C24" s="65" t="e">
        <f>C23/B21</f>
        <v>#DIV/0!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10"/>
        <v>2</v>
      </c>
      <c r="BI24">
        <v>4</v>
      </c>
      <c r="BJ24" s="107" t="e">
        <f t="shared" si="11"/>
        <v>#DIV/0!</v>
      </c>
      <c r="BP24">
        <f>BH49+1</f>
        <v>7</v>
      </c>
      <c r="BQ24">
        <v>0</v>
      </c>
      <c r="BR24" s="107" t="e">
        <f t="shared" ref="BR24:BR30" si="12">$H$32*H39</f>
        <v>#DIV/0!</v>
      </c>
    </row>
    <row r="25" spans="1:70" x14ac:dyDescent="0.25">
      <c r="A25" s="26" t="s">
        <v>69</v>
      </c>
      <c r="B25" s="117" t="e">
        <f>1/(1+EXP(-3.1416*4*((B11/(B11+C8))-(3.1416/6))))</f>
        <v>#DIV/0!</v>
      </c>
      <c r="C25" s="118" t="e">
        <f>1/(1+EXP(-3.1416*4*((C11/(C11+B8))-(3.1416/6))))</f>
        <v>#DIV/0!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 t="e">
        <f>L25*J25</f>
        <v>#DIV/0!</v>
      </c>
      <c r="I25" s="97">
        <v>0</v>
      </c>
      <c r="J25" s="98" t="e">
        <f t="shared" ref="J25:J35" si="13">Y25+AA25+AC25+AE25+AG25+AI25+AK25+AM25+AO25+AQ25+AS25</f>
        <v>#DIV/0!</v>
      </c>
      <c r="K25" s="97">
        <v>0</v>
      </c>
      <c r="L25" s="98" t="e">
        <f>S20</f>
        <v>#DIV/0!</v>
      </c>
      <c r="M25" s="84">
        <v>0</v>
      </c>
      <c r="N25" s="71" t="e">
        <f>(1-$B$24)^$B$21</f>
        <v>#DIV/0!</v>
      </c>
      <c r="O25" s="70">
        <v>0</v>
      </c>
      <c r="P25" s="71" t="e">
        <f>N25</f>
        <v>#DIV/0!</v>
      </c>
      <c r="Q25" s="12">
        <v>0</v>
      </c>
      <c r="R25" s="73" t="e">
        <f>P25*N25</f>
        <v>#DIV/0!</v>
      </c>
      <c r="S25" s="70">
        <v>0</v>
      </c>
      <c r="T25" s="135" t="e">
        <f>(1-$B$33)^(INT(C23*2*(1-C31)))</f>
        <v>#DIV/0!</v>
      </c>
      <c r="U25" s="140">
        <v>0</v>
      </c>
      <c r="V25" s="86" t="e">
        <f>R25*T25</f>
        <v>#DIV/0!</v>
      </c>
      <c r="W25" s="136" t="e">
        <f>B31</f>
        <v>#DIV/0!</v>
      </c>
      <c r="X25" s="12">
        <v>0</v>
      </c>
      <c r="Y25" s="79" t="e">
        <f>V25</f>
        <v>#DIV/0!</v>
      </c>
      <c r="Z25" s="12">
        <v>0</v>
      </c>
      <c r="AA25" s="78" t="e">
        <f>((1-W25)^Z26)*V26</f>
        <v>#DIV/0!</v>
      </c>
      <c r="AB25" s="12">
        <v>0</v>
      </c>
      <c r="AC25" s="79" t="e">
        <f>(((1-$W$25)^AB27))*V27</f>
        <v>#DIV/0!</v>
      </c>
      <c r="AD25" s="12">
        <v>0</v>
      </c>
      <c r="AE25" s="79" t="e">
        <f>(((1-$W$25)^AB28))*V28</f>
        <v>#DIV/0!</v>
      </c>
      <c r="AF25" s="12">
        <v>0</v>
      </c>
      <c r="AG25" s="79" t="e">
        <f>(((1-$W$25)^AB29))*V29</f>
        <v>#DIV/0!</v>
      </c>
      <c r="AH25" s="12">
        <v>0</v>
      </c>
      <c r="AI25" s="79" t="e">
        <f>(((1-$W$25)^AB30))*V30</f>
        <v>#DIV/0!</v>
      </c>
      <c r="AJ25" s="12">
        <v>0</v>
      </c>
      <c r="AK25" s="79" t="e">
        <f>(((1-$W$25)^AB31))*V31</f>
        <v>#DIV/0!</v>
      </c>
      <c r="AL25" s="12">
        <v>0</v>
      </c>
      <c r="AM25" s="79" t="e">
        <f>(((1-$W$25)^AB32))*V32</f>
        <v>#DIV/0!</v>
      </c>
      <c r="AN25" s="12">
        <v>0</v>
      </c>
      <c r="AO25" s="79" t="e">
        <f>(((1-$W$25)^AB33))*V33</f>
        <v>#DIV/0!</v>
      </c>
      <c r="AP25" s="12">
        <v>0</v>
      </c>
      <c r="AQ25" s="79" t="e">
        <f>(((1-$W$25)^AB34))*V34</f>
        <v>#DIV/0!</v>
      </c>
      <c r="AR25" s="12">
        <v>0</v>
      </c>
      <c r="AS25" s="79" t="e">
        <f>(((1-$W$25)^AB35))*V35</f>
        <v>#DIV/0!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10"/>
        <v>2</v>
      </c>
      <c r="BI25">
        <v>5</v>
      </c>
      <c r="BJ25" s="107" t="e">
        <f t="shared" si="11"/>
        <v>#DIV/0!</v>
      </c>
      <c r="BP25">
        <f>BP19+1</f>
        <v>7</v>
      </c>
      <c r="BQ25">
        <v>1</v>
      </c>
      <c r="BR25" s="107" t="e">
        <f t="shared" si="12"/>
        <v>#DIV/0!</v>
      </c>
    </row>
    <row r="26" spans="1:70" x14ac:dyDescent="0.25">
      <c r="A26" s="40" t="s">
        <v>24</v>
      </c>
      <c r="B26" s="119" t="e">
        <f>1/(1+EXP(-3.1416*4*((B10/(B10+C9))-(3.1416/6))))</f>
        <v>#DIV/0!</v>
      </c>
      <c r="C26" s="120" t="e">
        <f>1/(1+EXP(-3.1416*4*((C10/(C10+B9))-(3.1416/6))))</f>
        <v>#DIV/0!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 t="e">
        <f>L25*J26+L26*J25</f>
        <v>#DIV/0!</v>
      </c>
      <c r="I26" s="93">
        <v>1</v>
      </c>
      <c r="J26" s="86" t="e">
        <f t="shared" si="13"/>
        <v>#DIV/0!</v>
      </c>
      <c r="K26" s="93">
        <v>1</v>
      </c>
      <c r="L26" s="86" t="e">
        <f>T20</f>
        <v>#DIV/0!</v>
      </c>
      <c r="M26" s="85">
        <v>1</v>
      </c>
      <c r="N26" s="71" t="e">
        <f>(($B$24)^M26)*((1-($B$24))^($B$21-M26))*HLOOKUP($B$21,$AV$24:$BF$34,M26+1)</f>
        <v>#DIV/0!</v>
      </c>
      <c r="O26" s="72">
        <v>1</v>
      </c>
      <c r="P26" s="71" t="e">
        <f t="shared" ref="P26:P30" si="14">N26</f>
        <v>#DIV/0!</v>
      </c>
      <c r="Q26" s="28">
        <v>1</v>
      </c>
      <c r="R26" s="37" t="e">
        <f>N26*P25+P26*N25</f>
        <v>#DIV/0!</v>
      </c>
      <c r="S26" s="72">
        <v>1</v>
      </c>
      <c r="T26" s="135" t="e">
        <f t="shared" ref="T26:T35" si="15">(($B$33)^S26)*((1-($B$33))^(INT($C$23*2*(1-$C$31))-S26))*HLOOKUP(INT($C$23*2*(1-$C$31)),$AV$24:$BF$34,S26+1)</f>
        <v>#DIV/0!</v>
      </c>
      <c r="U26" s="93">
        <v>1</v>
      </c>
      <c r="V26" s="86" t="e">
        <f>R26*T25+T26*R25</f>
        <v>#DIV/0!</v>
      </c>
      <c r="W26" s="137"/>
      <c r="X26" s="28">
        <v>1</v>
      </c>
      <c r="Y26" s="73"/>
      <c r="Z26" s="28">
        <v>1</v>
      </c>
      <c r="AA26" s="79" t="e">
        <f>(1-((1-W25)^Z26))*V26</f>
        <v>#DIV/0!</v>
      </c>
      <c r="AB26" s="28">
        <v>1</v>
      </c>
      <c r="AC26" s="79" t="e">
        <f>((($W$25)^M26)*((1-($W$25))^($U$27-M26))*HLOOKUP($U$27,$AV$24:$BF$34,M26+1))*V27</f>
        <v>#DIV/0!</v>
      </c>
      <c r="AD26" s="28">
        <v>1</v>
      </c>
      <c r="AE26" s="79" t="e">
        <f>((($W$25)^M26)*((1-($W$25))^($U$28-M26))*HLOOKUP($U$28,$AV$24:$BF$34,M26+1))*V28</f>
        <v>#DIV/0!</v>
      </c>
      <c r="AF26" s="28">
        <v>1</v>
      </c>
      <c r="AG26" s="79" t="e">
        <f>((($W$25)^M26)*((1-($W$25))^($U$29-M26))*HLOOKUP($U$29,$AV$24:$BF$34,M26+1))*V29</f>
        <v>#DIV/0!</v>
      </c>
      <c r="AH26" s="28">
        <v>1</v>
      </c>
      <c r="AI26" s="79" t="e">
        <f>((($W$25)^M26)*((1-($W$25))^($U$30-M26))*HLOOKUP($U$30,$AV$24:$BF$34,M26+1))*V30</f>
        <v>#DIV/0!</v>
      </c>
      <c r="AJ26" s="28">
        <v>1</v>
      </c>
      <c r="AK26" s="79" t="e">
        <f>((($W$25)^M26)*((1-($W$25))^($U$31-M26))*HLOOKUP($U$31,$AV$24:$BF$34,M26+1))*V31</f>
        <v>#DIV/0!</v>
      </c>
      <c r="AL26" s="28">
        <v>1</v>
      </c>
      <c r="AM26" s="79" t="e">
        <f>((($W$25)^Q26)*((1-($W$25))^($U$32-Q26))*HLOOKUP($U$32,$AV$24:$BF$34,Q26+1))*V32</f>
        <v>#DIV/0!</v>
      </c>
      <c r="AN26" s="28">
        <v>1</v>
      </c>
      <c r="AO26" s="79" t="e">
        <f>((($W$25)^Q26)*((1-($W$25))^($U$33-Q26))*HLOOKUP($U$33,$AV$24:$BF$34,Q26+1))*V33</f>
        <v>#DIV/0!</v>
      </c>
      <c r="AP26" s="28">
        <v>1</v>
      </c>
      <c r="AQ26" s="79" t="e">
        <f>((($W$25)^Q26)*((1-($W$25))^($U$34-Q26))*HLOOKUP($U$34,$AV$24:$BF$34,Q26+1))*V34</f>
        <v>#DIV/0!</v>
      </c>
      <c r="AR26" s="28">
        <v>1</v>
      </c>
      <c r="AS26" s="79" t="e">
        <f>((($W$25)^Q26)*((1-($W$25))^($U$35-Q26))*HLOOKUP($U$35,$AV$24:$BF$34,Q26+1))*V35</f>
        <v>#DIV/0!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10"/>
        <v>2</v>
      </c>
      <c r="BI26">
        <v>6</v>
      </c>
      <c r="BJ26" s="107" t="e">
        <f t="shared" si="11"/>
        <v>#DIV/0!</v>
      </c>
      <c r="BP26">
        <f>BP20+1</f>
        <v>7</v>
      </c>
      <c r="BQ26">
        <v>2</v>
      </c>
      <c r="BR26" s="107" t="e">
        <f t="shared" si="12"/>
        <v>#DIV/0!</v>
      </c>
    </row>
    <row r="27" spans="1:70" x14ac:dyDescent="0.25">
      <c r="A27" s="26" t="s">
        <v>25</v>
      </c>
      <c r="B27" s="119" t="e">
        <f>1/(1+EXP(-3.1416*4*((B12/(B12+C7))-(3.1416/6))))</f>
        <v>#DIV/0!</v>
      </c>
      <c r="C27" s="120" t="e">
        <f>1/(1+EXP(-3.1416*4*((C12/(C12+B7))-(3.1416/6))))</f>
        <v>#DIV/0!</v>
      </c>
      <c r="D27" s="153">
        <f>D26</f>
        <v>0.25700000000000001</v>
      </c>
      <c r="E27" s="153">
        <f>E26</f>
        <v>0.25700000000000001</v>
      </c>
      <c r="G27" s="87">
        <v>2</v>
      </c>
      <c r="H27" s="128" t="e">
        <f>L25*J27+J26*L26+J25*L27</f>
        <v>#DIV/0!</v>
      </c>
      <c r="I27" s="93">
        <v>2</v>
      </c>
      <c r="J27" s="86" t="e">
        <f t="shared" si="13"/>
        <v>#DIV/0!</v>
      </c>
      <c r="K27" s="93">
        <v>2</v>
      </c>
      <c r="L27" s="86" t="e">
        <f>U20</f>
        <v>#DIV/0!</v>
      </c>
      <c r="M27" s="85">
        <v>2</v>
      </c>
      <c r="N27" s="71" t="e">
        <f>(($B$24)^M27)*((1-($B$24))^($B$21-M27))*HLOOKUP($B$21,$AV$24:$BF$34,M27+1)</f>
        <v>#DIV/0!</v>
      </c>
      <c r="O27" s="72">
        <v>2</v>
      </c>
      <c r="P27" s="71" t="e">
        <f t="shared" si="14"/>
        <v>#DIV/0!</v>
      </c>
      <c r="Q27" s="28">
        <v>2</v>
      </c>
      <c r="R27" s="37" t="e">
        <f>P25*N27+P26*N26+P27*N25</f>
        <v>#DIV/0!</v>
      </c>
      <c r="S27" s="72">
        <v>2</v>
      </c>
      <c r="T27" s="135" t="e">
        <f t="shared" si="15"/>
        <v>#DIV/0!</v>
      </c>
      <c r="U27" s="93">
        <v>2</v>
      </c>
      <c r="V27" s="86" t="e">
        <f>R27*T25+T26*R26+R25*T27</f>
        <v>#DIV/0!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 t="e">
        <f>((($W$25)^M27)*((1-($W$25))^($U$27-M27))*HLOOKUP($U$27,$AV$24:$BF$34,M27+1))*V27</f>
        <v>#DIV/0!</v>
      </c>
      <c r="AD27" s="28">
        <v>2</v>
      </c>
      <c r="AE27" s="79" t="e">
        <f>((($W$25)^M27)*((1-($W$25))^($U$28-M27))*HLOOKUP($U$28,$AV$24:$BF$34,M27+1))*V28</f>
        <v>#DIV/0!</v>
      </c>
      <c r="AF27" s="28">
        <v>2</v>
      </c>
      <c r="AG27" s="79" t="e">
        <f>((($W$25)^M27)*((1-($W$25))^($U$29-M27))*HLOOKUP($U$29,$AV$24:$BF$34,M27+1))*V29</f>
        <v>#DIV/0!</v>
      </c>
      <c r="AH27" s="28">
        <v>2</v>
      </c>
      <c r="AI27" s="79" t="e">
        <f>((($W$25)^M27)*((1-($W$25))^($U$30-M27))*HLOOKUP($U$30,$AV$24:$BF$34,M27+1))*V30</f>
        <v>#DIV/0!</v>
      </c>
      <c r="AJ27" s="28">
        <v>2</v>
      </c>
      <c r="AK27" s="79" t="e">
        <f>((($W$25)^M27)*((1-($W$25))^($U$31-M27))*HLOOKUP($U$31,$AV$24:$BF$34,M27+1))*V31</f>
        <v>#DIV/0!</v>
      </c>
      <c r="AL27" s="28">
        <v>2</v>
      </c>
      <c r="AM27" s="79" t="e">
        <f>((($W$25)^Q27)*((1-($W$25))^($U$32-Q27))*HLOOKUP($U$32,$AV$24:$BF$34,Q27+1))*V32</f>
        <v>#DIV/0!</v>
      </c>
      <c r="AN27" s="28">
        <v>2</v>
      </c>
      <c r="AO27" s="79" t="e">
        <f>((($W$25)^Q27)*((1-($W$25))^($U$33-Q27))*HLOOKUP($U$33,$AV$24:$BF$34,Q27+1))*V33</f>
        <v>#DIV/0!</v>
      </c>
      <c r="AP27" s="28">
        <v>2</v>
      </c>
      <c r="AQ27" s="79" t="e">
        <f>((($W$25)^Q27)*((1-($W$25))^($U$34-Q27))*HLOOKUP($U$34,$AV$24:$BF$34,Q27+1))*V34</f>
        <v>#DIV/0!</v>
      </c>
      <c r="AR27" s="28">
        <v>2</v>
      </c>
      <c r="AS27" s="79" t="e">
        <f>((($W$25)^Q27)*((1-($W$25))^($U$35-Q27))*HLOOKUP($U$35,$AV$24:$BF$34,Q27+1))*V35</f>
        <v>#DIV/0!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10"/>
        <v>2</v>
      </c>
      <c r="BI27">
        <v>7</v>
      </c>
      <c r="BJ27" s="107" t="e">
        <f t="shared" si="11"/>
        <v>#DIV/0!</v>
      </c>
      <c r="BP27">
        <f>BP21+1</f>
        <v>7</v>
      </c>
      <c r="BQ27">
        <v>3</v>
      </c>
      <c r="BR27" s="107" t="e">
        <f t="shared" si="12"/>
        <v>#DIV/0!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 t="e">
        <f>J28*L25+J27*L26+L28*J25+L27*J26</f>
        <v>#DIV/0!</v>
      </c>
      <c r="I28" s="93">
        <v>3</v>
      </c>
      <c r="J28" s="86" t="e">
        <f t="shared" si="13"/>
        <v>#DIV/0!</v>
      </c>
      <c r="K28" s="93">
        <v>3</v>
      </c>
      <c r="L28" s="86" t="e">
        <f>V20</f>
        <v>#DIV/0!</v>
      </c>
      <c r="M28" s="85">
        <v>3</v>
      </c>
      <c r="N28" s="71" t="e">
        <f>(($B$24)^M28)*((1-($B$24))^($B$21-M28))*HLOOKUP($B$21,$AV$24:$BF$34,M28+1)</f>
        <v>#DIV/0!</v>
      </c>
      <c r="O28" s="72">
        <v>3</v>
      </c>
      <c r="P28" s="71" t="e">
        <f t="shared" si="14"/>
        <v>#DIV/0!</v>
      </c>
      <c r="Q28" s="28">
        <v>3</v>
      </c>
      <c r="R28" s="37" t="e">
        <f>P25*N28+P26*N27+P27*N26+P28*N25</f>
        <v>#DIV/0!</v>
      </c>
      <c r="S28" s="72">
        <v>3</v>
      </c>
      <c r="T28" s="135" t="e">
        <f t="shared" si="15"/>
        <v>#DIV/0!</v>
      </c>
      <c r="U28" s="93">
        <v>3</v>
      </c>
      <c r="V28" s="86" t="e">
        <f>R28*T25+R27*T26+R26*T27+R25*T28</f>
        <v>#DIV/0!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 t="e">
        <f>((($W$25)^M28)*((1-($W$25))^($U$28-M28))*HLOOKUP($U$28,$AV$24:$BF$34,M28+1))*V28</f>
        <v>#DIV/0!</v>
      </c>
      <c r="AF28" s="28">
        <v>3</v>
      </c>
      <c r="AG28" s="79" t="e">
        <f>((($W$25)^M28)*((1-($W$25))^($U$29-M28))*HLOOKUP($U$29,$AV$24:$BF$34,M28+1))*V29</f>
        <v>#DIV/0!</v>
      </c>
      <c r="AH28" s="28">
        <v>3</v>
      </c>
      <c r="AI28" s="79" t="e">
        <f>((($W$25)^M28)*((1-($W$25))^($U$30-M28))*HLOOKUP($U$30,$AV$24:$BF$34,M28+1))*V30</f>
        <v>#DIV/0!</v>
      </c>
      <c r="AJ28" s="28">
        <v>3</v>
      </c>
      <c r="AK28" s="79" t="e">
        <f>((($W$25)^M28)*((1-($W$25))^($U$31-M28))*HLOOKUP($U$31,$AV$24:$BF$34,M28+1))*V31</f>
        <v>#DIV/0!</v>
      </c>
      <c r="AL28" s="28">
        <v>3</v>
      </c>
      <c r="AM28" s="79" t="e">
        <f>((($W$25)^Q28)*((1-($W$25))^($U$32-Q28))*HLOOKUP($U$32,$AV$24:$BF$34,Q28+1))*V32</f>
        <v>#DIV/0!</v>
      </c>
      <c r="AN28" s="28">
        <v>3</v>
      </c>
      <c r="AO28" s="79" t="e">
        <f>((($W$25)^Q28)*((1-($W$25))^($U$33-Q28))*HLOOKUP($U$33,$AV$24:$BF$34,Q28+1))*V33</f>
        <v>#DIV/0!</v>
      </c>
      <c r="AP28" s="28">
        <v>3</v>
      </c>
      <c r="AQ28" s="79" t="e">
        <f>((($W$25)^Q28)*((1-($W$25))^($U$34-Q28))*HLOOKUP($U$34,$AV$24:$BF$34,Q28+1))*V34</f>
        <v>#DIV/0!</v>
      </c>
      <c r="AR28" s="28">
        <v>3</v>
      </c>
      <c r="AS28" s="79" t="e">
        <f>((($W$25)^Q28)*((1-($W$25))^($U$35-Q28))*HLOOKUP($U$35,$AV$24:$BF$34,Q28+1))*V35</f>
        <v>#DIV/0!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10"/>
        <v>2</v>
      </c>
      <c r="BI28">
        <v>8</v>
      </c>
      <c r="BJ28" s="107" t="e">
        <f t="shared" si="11"/>
        <v>#DIV/0!</v>
      </c>
      <c r="BP28">
        <f>BP22+1</f>
        <v>7</v>
      </c>
      <c r="BQ28">
        <v>4</v>
      </c>
      <c r="BR28" s="107" t="e">
        <f t="shared" si="12"/>
        <v>#DIV/0!</v>
      </c>
    </row>
    <row r="29" spans="1:70" x14ac:dyDescent="0.25">
      <c r="A29" s="26" t="s">
        <v>27</v>
      </c>
      <c r="B29" s="123">
        <f>1/(1+EXP(-3.1416*4*((B14/(B14+C13))-(3.1416/6))))</f>
        <v>1.555707217202411E-2</v>
      </c>
      <c r="C29" s="118">
        <f>1/(1+EXP(-3.1416*4*((C14/(C14+B13))-(3.1416/6))))</f>
        <v>0.96248844203767769</v>
      </c>
      <c r="D29" s="153">
        <v>0.04</v>
      </c>
      <c r="E29" s="153">
        <v>0.04</v>
      </c>
      <c r="G29" s="87">
        <v>4</v>
      </c>
      <c r="H29" s="128" t="e">
        <f>J29*L25+J28*L26+J27*L27+J26*L28</f>
        <v>#DIV/0!</v>
      </c>
      <c r="I29" s="93">
        <v>4</v>
      </c>
      <c r="J29" s="86" t="e">
        <f t="shared" si="13"/>
        <v>#DIV/0!</v>
      </c>
      <c r="K29" s="93">
        <v>4</v>
      </c>
      <c r="L29" s="86"/>
      <c r="M29" s="85">
        <v>4</v>
      </c>
      <c r="N29" s="71" t="e">
        <f>(($B$24)^M29)*((1-($B$24))^($B$21-M29))*HLOOKUP($B$21,$AV$24:$BF$34,M29+1)</f>
        <v>#DIV/0!</v>
      </c>
      <c r="O29" s="72">
        <v>4</v>
      </c>
      <c r="P29" s="71" t="e">
        <f t="shared" si="14"/>
        <v>#DIV/0!</v>
      </c>
      <c r="Q29" s="28">
        <v>4</v>
      </c>
      <c r="R29" s="37" t="e">
        <f>P25*N29+P26*N28+P27*N27+P28*N26+P29*N25</f>
        <v>#DIV/0!</v>
      </c>
      <c r="S29" s="72">
        <v>4</v>
      </c>
      <c r="T29" s="135" t="e">
        <f t="shared" si="15"/>
        <v>#DIV/0!</v>
      </c>
      <c r="U29" s="93">
        <v>4</v>
      </c>
      <c r="V29" s="86" t="e">
        <f>T29*R25+T28*R26+T27*R27+T26*R28+T25*R29</f>
        <v>#DIV/0!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 t="e">
        <f>((($W$25)^M29)*((1-($W$25))^($U$29-M29))*HLOOKUP($U$29,$AV$24:$BF$34,M29+1))*V29</f>
        <v>#DIV/0!</v>
      </c>
      <c r="AH29" s="28">
        <v>4</v>
      </c>
      <c r="AI29" s="79" t="e">
        <f>((($W$25)^M29)*((1-($W$25))^($U$30-M29))*HLOOKUP($U$30,$AV$24:$BF$34,M29+1))*V30</f>
        <v>#DIV/0!</v>
      </c>
      <c r="AJ29" s="28">
        <v>4</v>
      </c>
      <c r="AK29" s="79" t="e">
        <f>((($W$25)^M29)*((1-($W$25))^($U$31-M29))*HLOOKUP($U$31,$AV$24:$BF$34,M29+1))*V31</f>
        <v>#DIV/0!</v>
      </c>
      <c r="AL29" s="28">
        <v>4</v>
      </c>
      <c r="AM29" s="79" t="e">
        <f>((($W$25)^Q29)*((1-($W$25))^($U$32-Q29))*HLOOKUP($U$32,$AV$24:$BF$34,Q29+1))*V32</f>
        <v>#DIV/0!</v>
      </c>
      <c r="AN29" s="28">
        <v>4</v>
      </c>
      <c r="AO29" s="79" t="e">
        <f>((($W$25)^Q29)*((1-($W$25))^($U$33-Q29))*HLOOKUP($U$33,$AV$24:$BF$34,Q29+1))*V33</f>
        <v>#DIV/0!</v>
      </c>
      <c r="AP29" s="28">
        <v>4</v>
      </c>
      <c r="AQ29" s="79" t="e">
        <f>((($W$25)^Q29)*((1-($W$25))^($U$34-Q29))*HLOOKUP($U$34,$AV$24:$BF$34,Q29+1))*V34</f>
        <v>#DIV/0!</v>
      </c>
      <c r="AR29" s="28">
        <v>4</v>
      </c>
      <c r="AS29" s="79" t="e">
        <f>((($W$25)^Q29)*((1-($W$25))^($U$35-Q29))*HLOOKUP($U$35,$AV$24:$BF$34,Q29+1))*V35</f>
        <v>#DIV/0!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6">BE28+BE29</f>
        <v>252</v>
      </c>
      <c r="BH29">
        <f t="shared" si="10"/>
        <v>2</v>
      </c>
      <c r="BI29">
        <v>9</v>
      </c>
      <c r="BJ29" s="107" t="e">
        <f t="shared" si="11"/>
        <v>#DIV/0!</v>
      </c>
      <c r="BP29">
        <f>BP23+1</f>
        <v>7</v>
      </c>
      <c r="BQ29">
        <v>5</v>
      </c>
      <c r="BR29" s="107" t="e">
        <f t="shared" si="12"/>
        <v>#DIV/0!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 t="e">
        <f>J30*L25+J29*L26+J28*L27+J27*L28</f>
        <v>#DIV/0!</v>
      </c>
      <c r="I30" s="93">
        <v>5</v>
      </c>
      <c r="J30" s="86" t="e">
        <f t="shared" si="13"/>
        <v>#DIV/0!</v>
      </c>
      <c r="K30" s="93">
        <v>5</v>
      </c>
      <c r="L30" s="86"/>
      <c r="M30" s="85">
        <v>5</v>
      </c>
      <c r="N30" s="71" t="e">
        <f>(($B$24)^M30)*((1-($B$24))^($B$21-M30))*HLOOKUP($B$21,$AV$24:$BF$34,M30+1)</f>
        <v>#DIV/0!</v>
      </c>
      <c r="O30" s="72">
        <v>5</v>
      </c>
      <c r="P30" s="71" t="e">
        <f t="shared" si="14"/>
        <v>#DIV/0!</v>
      </c>
      <c r="Q30" s="28">
        <v>5</v>
      </c>
      <c r="R30" s="37" t="e">
        <f>P25*N30+P26*N29+P27*N28+P28*N27+P29*N26+P30*N25</f>
        <v>#DIV/0!</v>
      </c>
      <c r="S30" s="72">
        <v>5</v>
      </c>
      <c r="T30" s="135" t="e">
        <f t="shared" si="15"/>
        <v>#DIV/0!</v>
      </c>
      <c r="U30" s="93">
        <v>5</v>
      </c>
      <c r="V30" s="86" t="e">
        <f>T30*R25+T29*R26+T28*R27+T27*R28+T26*R29+T25*R30</f>
        <v>#DIV/0!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 t="e">
        <f>((($W$25)^M30)*((1-($W$25))^($U$30-M30))*HLOOKUP($U$30,$AV$24:$BF$34,M30+1))*V30</f>
        <v>#DIV/0!</v>
      </c>
      <c r="AJ30" s="28">
        <v>5</v>
      </c>
      <c r="AK30" s="79" t="e">
        <f>((($W$25)^M30)*((1-($W$25))^($U$31-M30))*HLOOKUP($U$31,$AV$24:$BF$34,M30+1))*V31</f>
        <v>#DIV/0!</v>
      </c>
      <c r="AL30" s="28">
        <v>5</v>
      </c>
      <c r="AM30" s="79" t="e">
        <f>((($W$25)^Q30)*((1-($W$25))^($U$32-Q30))*HLOOKUP($U$32,$AV$24:$BF$34,Q30+1))*V32</f>
        <v>#DIV/0!</v>
      </c>
      <c r="AN30" s="28">
        <v>5</v>
      </c>
      <c r="AO30" s="79" t="e">
        <f>((($W$25)^Q30)*((1-($W$25))^($U$33-Q30))*HLOOKUP($U$33,$AV$24:$BF$34,Q30+1))*V33</f>
        <v>#DIV/0!</v>
      </c>
      <c r="AP30" s="28">
        <v>5</v>
      </c>
      <c r="AQ30" s="79" t="e">
        <f>((($W$25)^Q30)*((1-($W$25))^($U$34-Q30))*HLOOKUP($U$34,$AV$24:$BF$34,Q30+1))*V34</f>
        <v>#DIV/0!</v>
      </c>
      <c r="AR30" s="28">
        <v>5</v>
      </c>
      <c r="AS30" s="79" t="e">
        <f>((($W$25)^Q30)*((1-($W$25))^($U$35-Q30))*HLOOKUP($U$35,$AV$24:$BF$34,Q30+1))*V35</f>
        <v>#DIV/0!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6"/>
        <v>210</v>
      </c>
      <c r="BH30">
        <f t="shared" si="10"/>
        <v>2</v>
      </c>
      <c r="BI30">
        <v>10</v>
      </c>
      <c r="BJ30" s="107" t="e">
        <f t="shared" si="11"/>
        <v>#DIV/0!</v>
      </c>
      <c r="BP30">
        <f>BL10+1</f>
        <v>7</v>
      </c>
      <c r="BQ30">
        <v>6</v>
      </c>
      <c r="BR30" s="107" t="e">
        <f t="shared" si="12"/>
        <v>#DIV/0!</v>
      </c>
    </row>
    <row r="31" spans="1:70" x14ac:dyDescent="0.25">
      <c r="A31" s="189" t="s">
        <v>68</v>
      </c>
      <c r="B31" s="60" t="e">
        <f>(B25*D25)+(B26*D26)+(B27*D27)+(B28*D28)+(B29*D29)+(B30*D30)/(B25+B26+B27+B28+B29+B30)</f>
        <v>#DIV/0!</v>
      </c>
      <c r="C31" s="61" t="e">
        <f>(C25*E25)+(C26*E26)+(C27*E27)+(C28*E28)+(C29*E29)+(C30*E30)/(C25+C26+C27+C28+C29+C30)</f>
        <v>#DIV/0!</v>
      </c>
      <c r="G31" s="87">
        <v>6</v>
      </c>
      <c r="H31" s="128" t="e">
        <f>J31*L25+J30*L26+J29*L27+J28*L28</f>
        <v>#DIV/0!</v>
      </c>
      <c r="I31" s="93">
        <v>6</v>
      </c>
      <c r="J31" s="86" t="e">
        <f t="shared" si="13"/>
        <v>#DIV/0!</v>
      </c>
      <c r="K31" s="93">
        <v>6</v>
      </c>
      <c r="L31" s="86"/>
      <c r="M31" s="85"/>
      <c r="N31" s="73"/>
      <c r="O31" s="37"/>
      <c r="P31" s="37"/>
      <c r="Q31" s="28">
        <v>6</v>
      </c>
      <c r="R31" s="37" t="e">
        <f>P26*N30+P27*N29+P28*N28+P29*N27+P30*N26</f>
        <v>#DIV/0!</v>
      </c>
      <c r="S31" s="70">
        <v>6</v>
      </c>
      <c r="T31" s="135" t="e">
        <f t="shared" si="15"/>
        <v>#DIV/0!</v>
      </c>
      <c r="U31" s="93">
        <v>6</v>
      </c>
      <c r="V31" s="86" t="e">
        <f>T31*R25+T30*R26+T29*R27+T28*R28+T27*R29+T26*R30+T25*R31</f>
        <v>#DIV/0!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 t="e">
        <f>((($W$25)^Q31)*((1-($W$25))^($U$31-Q31))*HLOOKUP($U$31,$AV$24:$BF$34,Q31+1))*V31</f>
        <v>#DIV/0!</v>
      </c>
      <c r="AL31" s="28">
        <v>6</v>
      </c>
      <c r="AM31" s="79" t="e">
        <f>((($W$25)^Q31)*((1-($W$25))^($U$32-Q31))*HLOOKUP($U$32,$AV$24:$BF$34,Q31+1))*V32</f>
        <v>#DIV/0!</v>
      </c>
      <c r="AN31" s="28">
        <v>6</v>
      </c>
      <c r="AO31" s="79" t="e">
        <f>((($W$25)^Q31)*((1-($W$25))^($U$33-Q31))*HLOOKUP($U$33,$AV$24:$BF$34,Q31+1))*V33</f>
        <v>#DIV/0!</v>
      </c>
      <c r="AP31" s="28">
        <v>6</v>
      </c>
      <c r="AQ31" s="79" t="e">
        <f>((($W$25)^Q31)*((1-($W$25))^($U$34-Q31))*HLOOKUP($U$34,$AV$24:$BF$34,Q31+1))*V34</f>
        <v>#DIV/0!</v>
      </c>
      <c r="AR31" s="28">
        <v>6</v>
      </c>
      <c r="AS31" s="79" t="e">
        <f>((($W$25)^Q31)*((1-($W$25))^($U$35-Q31))*HLOOKUP($U$35,$AV$24:$BF$34,Q31+1))*V35</f>
        <v>#DIV/0!</v>
      </c>
      <c r="AV31" s="14">
        <v>7</v>
      </c>
      <c r="BC31">
        <v>1</v>
      </c>
      <c r="BD31">
        <v>8</v>
      </c>
      <c r="BE31">
        <f>28+8</f>
        <v>36</v>
      </c>
      <c r="BF31">
        <f t="shared" si="16"/>
        <v>120</v>
      </c>
      <c r="BH31">
        <f t="shared" ref="BH31:BH37" si="17">BH24+1</f>
        <v>3</v>
      </c>
      <c r="BI31">
        <v>4</v>
      </c>
      <c r="BJ31" s="107" t="e">
        <f t="shared" ref="BJ31:BJ37" si="18">$H$28*H43</f>
        <v>#DIV/0!</v>
      </c>
      <c r="BP31">
        <f t="shared" ref="BP31:BP37" si="19">BP24+1</f>
        <v>8</v>
      </c>
      <c r="BQ31">
        <v>0</v>
      </c>
      <c r="BR31" s="107" t="e">
        <f t="shared" ref="BR31:BR38" si="20">$H$33*H39</f>
        <v>#DIV/0!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 t="e">
        <f>J32*L25+J31*L26+J30*L27+J29*L28</f>
        <v>#DIV/0!</v>
      </c>
      <c r="I32" s="93">
        <v>7</v>
      </c>
      <c r="J32" s="86" t="e">
        <f t="shared" si="13"/>
        <v>#DIV/0!</v>
      </c>
      <c r="K32" s="93">
        <v>7</v>
      </c>
      <c r="L32" s="86"/>
      <c r="M32" s="85"/>
      <c r="N32" s="73"/>
      <c r="O32" s="37"/>
      <c r="P32" s="37"/>
      <c r="Q32" s="28">
        <v>7</v>
      </c>
      <c r="R32" s="37" t="e">
        <f>P27*N30+P28*N29+P29*N28+P30*N27</f>
        <v>#DIV/0!</v>
      </c>
      <c r="S32" s="72">
        <v>7</v>
      </c>
      <c r="T32" s="135" t="e">
        <f t="shared" si="15"/>
        <v>#DIV/0!</v>
      </c>
      <c r="U32" s="93">
        <v>7</v>
      </c>
      <c r="V32" s="86" t="e">
        <f>T32*R25+T31*R26+T30*R27+T29*R28+T28*R29+T27*R30+T26*R31+T25*R32</f>
        <v>#DIV/0!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 t="e">
        <f>((($W$25)^Q32)*((1-($W$25))^($U$32-Q32))*HLOOKUP($U$32,$AV$24:$BF$34,Q32+1))*V32</f>
        <v>#DIV/0!</v>
      </c>
      <c r="AN32" s="28">
        <v>7</v>
      </c>
      <c r="AO32" s="79" t="e">
        <f>((($W$25)^Q32)*((1-($W$25))^($U$33-Q32))*HLOOKUP($U$33,$AV$24:$BF$34,Q32+1))*V33</f>
        <v>#DIV/0!</v>
      </c>
      <c r="AP32" s="28">
        <v>7</v>
      </c>
      <c r="AQ32" s="79" t="e">
        <f>((($W$25)^Q32)*((1-($W$25))^($U$34-Q32))*HLOOKUP($U$34,$AV$24:$BF$34,Q32+1))*V34</f>
        <v>#DIV/0!</v>
      </c>
      <c r="AR32" s="28">
        <v>7</v>
      </c>
      <c r="AS32" s="79" t="e">
        <f>((($W$25)^Q32)*((1-($W$25))^($U$35-Q32))*HLOOKUP($U$35,$AV$24:$BF$34,Q32+1))*V35</f>
        <v>#DIV/0!</v>
      </c>
      <c r="AV32" s="14">
        <v>8</v>
      </c>
      <c r="BD32">
        <v>1</v>
      </c>
      <c r="BE32">
        <v>9</v>
      </c>
      <c r="BF32">
        <f t="shared" si="16"/>
        <v>45</v>
      </c>
      <c r="BH32">
        <f t="shared" si="17"/>
        <v>3</v>
      </c>
      <c r="BI32">
        <v>5</v>
      </c>
      <c r="BJ32" s="107" t="e">
        <f t="shared" si="18"/>
        <v>#DIV/0!</v>
      </c>
      <c r="BP32">
        <f t="shared" si="19"/>
        <v>8</v>
      </c>
      <c r="BQ32">
        <v>1</v>
      </c>
      <c r="BR32" s="107" t="e">
        <f t="shared" si="20"/>
        <v>#DIV/0!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 t="e">
        <f>J33*L25+J32*L26+J31*L27+J30*L28</f>
        <v>#DIV/0!</v>
      </c>
      <c r="I33" s="93">
        <v>8</v>
      </c>
      <c r="J33" s="86" t="e">
        <f t="shared" si="13"/>
        <v>#DIV/0!</v>
      </c>
      <c r="K33" s="93">
        <v>8</v>
      </c>
      <c r="L33" s="86"/>
      <c r="M33" s="85"/>
      <c r="N33" s="73"/>
      <c r="O33" s="37"/>
      <c r="P33" s="37"/>
      <c r="Q33" s="28">
        <v>8</v>
      </c>
      <c r="R33" s="37" t="e">
        <f>P28*N30+P29*N29+P30*N28</f>
        <v>#DIV/0!</v>
      </c>
      <c r="S33" s="72">
        <v>8</v>
      </c>
      <c r="T33" s="135" t="e">
        <f t="shared" si="15"/>
        <v>#DIV/0!</v>
      </c>
      <c r="U33" s="93">
        <v>8</v>
      </c>
      <c r="V33" s="86" t="e">
        <f>T33*R25+T32*R26+T31*R27+T30*R28+T29*R29+T28*R30+T27*R31+T26*R32+T25*R33</f>
        <v>#DIV/0!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 t="e">
        <f>((($W$25)^Q33)*((1-($W$25))^($U$33-Q33))*HLOOKUP($U$33,$AV$24:$BF$34,Q33+1))*V33</f>
        <v>#DIV/0!</v>
      </c>
      <c r="AP33" s="28">
        <v>8</v>
      </c>
      <c r="AQ33" s="79" t="e">
        <f>((($W$25)^Q33)*((1-($W$25))^($U$34-Q33))*HLOOKUP($U$34,$AV$24:$BF$34,Q33+1))*V34</f>
        <v>#DIV/0!</v>
      </c>
      <c r="AR33" s="28">
        <v>8</v>
      </c>
      <c r="AS33" s="79" t="e">
        <f>((($W$25)^Q33)*((1-($W$25))^($U$35-Q33))*HLOOKUP($U$35,$AV$24:$BF$34,Q33+1))*V35</f>
        <v>#DIV/0!</v>
      </c>
      <c r="AV33" s="29">
        <v>9</v>
      </c>
      <c r="BE33">
        <v>1</v>
      </c>
      <c r="BF33">
        <f t="shared" si="16"/>
        <v>10</v>
      </c>
      <c r="BH33">
        <f t="shared" si="17"/>
        <v>3</v>
      </c>
      <c r="BI33">
        <v>6</v>
      </c>
      <c r="BJ33" s="107" t="e">
        <f t="shared" si="18"/>
        <v>#DIV/0!</v>
      </c>
      <c r="BP33">
        <f t="shared" si="19"/>
        <v>8</v>
      </c>
      <c r="BQ33">
        <v>2</v>
      </c>
      <c r="BR33" s="107" t="e">
        <f t="shared" si="20"/>
        <v>#DIV/0!</v>
      </c>
    </row>
    <row r="34" spans="1:70" x14ac:dyDescent="0.25">
      <c r="A34" s="40" t="s">
        <v>86</v>
      </c>
      <c r="B34" s="56" t="e">
        <f>B23*2</f>
        <v>#DIV/0!</v>
      </c>
      <c r="C34" s="57" t="e">
        <f>C23*2</f>
        <v>#DIV/0!</v>
      </c>
      <c r="G34" s="87">
        <v>9</v>
      </c>
      <c r="H34" s="128" t="e">
        <f>J34*L25+J33*L26+J32*L27+J31*L28</f>
        <v>#DIV/0!</v>
      </c>
      <c r="I34" s="93">
        <v>9</v>
      </c>
      <c r="J34" s="86" t="e">
        <f t="shared" si="13"/>
        <v>#DIV/0!</v>
      </c>
      <c r="K34" s="93">
        <v>9</v>
      </c>
      <c r="L34" s="86"/>
      <c r="M34" s="85"/>
      <c r="N34" s="73"/>
      <c r="O34" s="37"/>
      <c r="P34" s="37"/>
      <c r="Q34" s="28">
        <v>9</v>
      </c>
      <c r="R34" s="37" t="e">
        <f>P29*N30+P30*N29</f>
        <v>#DIV/0!</v>
      </c>
      <c r="S34" s="72">
        <v>9</v>
      </c>
      <c r="T34" s="135" t="e">
        <f t="shared" si="15"/>
        <v>#DIV/0!</v>
      </c>
      <c r="U34" s="93">
        <v>9</v>
      </c>
      <c r="V34" s="86" t="e">
        <f>T34*R25+T33*R26+T32*R27+T31*R28+T30*R29+T29*R30+T28*R31+T27*R32+T26*R33+T25*R34</f>
        <v>#DIV/0!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 t="e">
        <f>((($W$25)^Q34)*((1-($W$25))^($U$34-Q34))*HLOOKUP($U$34,$AV$24:$BF$34,Q34+1))*V34</f>
        <v>#DIV/0!</v>
      </c>
      <c r="AR34" s="28">
        <v>9</v>
      </c>
      <c r="AS34" s="79" t="e">
        <f>((($W$25)^Q34)*((1-($W$25))^($U$35-Q34))*HLOOKUP($U$35,$AV$24:$BF$34,Q34+1))*V35</f>
        <v>#DIV/0!</v>
      </c>
      <c r="AV34" s="14">
        <v>10</v>
      </c>
      <c r="BF34">
        <f t="shared" si="16"/>
        <v>1</v>
      </c>
      <c r="BH34">
        <f t="shared" si="17"/>
        <v>3</v>
      </c>
      <c r="BI34">
        <v>7</v>
      </c>
      <c r="BJ34" s="107" t="e">
        <f t="shared" si="18"/>
        <v>#DIV/0!</v>
      </c>
      <c r="BP34">
        <f t="shared" si="19"/>
        <v>8</v>
      </c>
      <c r="BQ34">
        <v>3</v>
      </c>
      <c r="BR34" s="107" t="e">
        <f t="shared" si="20"/>
        <v>#DIV/0!</v>
      </c>
    </row>
    <row r="35" spans="1:70" ht="15.75" thickBot="1" x14ac:dyDescent="0.3">
      <c r="G35" s="88">
        <v>10</v>
      </c>
      <c r="H35" s="129" t="e">
        <f>J35*L25+J34*L26+J33*L27+J32*L28</f>
        <v>#DIV/0!</v>
      </c>
      <c r="I35" s="94">
        <v>10</v>
      </c>
      <c r="J35" s="89" t="e">
        <f t="shared" si="13"/>
        <v>#DIV/0!</v>
      </c>
      <c r="K35" s="94">
        <v>10</v>
      </c>
      <c r="L35" s="89"/>
      <c r="M35" s="85"/>
      <c r="N35" s="73"/>
      <c r="O35" s="37"/>
      <c r="P35" s="37"/>
      <c r="Q35" s="28">
        <v>10</v>
      </c>
      <c r="R35" s="37" t="e">
        <f>P30*N30</f>
        <v>#DIV/0!</v>
      </c>
      <c r="S35" s="72">
        <v>10</v>
      </c>
      <c r="T35" s="135" t="e">
        <f t="shared" si="15"/>
        <v>#DIV/0!</v>
      </c>
      <c r="U35" s="94">
        <v>10</v>
      </c>
      <c r="V35" s="89" t="e">
        <f>IF(((T35*R25+T34*R26+T33*R27+T32*R28+T31*R29+T30*R30+T29*R31+T28*R32+T27*R33+T26*R34+T25*R35)+V23)&lt;&gt;1,1-V23,(T35*R25+T34*R26+T33*R27+T32*R28+T31*R29+T30*R30+T29*R31+T28*R32+T27*R33+T26*R34+T25*R35))</f>
        <v>#DIV/0!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 t="e">
        <f>((($W$25)^Q35)*((1-($W$25))^($U$35-Q35))*HLOOKUP($U$35,$AV$24:$BF$34,Q35+1))*V35</f>
        <v>#DIV/0!</v>
      </c>
      <c r="BH35">
        <f t="shared" si="17"/>
        <v>3</v>
      </c>
      <c r="BI35">
        <v>8</v>
      </c>
      <c r="BJ35" s="107" t="e">
        <f t="shared" si="18"/>
        <v>#DIV/0!</v>
      </c>
      <c r="BP35">
        <f t="shared" si="19"/>
        <v>8</v>
      </c>
      <c r="BQ35">
        <v>4</v>
      </c>
      <c r="BR35" s="107" t="e">
        <f t="shared" si="20"/>
        <v>#DIV/0!</v>
      </c>
    </row>
    <row r="36" spans="1:70" x14ac:dyDescent="0.25">
      <c r="A36" s="1"/>
      <c r="B36" s="108" t="e">
        <f>SUM(B37:B39)</f>
        <v>#DIV/0!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 t="e">
        <f>SUM(V39:V49)</f>
        <v>#DIV/0!</v>
      </c>
      <c r="W36" s="13"/>
      <c r="X36" s="13"/>
      <c r="AS36" s="82" t="e">
        <f>Y37+AA37+AC37+AE37+AG37+AI37+AK37+AM37+AO37+AQ37+AS37</f>
        <v>#DIV/0!</v>
      </c>
      <c r="BH36">
        <f t="shared" si="17"/>
        <v>3</v>
      </c>
      <c r="BI36">
        <v>9</v>
      </c>
      <c r="BJ36" s="107" t="e">
        <f t="shared" si="18"/>
        <v>#DIV/0!</v>
      </c>
      <c r="BP36">
        <f t="shared" si="19"/>
        <v>8</v>
      </c>
      <c r="BQ36">
        <v>5</v>
      </c>
      <c r="BR36" s="107" t="e">
        <f t="shared" si="20"/>
        <v>#DIV/0!</v>
      </c>
    </row>
    <row r="37" spans="1:70" ht="15.75" thickBot="1" x14ac:dyDescent="0.3">
      <c r="A37" s="109" t="s">
        <v>104</v>
      </c>
      <c r="B37" s="107" t="e">
        <f>SUM(BN4:BN14)</f>
        <v>#DIV/0!</v>
      </c>
      <c r="G37" s="13"/>
      <c r="H37" s="59" t="e">
        <f>SUM(H39:H49)</f>
        <v>#DIV/0!</v>
      </c>
      <c r="I37" s="13"/>
      <c r="J37" s="59" t="e">
        <f>SUM(J39:J49)</f>
        <v>#DIV/0!</v>
      </c>
      <c r="K37" s="59"/>
      <c r="L37" s="59" t="e">
        <f>SUM(L39:L49)</f>
        <v>#DIV/0!</v>
      </c>
      <c r="M37" s="13"/>
      <c r="N37" s="74" t="e">
        <f>SUM(N39:N49)</f>
        <v>#DIV/0!</v>
      </c>
      <c r="O37" s="13"/>
      <c r="P37" s="74" t="e">
        <f>SUM(P39:P49)</f>
        <v>#DIV/0!</v>
      </c>
      <c r="Q37" s="13"/>
      <c r="R37" s="59" t="e">
        <f>SUM(R39:R49)</f>
        <v>#DIV/0!</v>
      </c>
      <c r="S37" s="13"/>
      <c r="T37" s="59" t="e">
        <f>SUM(T39:T49)</f>
        <v>#DIV/0!</v>
      </c>
      <c r="U37" s="13"/>
      <c r="V37" s="59" t="e">
        <f>SUM(V39:V48)</f>
        <v>#DIV/0!</v>
      </c>
      <c r="W37" s="13"/>
      <c r="X37" s="13"/>
      <c r="Y37" s="80" t="e">
        <f>SUM(Y39:Y49)</f>
        <v>#DIV/0!</v>
      </c>
      <c r="Z37" s="81"/>
      <c r="AA37" s="80" t="e">
        <f>SUM(AA39:AA49)</f>
        <v>#DIV/0!</v>
      </c>
      <c r="AB37" s="81"/>
      <c r="AC37" s="80" t="e">
        <f>SUM(AC39:AC49)</f>
        <v>#DIV/0!</v>
      </c>
      <c r="AD37" s="81"/>
      <c r="AE37" s="80" t="e">
        <f>SUM(AE39:AE49)</f>
        <v>#DIV/0!</v>
      </c>
      <c r="AF37" s="81"/>
      <c r="AG37" s="80" t="e">
        <f>SUM(AG39:AG49)</f>
        <v>#DIV/0!</v>
      </c>
      <c r="AH37" s="81"/>
      <c r="AI37" s="80" t="e">
        <f>SUM(AI39:AI49)</f>
        <v>#DIV/0!</v>
      </c>
      <c r="AJ37" s="81"/>
      <c r="AK37" s="80" t="e">
        <f>SUM(AK39:AK49)</f>
        <v>#DIV/0!</v>
      </c>
      <c r="AL37" s="81"/>
      <c r="AM37" s="80" t="e">
        <f>SUM(AM39:AM49)</f>
        <v>#DIV/0!</v>
      </c>
      <c r="AN37" s="81"/>
      <c r="AO37" s="80" t="e">
        <f>SUM(AO39:AO49)</f>
        <v>#DIV/0!</v>
      </c>
      <c r="AP37" s="81"/>
      <c r="AQ37" s="80" t="e">
        <f>SUM(AQ39:AQ49)</f>
        <v>#DIV/0!</v>
      </c>
      <c r="AR37" s="81"/>
      <c r="AS37" s="80" t="e">
        <f>SUM(AS39:AS49)</f>
        <v>#DIV/0!</v>
      </c>
      <c r="BH37">
        <f t="shared" si="17"/>
        <v>3</v>
      </c>
      <c r="BI37">
        <v>10</v>
      </c>
      <c r="BJ37" s="107" t="e">
        <f t="shared" si="18"/>
        <v>#DIV/0!</v>
      </c>
      <c r="BP37">
        <f t="shared" si="19"/>
        <v>8</v>
      </c>
      <c r="BQ37">
        <v>6</v>
      </c>
      <c r="BR37" s="107" t="e">
        <f t="shared" si="20"/>
        <v>#DIV/0!</v>
      </c>
    </row>
    <row r="38" spans="1:70" ht="15.75" thickBot="1" x14ac:dyDescent="0.3">
      <c r="A38" s="110" t="s">
        <v>105</v>
      </c>
      <c r="B38" s="107" t="e">
        <f>SUM(BJ4:BJ59)</f>
        <v>#DIV/0!</v>
      </c>
      <c r="G38" s="103" t="str">
        <f t="shared" ref="G38:T38" si="21">G24</f>
        <v>G</v>
      </c>
      <c r="H38" s="104" t="str">
        <f t="shared" si="21"/>
        <v>p</v>
      </c>
      <c r="I38" s="103" t="str">
        <f t="shared" si="21"/>
        <v>GT</v>
      </c>
      <c r="J38" s="105" t="str">
        <f t="shared" si="21"/>
        <v>p(x)</v>
      </c>
      <c r="K38" s="106" t="str">
        <f t="shared" si="21"/>
        <v>EE(x)</v>
      </c>
      <c r="L38" s="105" t="str">
        <f t="shared" si="21"/>
        <v>p</v>
      </c>
      <c r="M38" s="90" t="str">
        <f t="shared" si="21"/>
        <v>OcaS</v>
      </c>
      <c r="N38" s="30" t="str">
        <f t="shared" si="21"/>
        <v>P</v>
      </c>
      <c r="O38" s="30" t="str">
        <f t="shared" si="21"/>
        <v>O_CA</v>
      </c>
      <c r="P38" s="30" t="str">
        <f t="shared" si="21"/>
        <v>p</v>
      </c>
      <c r="Q38" s="30" t="str">
        <f t="shared" si="21"/>
        <v>TotalN</v>
      </c>
      <c r="R38" s="30" t="str">
        <f t="shared" si="21"/>
        <v>p</v>
      </c>
      <c r="S38" s="30" t="str">
        <f t="shared" si="21"/>
        <v>OcaCA</v>
      </c>
      <c r="T38" s="141" t="str">
        <f t="shared" si="21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2">X24</f>
        <v>G0</v>
      </c>
      <c r="Y38" s="30" t="str">
        <f>Y24</f>
        <v>p</v>
      </c>
      <c r="Z38" s="30" t="str">
        <f t="shared" ref="Z38" si="23">Z24</f>
        <v>G1</v>
      </c>
      <c r="AA38" s="30" t="str">
        <f>AA24</f>
        <v>p</v>
      </c>
      <c r="AB38" s="30" t="str">
        <f t="shared" ref="AB38" si="24">AB24</f>
        <v>G2</v>
      </c>
      <c r="AC38" s="30" t="str">
        <f>AC24</f>
        <v>p</v>
      </c>
      <c r="AD38" s="30" t="str">
        <f t="shared" ref="AD38" si="25">AD24</f>
        <v>G3</v>
      </c>
      <c r="AE38" s="30" t="str">
        <f>AE24</f>
        <v>p</v>
      </c>
      <c r="AF38" s="30" t="str">
        <f t="shared" ref="AF38" si="26">AF24</f>
        <v>G4</v>
      </c>
      <c r="AG38" s="30" t="str">
        <f>AG24</f>
        <v>p</v>
      </c>
      <c r="AH38" s="30" t="str">
        <f t="shared" ref="AH38" si="27">AH24</f>
        <v>G5</v>
      </c>
      <c r="AI38" s="30" t="str">
        <f>AI24</f>
        <v>p</v>
      </c>
      <c r="AJ38" s="30" t="str">
        <f t="shared" ref="AJ38" si="28">AJ24</f>
        <v>G6</v>
      </c>
      <c r="AK38" s="30" t="str">
        <f>AK24</f>
        <v>p</v>
      </c>
      <c r="AL38" s="30" t="str">
        <f t="shared" ref="AL38" si="29">AL24</f>
        <v>G7</v>
      </c>
      <c r="AM38" s="30" t="str">
        <f>AM24</f>
        <v>p</v>
      </c>
      <c r="AN38" s="30" t="str">
        <f t="shared" ref="AN38" si="30">AN24</f>
        <v>G8</v>
      </c>
      <c r="AO38" s="30" t="str">
        <f>AO24</f>
        <v>p</v>
      </c>
      <c r="AP38" s="30" t="str">
        <f t="shared" ref="AP38" si="31">AP24</f>
        <v>G9</v>
      </c>
      <c r="AQ38" s="30" t="str">
        <f>AQ24</f>
        <v>p</v>
      </c>
      <c r="AR38" s="30" t="str">
        <f t="shared" ref="AR38" si="32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3">BH32+1</f>
        <v>4</v>
      </c>
      <c r="BI38">
        <v>5</v>
      </c>
      <c r="BJ38" s="107" t="e">
        <f t="shared" ref="BJ38:BJ43" si="34">$H$29*H44</f>
        <v>#DIV/0!</v>
      </c>
      <c r="BP38">
        <f>BL11+1</f>
        <v>8</v>
      </c>
      <c r="BQ38">
        <v>7</v>
      </c>
      <c r="BR38" s="107" t="e">
        <f t="shared" si="20"/>
        <v>#DIV/0!</v>
      </c>
    </row>
    <row r="39" spans="1:70" x14ac:dyDescent="0.25">
      <c r="A39" s="111" t="s">
        <v>0</v>
      </c>
      <c r="B39" s="107" t="e">
        <f>SUM(BR4:BR47)</f>
        <v>#DIV/0!</v>
      </c>
      <c r="G39" s="130">
        <v>0</v>
      </c>
      <c r="H39" s="131" t="e">
        <f>L39*J39</f>
        <v>#DIV/0!</v>
      </c>
      <c r="I39" s="97">
        <v>0</v>
      </c>
      <c r="J39" s="98" t="e">
        <f t="shared" ref="J39:J49" si="35">Y39+AA39+AC39+AE39+AG39+AI39+AK39+AM39+AO39+AQ39+AS39</f>
        <v>#DIV/0!</v>
      </c>
      <c r="K39" s="102">
        <v>0</v>
      </c>
      <c r="L39" s="98" t="e">
        <f>AC20</f>
        <v>#DIV/0!</v>
      </c>
      <c r="M39" s="84">
        <v>0</v>
      </c>
      <c r="N39" s="71" t="e">
        <f>(1-$C$24)^$B$21</f>
        <v>#DIV/0!</v>
      </c>
      <c r="O39" s="70">
        <v>0</v>
      </c>
      <c r="P39" s="71" t="e">
        <f>N39</f>
        <v>#DIV/0!</v>
      </c>
      <c r="Q39" s="12">
        <v>0</v>
      </c>
      <c r="R39" s="73" t="e">
        <f>P39*N39</f>
        <v>#DIV/0!</v>
      </c>
      <c r="S39" s="70">
        <v>0</v>
      </c>
      <c r="T39" s="135" t="e">
        <f>(1-$C$33)^(INT(B23*2*(1-B31)))</f>
        <v>#DIV/0!</v>
      </c>
      <c r="U39" s="140">
        <v>0</v>
      </c>
      <c r="V39" s="86" t="e">
        <f>R39*T39</f>
        <v>#DIV/0!</v>
      </c>
      <c r="W39" s="136" t="e">
        <f>C31</f>
        <v>#DIV/0!</v>
      </c>
      <c r="X39" s="12">
        <v>0</v>
      </c>
      <c r="Y39" s="79" t="e">
        <f>V39</f>
        <v>#DIV/0!</v>
      </c>
      <c r="Z39" s="12">
        <v>0</v>
      </c>
      <c r="AA39" s="78" t="e">
        <f>((1-W39)^Z40)*V40</f>
        <v>#DIV/0!</v>
      </c>
      <c r="AB39" s="12">
        <v>0</v>
      </c>
      <c r="AC39" s="79" t="e">
        <f>(((1-$W$39)^AB41))*V41</f>
        <v>#DIV/0!</v>
      </c>
      <c r="AD39" s="12">
        <v>0</v>
      </c>
      <c r="AE39" s="79" t="e">
        <f>(((1-$W$39)^AB42))*V42</f>
        <v>#DIV/0!</v>
      </c>
      <c r="AF39" s="12">
        <v>0</v>
      </c>
      <c r="AG39" s="79" t="e">
        <f>(((1-$W$39)^AB43))*V43</f>
        <v>#DIV/0!</v>
      </c>
      <c r="AH39" s="12">
        <v>0</v>
      </c>
      <c r="AI39" s="79" t="e">
        <f>(((1-$W$39)^AB44))*V44</f>
        <v>#DIV/0!</v>
      </c>
      <c r="AJ39" s="12">
        <v>0</v>
      </c>
      <c r="AK39" s="79" t="e">
        <f>(((1-$W$39)^AB45))*V45</f>
        <v>#DIV/0!</v>
      </c>
      <c r="AL39" s="12">
        <v>0</v>
      </c>
      <c r="AM39" s="79" t="e">
        <f>(((1-$W$39)^AB46))*V46</f>
        <v>#DIV/0!</v>
      </c>
      <c r="AN39" s="12">
        <v>0</v>
      </c>
      <c r="AO39" s="79" t="e">
        <f>(((1-$W$39)^AB47))*V47</f>
        <v>#DIV/0!</v>
      </c>
      <c r="AP39" s="12">
        <v>0</v>
      </c>
      <c r="AQ39" s="79" t="e">
        <f>(((1-$W$39)^AB48))*V48</f>
        <v>#DIV/0!</v>
      </c>
      <c r="AR39" s="12">
        <v>0</v>
      </c>
      <c r="AS39" s="79" t="e">
        <f>(((1-$W$39)^AB49))*V49</f>
        <v>#DIV/0!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3"/>
        <v>4</v>
      </c>
      <c r="BI39">
        <v>6</v>
      </c>
      <c r="BJ39" s="107" t="e">
        <f t="shared" si="34"/>
        <v>#DIV/0!</v>
      </c>
      <c r="BP39">
        <f t="shared" ref="BP39:BP46" si="36">BP31+1</f>
        <v>9</v>
      </c>
      <c r="BQ39">
        <v>0</v>
      </c>
      <c r="BR39" s="107" t="e">
        <f t="shared" ref="BR39:BR47" si="37">$H$34*H39</f>
        <v>#DIV/0!</v>
      </c>
    </row>
    <row r="40" spans="1:70" x14ac:dyDescent="0.25">
      <c r="G40" s="91">
        <v>1</v>
      </c>
      <c r="H40" s="132" t="e">
        <f>L39*J40+L40*J39</f>
        <v>#DIV/0!</v>
      </c>
      <c r="I40" s="93">
        <v>1</v>
      </c>
      <c r="J40" s="86" t="e">
        <f t="shared" si="35"/>
        <v>#DIV/0!</v>
      </c>
      <c r="K40" s="95">
        <v>1</v>
      </c>
      <c r="L40" s="86" t="e">
        <f>AD20</f>
        <v>#DIV/0!</v>
      </c>
      <c r="M40" s="85">
        <v>1</v>
      </c>
      <c r="N40" s="71" t="e">
        <f>(($C$24)^M26)*((1-($C$24))^($B$21-M26))*HLOOKUP($B$21,$AV$24:$BF$34,M26+1)</f>
        <v>#DIV/0!</v>
      </c>
      <c r="O40" s="72">
        <v>1</v>
      </c>
      <c r="P40" s="71" t="e">
        <f t="shared" ref="P40:P44" si="38">N40</f>
        <v>#DIV/0!</v>
      </c>
      <c r="Q40" s="28">
        <v>1</v>
      </c>
      <c r="R40" s="37" t="e">
        <f>P40*N39+P39*N40</f>
        <v>#DIV/0!</v>
      </c>
      <c r="S40" s="72">
        <v>1</v>
      </c>
      <c r="T40" s="135" t="e">
        <f t="shared" ref="T40:T49" si="39">(($C$33)^S40)*((1-($C$33))^(INT($B$23*2*(1-$B$31))-S40))*HLOOKUP(INT($B$23*2*(1-$B$31)),$AV$24:$BF$34,S40+1)</f>
        <v>#DIV/0!</v>
      </c>
      <c r="U40" s="93">
        <v>1</v>
      </c>
      <c r="V40" s="86" t="e">
        <f>R40*T39+T40*R39</f>
        <v>#DIV/0!</v>
      </c>
      <c r="W40" s="137"/>
      <c r="X40" s="28">
        <v>1</v>
      </c>
      <c r="Y40" s="73"/>
      <c r="Z40" s="28">
        <v>1</v>
      </c>
      <c r="AA40" s="79" t="e">
        <f>(1-((1-W39)^Z40))*V40</f>
        <v>#DIV/0!</v>
      </c>
      <c r="AB40" s="28">
        <v>1</v>
      </c>
      <c r="AC40" s="79" t="e">
        <f>((($W$39)^M40)*((1-($W$39))^($U$27-M40))*HLOOKUP($U$27,$AV$24:$BF$34,M40+1))*V41</f>
        <v>#DIV/0!</v>
      </c>
      <c r="AD40" s="28">
        <v>1</v>
      </c>
      <c r="AE40" s="79" t="e">
        <f>((($W$39)^M40)*((1-($W$39))^($U$28-M40))*HLOOKUP($U$28,$AV$24:$BF$34,M40+1))*V42</f>
        <v>#DIV/0!</v>
      </c>
      <c r="AF40" s="28">
        <v>1</v>
      </c>
      <c r="AG40" s="79" t="e">
        <f>((($W$39)^M40)*((1-($W$39))^($U$29-M40))*HLOOKUP($U$29,$AV$24:$BF$34,M40+1))*V43</f>
        <v>#DIV/0!</v>
      </c>
      <c r="AH40" s="28">
        <v>1</v>
      </c>
      <c r="AI40" s="79" t="e">
        <f>((($W$39)^M40)*((1-($W$39))^($U$30-M40))*HLOOKUP($U$30,$AV$24:$BF$34,M40+1))*V44</f>
        <v>#DIV/0!</v>
      </c>
      <c r="AJ40" s="28">
        <v>1</v>
      </c>
      <c r="AK40" s="79" t="e">
        <f>((($W$39)^M40)*((1-($W$39))^($U$31-M40))*HLOOKUP($U$31,$AV$24:$BF$34,M40+1))*V45</f>
        <v>#DIV/0!</v>
      </c>
      <c r="AL40" s="28">
        <v>1</v>
      </c>
      <c r="AM40" s="79" t="e">
        <f>((($W$39)^Q40)*((1-($W$39))^($U$32-Q40))*HLOOKUP($U$32,$AV$24:$BF$34,Q40+1))*V46</f>
        <v>#DIV/0!</v>
      </c>
      <c r="AN40" s="28">
        <v>1</v>
      </c>
      <c r="AO40" s="79" t="e">
        <f>((($W$39)^Q40)*((1-($W$39))^($U$33-Q40))*HLOOKUP($U$33,$AV$24:$BF$34,Q40+1))*V47</f>
        <v>#DIV/0!</v>
      </c>
      <c r="AP40" s="28">
        <v>1</v>
      </c>
      <c r="AQ40" s="79" t="e">
        <f>((($W$39)^Q40)*((1-($W$39))^($U$34-Q40))*HLOOKUP($U$34,$AV$24:$BF$34,Q40+1))*V48</f>
        <v>#DIV/0!</v>
      </c>
      <c r="AR40" s="28">
        <v>1</v>
      </c>
      <c r="AS40" s="79" t="e">
        <f>((($W$39)^Q40)*((1-($W$39))^($U$35-Q40))*HLOOKUP($U$35,$AV$24:$BF$34,Q40+1))*V49</f>
        <v>#DIV/0!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3"/>
        <v>4</v>
      </c>
      <c r="BI40">
        <v>7</v>
      </c>
      <c r="BJ40" s="107" t="e">
        <f t="shared" si="34"/>
        <v>#DIV/0!</v>
      </c>
      <c r="BP40">
        <f t="shared" si="36"/>
        <v>9</v>
      </c>
      <c r="BQ40">
        <v>1</v>
      </c>
      <c r="BR40" s="107" t="e">
        <f t="shared" si="37"/>
        <v>#DIV/0!</v>
      </c>
    </row>
    <row r="41" spans="1:70" x14ac:dyDescent="0.25">
      <c r="G41" s="91">
        <v>2</v>
      </c>
      <c r="H41" s="132" t="e">
        <f>L39*J41+J40*L40+J39*L41</f>
        <v>#DIV/0!</v>
      </c>
      <c r="I41" s="93">
        <v>2</v>
      </c>
      <c r="J41" s="86" t="e">
        <f t="shared" si="35"/>
        <v>#DIV/0!</v>
      </c>
      <c r="K41" s="95">
        <v>2</v>
      </c>
      <c r="L41" s="86" t="e">
        <f>AE20</f>
        <v>#DIV/0!</v>
      </c>
      <c r="M41" s="85">
        <v>2</v>
      </c>
      <c r="N41" s="71" t="e">
        <f>(($C$24)^M27)*((1-($C$24))^($B$21-M27))*HLOOKUP($B$21,$AV$24:$BF$34,M27+1)</f>
        <v>#DIV/0!</v>
      </c>
      <c r="O41" s="72">
        <v>2</v>
      </c>
      <c r="P41" s="71" t="e">
        <f t="shared" si="38"/>
        <v>#DIV/0!</v>
      </c>
      <c r="Q41" s="28">
        <v>2</v>
      </c>
      <c r="R41" s="37" t="e">
        <f>P41*N39+P40*N40+P39*N41</f>
        <v>#DIV/0!</v>
      </c>
      <c r="S41" s="72">
        <v>2</v>
      </c>
      <c r="T41" s="135" t="e">
        <f t="shared" si="39"/>
        <v>#DIV/0!</v>
      </c>
      <c r="U41" s="93">
        <v>2</v>
      </c>
      <c r="V41" s="86" t="e">
        <f>R41*T39+T40*R40+R39*T41</f>
        <v>#DIV/0!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 t="e">
        <f>((($W$39)^M41)*((1-($W$39))^($U$27-M41))*HLOOKUP($U$27,$AV$24:$BF$34,M41+1))*V41</f>
        <v>#DIV/0!</v>
      </c>
      <c r="AD41" s="28">
        <v>2</v>
      </c>
      <c r="AE41" s="79" t="e">
        <f>((($W$39)^M41)*((1-($W$39))^($U$28-M41))*HLOOKUP($U$28,$AV$24:$BF$34,M41+1))*V42</f>
        <v>#DIV/0!</v>
      </c>
      <c r="AF41" s="28">
        <v>2</v>
      </c>
      <c r="AG41" s="79" t="e">
        <f>((($W$39)^M41)*((1-($W$39))^($U$29-M41))*HLOOKUP($U$29,$AV$24:$BF$34,M41+1))*V43</f>
        <v>#DIV/0!</v>
      </c>
      <c r="AH41" s="28">
        <v>2</v>
      </c>
      <c r="AI41" s="79" t="e">
        <f>((($W$39)^M41)*((1-($W$39))^($U$30-M41))*HLOOKUP($U$30,$AV$24:$BF$34,M41+1))*V44</f>
        <v>#DIV/0!</v>
      </c>
      <c r="AJ41" s="28">
        <v>2</v>
      </c>
      <c r="AK41" s="79" t="e">
        <f>((($W$39)^M41)*((1-($W$39))^($U$31-M41))*HLOOKUP($U$31,$AV$24:$BF$34,M41+1))*V45</f>
        <v>#DIV/0!</v>
      </c>
      <c r="AL41" s="28">
        <v>2</v>
      </c>
      <c r="AM41" s="79" t="e">
        <f>((($W$39)^Q41)*((1-($W$39))^($U$32-Q41))*HLOOKUP($U$32,$AV$24:$BF$34,Q41+1))*V46</f>
        <v>#DIV/0!</v>
      </c>
      <c r="AN41" s="28">
        <v>2</v>
      </c>
      <c r="AO41" s="79" t="e">
        <f>((($W$39)^Q41)*((1-($W$39))^($U$33-Q41))*HLOOKUP($U$33,$AV$24:$BF$34,Q41+1))*V47</f>
        <v>#DIV/0!</v>
      </c>
      <c r="AP41" s="28">
        <v>2</v>
      </c>
      <c r="AQ41" s="79" t="e">
        <f>((($W$39)^Q41)*((1-($W$39))^($U$34-Q41))*HLOOKUP($U$34,$AV$24:$BF$34,Q41+1))*V48</f>
        <v>#DIV/0!</v>
      </c>
      <c r="AR41" s="28">
        <v>2</v>
      </c>
      <c r="AS41" s="79" t="e">
        <f>((($W$39)^Q41)*((1-($W$39))^($U$35-Q41))*HLOOKUP($U$35,$AV$24:$BF$34,Q41+1))*V49</f>
        <v>#DIV/0!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3"/>
        <v>4</v>
      </c>
      <c r="BI41">
        <v>8</v>
      </c>
      <c r="BJ41" s="107" t="e">
        <f t="shared" si="34"/>
        <v>#DIV/0!</v>
      </c>
      <c r="BP41">
        <f t="shared" si="36"/>
        <v>9</v>
      </c>
      <c r="BQ41">
        <v>2</v>
      </c>
      <c r="BR41" s="107" t="e">
        <f t="shared" si="37"/>
        <v>#DIV/0!</v>
      </c>
    </row>
    <row r="42" spans="1:70" ht="15" customHeight="1" x14ac:dyDescent="0.25">
      <c r="G42" s="91">
        <v>3</v>
      </c>
      <c r="H42" s="132" t="e">
        <f>J42*L39+J41*L40+L42*J39+L41*J40</f>
        <v>#DIV/0!</v>
      </c>
      <c r="I42" s="93">
        <v>3</v>
      </c>
      <c r="J42" s="86" t="e">
        <f t="shared" si="35"/>
        <v>#DIV/0!</v>
      </c>
      <c r="K42" s="95">
        <v>3</v>
      </c>
      <c r="L42" s="86" t="e">
        <f>AF20</f>
        <v>#DIV/0!</v>
      </c>
      <c r="M42" s="85">
        <v>3</v>
      </c>
      <c r="N42" s="71" t="e">
        <f>(($C$24)^M28)*((1-($C$24))^($B$21-M28))*HLOOKUP($B$21,$AV$24:$BF$34,M28+1)</f>
        <v>#DIV/0!</v>
      </c>
      <c r="O42" s="72">
        <v>3</v>
      </c>
      <c r="P42" s="71" t="e">
        <f t="shared" si="38"/>
        <v>#DIV/0!</v>
      </c>
      <c r="Q42" s="28">
        <v>3</v>
      </c>
      <c r="R42" s="37" t="e">
        <f>P42*N39+P41*N40+P40*N41+P39*N42</f>
        <v>#DIV/0!</v>
      </c>
      <c r="S42" s="72">
        <v>3</v>
      </c>
      <c r="T42" s="135" t="e">
        <f t="shared" si="39"/>
        <v>#DIV/0!</v>
      </c>
      <c r="U42" s="93">
        <v>3</v>
      </c>
      <c r="V42" s="86" t="e">
        <f>R42*T39+R41*T40+R40*T41+R39*T42</f>
        <v>#DIV/0!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 t="e">
        <f>((($W$39)^M42)*((1-($W$39))^($U$28-M42))*HLOOKUP($U$28,$AV$24:$BF$34,M42+1))*V42</f>
        <v>#DIV/0!</v>
      </c>
      <c r="AF42" s="28">
        <v>3</v>
      </c>
      <c r="AG42" s="79" t="e">
        <f>((($W$39)^M42)*((1-($W$39))^($U$29-M42))*HLOOKUP($U$29,$AV$24:$BF$34,M42+1))*V43</f>
        <v>#DIV/0!</v>
      </c>
      <c r="AH42" s="28">
        <v>3</v>
      </c>
      <c r="AI42" s="79" t="e">
        <f>((($W$39)^M42)*((1-($W$39))^($U$30-M42))*HLOOKUP($U$30,$AV$24:$BF$34,M42+1))*V44</f>
        <v>#DIV/0!</v>
      </c>
      <c r="AJ42" s="28">
        <v>3</v>
      </c>
      <c r="AK42" s="79" t="e">
        <f>((($W$39)^M42)*((1-($W$39))^($U$31-M42))*HLOOKUP($U$31,$AV$24:$BF$34,M42+1))*V45</f>
        <v>#DIV/0!</v>
      </c>
      <c r="AL42" s="28">
        <v>3</v>
      </c>
      <c r="AM42" s="79" t="e">
        <f>((($W$39)^Q42)*((1-($W$39))^($U$32-Q42))*HLOOKUP($U$32,$AV$24:$BF$34,Q42+1))*V46</f>
        <v>#DIV/0!</v>
      </c>
      <c r="AN42" s="28">
        <v>3</v>
      </c>
      <c r="AO42" s="79" t="e">
        <f>((($W$39)^Q42)*((1-($W$39))^($U$33-Q42))*HLOOKUP($U$33,$AV$24:$BF$34,Q42+1))*V47</f>
        <v>#DIV/0!</v>
      </c>
      <c r="AP42" s="28">
        <v>3</v>
      </c>
      <c r="AQ42" s="79" t="e">
        <f>((($W$39)^Q42)*((1-($W$39))^($U$34-Q42))*HLOOKUP($U$34,$AV$24:$BF$34,Q42+1))*V48</f>
        <v>#DIV/0!</v>
      </c>
      <c r="AR42" s="28">
        <v>3</v>
      </c>
      <c r="AS42" s="79" t="e">
        <f>((($W$39)^Q42)*((1-($W$39))^($U$35-Q42))*HLOOKUP($U$35,$AV$24:$BF$34,Q42+1))*V49</f>
        <v>#DIV/0!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3"/>
        <v>4</v>
      </c>
      <c r="BI42">
        <v>9</v>
      </c>
      <c r="BJ42" s="107" t="e">
        <f t="shared" si="34"/>
        <v>#DIV/0!</v>
      </c>
      <c r="BP42">
        <f t="shared" si="36"/>
        <v>9</v>
      </c>
      <c r="BQ42">
        <v>3</v>
      </c>
      <c r="BR42" s="107" t="e">
        <f t="shared" si="37"/>
        <v>#DIV/0!</v>
      </c>
    </row>
    <row r="43" spans="1:70" ht="15" customHeight="1" x14ac:dyDescent="0.25">
      <c r="G43" s="91">
        <v>4</v>
      </c>
      <c r="H43" s="132" t="e">
        <f>J43*L39+J42*L40+J41*L41+J40*L42</f>
        <v>#DIV/0!</v>
      </c>
      <c r="I43" s="93">
        <v>4</v>
      </c>
      <c r="J43" s="86" t="e">
        <f t="shared" si="35"/>
        <v>#DIV/0!</v>
      </c>
      <c r="K43" s="95">
        <v>4</v>
      </c>
      <c r="L43" s="86"/>
      <c r="M43" s="85">
        <v>4</v>
      </c>
      <c r="N43" s="71" t="e">
        <f>(($C$24)^M29)*((1-($C$24))^($B$21-M29))*HLOOKUP($B$21,$AV$24:$BF$34,M29+1)</f>
        <v>#DIV/0!</v>
      </c>
      <c r="O43" s="72">
        <v>4</v>
      </c>
      <c r="P43" s="71" t="e">
        <f t="shared" si="38"/>
        <v>#DIV/0!</v>
      </c>
      <c r="Q43" s="28">
        <v>4</v>
      </c>
      <c r="R43" s="37" t="e">
        <f>P43*N39+P42*N40+P41*N41+P40*N42+P39*N43</f>
        <v>#DIV/0!</v>
      </c>
      <c r="S43" s="72">
        <v>4</v>
      </c>
      <c r="T43" s="135" t="e">
        <f t="shared" si="39"/>
        <v>#DIV/0!</v>
      </c>
      <c r="U43" s="93">
        <v>4</v>
      </c>
      <c r="V43" s="86" t="e">
        <f>T43*R39+T42*R40+T41*R41+T40*R42+T39*R43</f>
        <v>#DIV/0!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 t="e">
        <f>((($W$39)^M43)*((1-($W$39))^($U$29-M43))*HLOOKUP($U$29,$AV$24:$BF$34,M43+1))*V43</f>
        <v>#DIV/0!</v>
      </c>
      <c r="AH43" s="28">
        <v>4</v>
      </c>
      <c r="AI43" s="79" t="e">
        <f>((($W$39)^M43)*((1-($W$39))^($U$30-M43))*HLOOKUP($U$30,$AV$24:$BF$34,M43+1))*V44</f>
        <v>#DIV/0!</v>
      </c>
      <c r="AJ43" s="28">
        <v>4</v>
      </c>
      <c r="AK43" s="79" t="e">
        <f>((($W$39)^M43)*((1-($W$39))^($U$31-M43))*HLOOKUP($U$31,$AV$24:$BF$34,M43+1))*V45</f>
        <v>#DIV/0!</v>
      </c>
      <c r="AL43" s="28">
        <v>4</v>
      </c>
      <c r="AM43" s="79" t="e">
        <f>((($W$39)^Q43)*((1-($W$39))^($U$32-Q43))*HLOOKUP($U$32,$AV$24:$BF$34,Q43+1))*V46</f>
        <v>#DIV/0!</v>
      </c>
      <c r="AN43" s="28">
        <v>4</v>
      </c>
      <c r="AO43" s="79" t="e">
        <f>((($W$39)^Q43)*((1-($W$39))^($U$33-Q43))*HLOOKUP($U$33,$AV$24:$BF$34,Q43+1))*V47</f>
        <v>#DIV/0!</v>
      </c>
      <c r="AP43" s="28">
        <v>4</v>
      </c>
      <c r="AQ43" s="79" t="e">
        <f>((($W$39)^Q43)*((1-($W$39))^($U$34-Q43))*HLOOKUP($U$34,$AV$24:$BF$34,Q43+1))*V48</f>
        <v>#DIV/0!</v>
      </c>
      <c r="AR43" s="28">
        <v>4</v>
      </c>
      <c r="AS43" s="79" t="e">
        <f>((($W$39)^Q43)*((1-($W$39))^($U$35-Q43))*HLOOKUP($U$35,$AV$24:$BF$34,Q43+1))*V49</f>
        <v>#DIV/0!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40">BE42+BE43</f>
        <v>252</v>
      </c>
      <c r="BH43">
        <f t="shared" si="33"/>
        <v>4</v>
      </c>
      <c r="BI43">
        <v>10</v>
      </c>
      <c r="BJ43" s="107" t="e">
        <f t="shared" si="34"/>
        <v>#DIV/0!</v>
      </c>
      <c r="BP43">
        <f t="shared" si="36"/>
        <v>9</v>
      </c>
      <c r="BQ43">
        <v>4</v>
      </c>
      <c r="BR43" s="107" t="e">
        <f t="shared" si="37"/>
        <v>#DIV/0!</v>
      </c>
    </row>
    <row r="44" spans="1:70" ht="15" customHeight="1" thickBot="1" x14ac:dyDescent="0.3">
      <c r="G44" s="91">
        <v>5</v>
      </c>
      <c r="H44" s="132" t="e">
        <f>J44*L39+J43*L40+J42*L41+J41*L42</f>
        <v>#DIV/0!</v>
      </c>
      <c r="I44" s="93">
        <v>5</v>
      </c>
      <c r="J44" s="86" t="e">
        <f t="shared" si="35"/>
        <v>#DIV/0!</v>
      </c>
      <c r="K44" s="95">
        <v>5</v>
      </c>
      <c r="L44" s="86"/>
      <c r="M44" s="85">
        <v>5</v>
      </c>
      <c r="N44" s="71" t="e">
        <f>(($C$24)^M30)*((1-($C$24))^($B$21-M30))*HLOOKUP($B$21,$AV$24:$BF$34,M30+1)</f>
        <v>#DIV/0!</v>
      </c>
      <c r="O44" s="72">
        <v>5</v>
      </c>
      <c r="P44" s="71" t="e">
        <f t="shared" si="38"/>
        <v>#DIV/0!</v>
      </c>
      <c r="Q44" s="28">
        <v>5</v>
      </c>
      <c r="R44" s="37" t="e">
        <f>P44*N39+P43*N40+P42*N41+P41*N42+P40*N43+P39*N44</f>
        <v>#DIV/0!</v>
      </c>
      <c r="S44" s="72">
        <v>5</v>
      </c>
      <c r="T44" s="135" t="e">
        <f t="shared" si="39"/>
        <v>#DIV/0!</v>
      </c>
      <c r="U44" s="93">
        <v>5</v>
      </c>
      <c r="V44" s="86" t="e">
        <f>T44*R39+T43*R40+T42*R41+T41*R42+T40*R43+T39*R44</f>
        <v>#DIV/0!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 t="e">
        <f>((($W$39)^M44)*((1-($W$39))^($U$30-M44))*HLOOKUP($U$30,$AV$24:$BF$34,M44+1))*V44</f>
        <v>#DIV/0!</v>
      </c>
      <c r="AJ44" s="28">
        <v>5</v>
      </c>
      <c r="AK44" s="79" t="e">
        <f>((($W$39)^M44)*((1-($W$39))^($U$31-M44))*HLOOKUP($U$31,$AV$24:$BF$34,M44+1))*V45</f>
        <v>#DIV/0!</v>
      </c>
      <c r="AL44" s="28">
        <v>5</v>
      </c>
      <c r="AM44" s="79" t="e">
        <f>((($W$39)^Q44)*((1-($W$39))^($U$32-Q44))*HLOOKUP($U$32,$AV$24:$BF$34,Q44+1))*V46</f>
        <v>#DIV/0!</v>
      </c>
      <c r="AN44" s="28">
        <v>5</v>
      </c>
      <c r="AO44" s="79" t="e">
        <f>((($W$39)^Q44)*((1-($W$39))^($U$33-Q44))*HLOOKUP($U$33,$AV$24:$BF$34,Q44+1))*V47</f>
        <v>#DIV/0!</v>
      </c>
      <c r="AP44" s="28">
        <v>5</v>
      </c>
      <c r="AQ44" s="79" t="e">
        <f>((($W$39)^Q44)*((1-($W$39))^($U$34-Q44))*HLOOKUP($U$34,$AV$24:$BF$34,Q44+1))*V48</f>
        <v>#DIV/0!</v>
      </c>
      <c r="AR44" s="28">
        <v>5</v>
      </c>
      <c r="AS44" s="79" t="e">
        <f>((($W$39)^Q44)*((1-($W$39))^($U$35-Q44))*HLOOKUP($U$35,$AV$24:$BF$34,Q44+1))*V49</f>
        <v>#DIV/0!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40"/>
        <v>210</v>
      </c>
      <c r="BH44">
        <f>BH39+1</f>
        <v>5</v>
      </c>
      <c r="BI44">
        <v>6</v>
      </c>
      <c r="BJ44" s="107" t="e">
        <f>$H$30*H45</f>
        <v>#DIV/0!</v>
      </c>
      <c r="BP44">
        <f t="shared" si="36"/>
        <v>9</v>
      </c>
      <c r="BQ44">
        <v>5</v>
      </c>
      <c r="BR44" s="107" t="e">
        <f t="shared" si="37"/>
        <v>#DIV/0!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 t="e">
        <f>J45*L39+J44*L40+J43*L41+J42*L42</f>
        <v>#DIV/0!</v>
      </c>
      <c r="I45" s="93">
        <v>6</v>
      </c>
      <c r="J45" s="86" t="e">
        <f t="shared" si="35"/>
        <v>#DIV/0!</v>
      </c>
      <c r="K45" s="95">
        <v>6</v>
      </c>
      <c r="L45" s="86"/>
      <c r="M45" s="85"/>
      <c r="N45" s="37"/>
      <c r="O45" s="37"/>
      <c r="P45" s="37"/>
      <c r="Q45" s="28">
        <v>6</v>
      </c>
      <c r="R45" s="37" t="e">
        <f>P44*N40+P43*N41+P42*N42+P41*N43+P40*N44</f>
        <v>#DIV/0!</v>
      </c>
      <c r="S45" s="70">
        <v>6</v>
      </c>
      <c r="T45" s="135" t="e">
        <f t="shared" si="39"/>
        <v>#DIV/0!</v>
      </c>
      <c r="U45" s="93">
        <v>6</v>
      </c>
      <c r="V45" s="86" t="e">
        <f>T45*R39+T44*R40+T43*R41+T42*R42+T41*R43+T40*R44+T39*R45</f>
        <v>#DIV/0!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 t="e">
        <f>((($W$39)^Q45)*((1-($W$39))^($U$31-Q45))*HLOOKUP($U$31,$AV$24:$BF$34,Q45+1))*V45</f>
        <v>#DIV/0!</v>
      </c>
      <c r="AL45" s="28">
        <v>6</v>
      </c>
      <c r="AM45" s="79" t="e">
        <f>((($W$39)^Q45)*((1-($W$39))^($U$32-Q45))*HLOOKUP($U$32,$AV$24:$BF$34,Q45+1))*V46</f>
        <v>#DIV/0!</v>
      </c>
      <c r="AN45" s="28">
        <v>6</v>
      </c>
      <c r="AO45" s="79" t="e">
        <f>((($W$39)^Q45)*((1-($W$39))^($U$33-Q45))*HLOOKUP($U$33,$AV$24:$BF$34,Q45+1))*V47</f>
        <v>#DIV/0!</v>
      </c>
      <c r="AP45" s="28">
        <v>6</v>
      </c>
      <c r="AQ45" s="79" t="e">
        <f>((($W$39)^Q45)*((1-($W$39))^($U$34-Q45))*HLOOKUP($U$34,$AV$24:$BF$34,Q45+1))*V48</f>
        <v>#DIV/0!</v>
      </c>
      <c r="AR45" s="28">
        <v>6</v>
      </c>
      <c r="AS45" s="79" t="e">
        <f>((($W$39)^Q45)*((1-($W$39))^($U$35-Q45))*HLOOKUP($U$35,$AV$24:$BF$34,Q45+1))*V49</f>
        <v>#DIV/0!</v>
      </c>
      <c r="AV45" s="14">
        <v>7</v>
      </c>
      <c r="BC45">
        <v>1</v>
      </c>
      <c r="BD45">
        <v>8</v>
      </c>
      <c r="BE45">
        <f>28+8</f>
        <v>36</v>
      </c>
      <c r="BF45">
        <f t="shared" si="40"/>
        <v>120</v>
      </c>
      <c r="BH45">
        <f>BH40+1</f>
        <v>5</v>
      </c>
      <c r="BI45">
        <v>7</v>
      </c>
      <c r="BJ45" s="107" t="e">
        <f>$H$30*H46</f>
        <v>#DIV/0!</v>
      </c>
      <c r="BP45">
        <f t="shared" si="36"/>
        <v>9</v>
      </c>
      <c r="BQ45">
        <v>6</v>
      </c>
      <c r="BR45" s="107" t="e">
        <f t="shared" si="37"/>
        <v>#DIV/0!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 t="e">
        <f>J46*L39+J45*L40+J44*L41+J43*L42</f>
        <v>#DIV/0!</v>
      </c>
      <c r="I46" s="93">
        <v>7</v>
      </c>
      <c r="J46" s="86" t="e">
        <f t="shared" si="35"/>
        <v>#DIV/0!</v>
      </c>
      <c r="K46" s="95">
        <v>7</v>
      </c>
      <c r="L46" s="86"/>
      <c r="M46" s="85"/>
      <c r="N46" s="37"/>
      <c r="O46" s="37"/>
      <c r="P46" s="37"/>
      <c r="Q46" s="28">
        <v>7</v>
      </c>
      <c r="R46" s="37" t="e">
        <f>P44*N41+P43*N42+P42*N43+P41*N44</f>
        <v>#DIV/0!</v>
      </c>
      <c r="S46" s="72">
        <v>7</v>
      </c>
      <c r="T46" s="135" t="e">
        <f t="shared" si="39"/>
        <v>#DIV/0!</v>
      </c>
      <c r="U46" s="93">
        <v>7</v>
      </c>
      <c r="V46" s="86" t="e">
        <f>T46*R39+T45*R40+T44*R41+T43*R42+T42*R43+T41*R44+T40*R45+T39*R46</f>
        <v>#DIV/0!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 t="e">
        <f>((($W$39)^Q46)*((1-($W$39))^($U$32-Q46))*HLOOKUP($U$32,$AV$24:$BF$34,Q46+1))*V46</f>
        <v>#DIV/0!</v>
      </c>
      <c r="AN46" s="28">
        <v>7</v>
      </c>
      <c r="AO46" s="79" t="e">
        <f>((($W$39)^Q46)*((1-($W$39))^($U$33-Q46))*HLOOKUP($U$33,$AV$24:$BF$34,Q46+1))*V47</f>
        <v>#DIV/0!</v>
      </c>
      <c r="AP46" s="28">
        <v>7</v>
      </c>
      <c r="AQ46" s="79" t="e">
        <f>((($W$39)^Q46)*((1-($W$39))^($U$34-Q46))*HLOOKUP($U$34,$AV$24:$BF$34,Q46+1))*V48</f>
        <v>#DIV/0!</v>
      </c>
      <c r="AR46" s="28">
        <v>7</v>
      </c>
      <c r="AS46" s="79" t="e">
        <f>((($W$39)^Q46)*((1-($W$39))^($U$35-Q46))*HLOOKUP($U$35,$AV$24:$BF$34,Q46+1))*V49</f>
        <v>#DIV/0!</v>
      </c>
      <c r="AV46" s="14">
        <v>8</v>
      </c>
      <c r="BD46">
        <v>1</v>
      </c>
      <c r="BE46">
        <v>9</v>
      </c>
      <c r="BF46">
        <f t="shared" si="40"/>
        <v>45</v>
      </c>
      <c r="BH46">
        <f>BH41+1</f>
        <v>5</v>
      </c>
      <c r="BI46">
        <v>8</v>
      </c>
      <c r="BJ46" s="107" t="e">
        <f>$H$30*H47</f>
        <v>#DIV/0!</v>
      </c>
      <c r="BP46">
        <f t="shared" si="36"/>
        <v>9</v>
      </c>
      <c r="BQ46">
        <v>7</v>
      </c>
      <c r="BR46" s="107" t="e">
        <f t="shared" si="37"/>
        <v>#DIV/0!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 t="e">
        <f>J47*L39+J46*L40+J45*L41+J44*L42</f>
        <v>#DIV/0!</v>
      </c>
      <c r="I47" s="93">
        <v>8</v>
      </c>
      <c r="J47" s="86" t="e">
        <f t="shared" si="35"/>
        <v>#DIV/0!</v>
      </c>
      <c r="K47" s="95">
        <v>8</v>
      </c>
      <c r="L47" s="86"/>
      <c r="M47" s="85"/>
      <c r="N47" s="37"/>
      <c r="O47" s="37"/>
      <c r="P47" s="37"/>
      <c r="Q47" s="28">
        <v>8</v>
      </c>
      <c r="R47" s="37" t="e">
        <f>P44*N42+P43*N43+P42*N44</f>
        <v>#DIV/0!</v>
      </c>
      <c r="S47" s="72">
        <v>8</v>
      </c>
      <c r="T47" s="135" t="e">
        <f t="shared" si="39"/>
        <v>#DIV/0!</v>
      </c>
      <c r="U47" s="93">
        <v>8</v>
      </c>
      <c r="V47" s="86" t="e">
        <f>T47*R39+T46*R40+T45*R41+T44*R42+T43*R43+T42*R44+T41*R45+T40*R46+T39*R47</f>
        <v>#DIV/0!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 t="e">
        <f>((($W$39)^Q47)*((1-($W$39))^($U$33-Q47))*HLOOKUP($U$33,$AV$24:$BF$34,Q47+1))*V47</f>
        <v>#DIV/0!</v>
      </c>
      <c r="AP47" s="28">
        <v>8</v>
      </c>
      <c r="AQ47" s="79" t="e">
        <f>((($W$39)^Q47)*((1-($W$39))^($U$34-Q47))*HLOOKUP($U$34,$AV$24:$BF$34,Q47+1))*V48</f>
        <v>#DIV/0!</v>
      </c>
      <c r="AR47" s="28">
        <v>8</v>
      </c>
      <c r="AS47" s="79" t="e">
        <f>((($W$39)^Q47)*((1-($W$39))^($U$35-Q47))*HLOOKUP($U$35,$AV$24:$BF$34,Q47+1))*V49</f>
        <v>#DIV/0!</v>
      </c>
      <c r="AV47" s="29">
        <v>9</v>
      </c>
      <c r="BE47">
        <v>1</v>
      </c>
      <c r="BF47">
        <f t="shared" si="40"/>
        <v>10</v>
      </c>
      <c r="BH47">
        <f>BH42+1</f>
        <v>5</v>
      </c>
      <c r="BI47">
        <v>9</v>
      </c>
      <c r="BJ47" s="107" t="e">
        <f>$H$30*H48</f>
        <v>#DIV/0!</v>
      </c>
      <c r="BP47">
        <f>BL12+1</f>
        <v>9</v>
      </c>
      <c r="BQ47">
        <v>8</v>
      </c>
      <c r="BR47" s="107" t="e">
        <f t="shared" si="37"/>
        <v>#DIV/0!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 t="e">
        <f>J48*L39+J47*L40+J46*L41+J45*L42</f>
        <v>#DIV/0!</v>
      </c>
      <c r="I48" s="93">
        <v>9</v>
      </c>
      <c r="J48" s="86" t="e">
        <f t="shared" si="35"/>
        <v>#DIV/0!</v>
      </c>
      <c r="K48" s="95">
        <v>9</v>
      </c>
      <c r="L48" s="86"/>
      <c r="M48" s="85"/>
      <c r="N48" s="37"/>
      <c r="O48" s="37"/>
      <c r="P48" s="37"/>
      <c r="Q48" s="28">
        <v>9</v>
      </c>
      <c r="R48" s="37" t="e">
        <f>P44*N43+P43*N44</f>
        <v>#DIV/0!</v>
      </c>
      <c r="S48" s="72">
        <v>9</v>
      </c>
      <c r="T48" s="135" t="e">
        <f t="shared" si="39"/>
        <v>#DIV/0!</v>
      </c>
      <c r="U48" s="93">
        <v>9</v>
      </c>
      <c r="V48" s="86" t="e">
        <f>T48*R39+T47*R40+T46*R41+T45*R42+T44*R43+T43*R44+T42*R45+T41*R46+T40*R47+T39*R48</f>
        <v>#DIV/0!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 t="e">
        <f>((($W$39)^Q48)*((1-($W$39))^($U$34-Q48))*HLOOKUP($U$34,$AV$24:$BF$34,Q48+1))*V48</f>
        <v>#DIV/0!</v>
      </c>
      <c r="AR48" s="28">
        <v>9</v>
      </c>
      <c r="AS48" s="79" t="e">
        <f>((($W$39)^Q48)*((1-($W$39))^($U$35-Q48))*HLOOKUP($U$35,$AV$24:$BF$34,Q48+1))*V49</f>
        <v>#DIV/0!</v>
      </c>
      <c r="AV48" s="14">
        <v>10</v>
      </c>
      <c r="BF48">
        <f t="shared" si="40"/>
        <v>1</v>
      </c>
      <c r="BH48">
        <f>BH43+1</f>
        <v>5</v>
      </c>
      <c r="BI48">
        <v>10</v>
      </c>
      <c r="BJ48" s="107" t="e">
        <f>$H$30*H49</f>
        <v>#DIV/0!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 t="e">
        <f>J49*L39+J48*L40+J47*L41+J46*L42</f>
        <v>#DIV/0!</v>
      </c>
      <c r="I49" s="94">
        <v>10</v>
      </c>
      <c r="J49" s="89" t="e">
        <f t="shared" si="35"/>
        <v>#DIV/0!</v>
      </c>
      <c r="K49" s="96">
        <v>10</v>
      </c>
      <c r="L49" s="89"/>
      <c r="M49" s="85"/>
      <c r="N49" s="37"/>
      <c r="O49" s="37"/>
      <c r="P49" s="37"/>
      <c r="Q49" s="28">
        <v>10</v>
      </c>
      <c r="R49" s="37" t="e">
        <f>P44*N44</f>
        <v>#DIV/0!</v>
      </c>
      <c r="S49" s="72">
        <v>10</v>
      </c>
      <c r="T49" s="135" t="e">
        <f t="shared" si="39"/>
        <v>#DIV/0!</v>
      </c>
      <c r="U49" s="94">
        <v>10</v>
      </c>
      <c r="V49" s="89" t="e">
        <f>IF(((T49*R39+T48*R40+T47*R41+T46*R42+T45*R43+T44*R44+T43*R45+T42*R46+T41*R47+T40*R48+T39*R49)+V37)&lt;&gt;1,1-V37,(T49*R39+T48*R40+T47*R41+T46*R42+T45*R43+T44*R44+T43*R45+T42*R46+T41*R47+T40*R48+T39*R49))</f>
        <v>#DIV/0!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 t="e">
        <f>((($W$39)^Q49)*((1-($W$39))^($U$35-Q49))*HLOOKUP($U$35,$AV$24:$BF$34,Q49+1))*V49</f>
        <v>#DIV/0!</v>
      </c>
      <c r="BH49">
        <f>BP14+1</f>
        <v>6</v>
      </c>
      <c r="BI49">
        <v>0</v>
      </c>
      <c r="BJ49" s="107" t="e">
        <f>$H$31*H39</f>
        <v>#DIV/0!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 t="e">
        <f>$H$31*H46</f>
        <v>#DIV/0!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 t="e">
        <f>$H$31*H47</f>
        <v>#DIV/0!</v>
      </c>
    </row>
    <row r="52" spans="1:62" x14ac:dyDescent="0.25">
      <c r="H52" s="107"/>
      <c r="BH52">
        <f>BH47+1</f>
        <v>6</v>
      </c>
      <c r="BI52">
        <v>9</v>
      </c>
      <c r="BJ52" s="107" t="e">
        <f>$H$31*H48</f>
        <v>#DIV/0!</v>
      </c>
    </row>
    <row r="53" spans="1:62" x14ac:dyDescent="0.25">
      <c r="BH53">
        <f>BH48+1</f>
        <v>6</v>
      </c>
      <c r="BI53">
        <v>10</v>
      </c>
      <c r="BJ53" s="107" t="e">
        <f>$H$31*H49</f>
        <v>#DIV/0!</v>
      </c>
    </row>
    <row r="54" spans="1:62" x14ac:dyDescent="0.25">
      <c r="BH54">
        <f>BH51+1</f>
        <v>7</v>
      </c>
      <c r="BI54">
        <v>8</v>
      </c>
      <c r="BJ54" s="107" t="e">
        <f>$H$32*H47</f>
        <v>#DIV/0!</v>
      </c>
    </row>
    <row r="55" spans="1:62" x14ac:dyDescent="0.25">
      <c r="BH55">
        <f>BH52+1</f>
        <v>7</v>
      </c>
      <c r="BI55">
        <v>9</v>
      </c>
      <c r="BJ55" s="107" t="e">
        <f>$H$32*H48</f>
        <v>#DIV/0!</v>
      </c>
    </row>
    <row r="56" spans="1:62" x14ac:dyDescent="0.25">
      <c r="BH56">
        <f>BH53+1</f>
        <v>7</v>
      </c>
      <c r="BI56">
        <v>10</v>
      </c>
      <c r="BJ56" s="107" t="e">
        <f>$H$32*H49</f>
        <v>#DIV/0!</v>
      </c>
    </row>
    <row r="57" spans="1:62" x14ac:dyDescent="0.25">
      <c r="BH57">
        <f>BH55+1</f>
        <v>8</v>
      </c>
      <c r="BI57">
        <v>9</v>
      </c>
      <c r="BJ57" s="107" t="e">
        <f>$H$33*H48</f>
        <v>#DIV/0!</v>
      </c>
    </row>
    <row r="58" spans="1:62" x14ac:dyDescent="0.25">
      <c r="BH58">
        <f>BH56+1</f>
        <v>8</v>
      </c>
      <c r="BI58">
        <v>10</v>
      </c>
      <c r="BJ58" s="107" t="e">
        <f>$H$33*H49</f>
        <v>#DIV/0!</v>
      </c>
    </row>
    <row r="59" spans="1:62" x14ac:dyDescent="0.25">
      <c r="BH59">
        <f t="shared" ref="BH59" si="41">BH58+1</f>
        <v>9</v>
      </c>
      <c r="BI59">
        <v>10</v>
      </c>
      <c r="BJ59" s="107" t="e">
        <f>$H$34*H49</f>
        <v>#DIV/0!</v>
      </c>
    </row>
  </sheetData>
  <mergeCells count="2">
    <mergeCell ref="P1:Q1"/>
    <mergeCell ref="B3:C3"/>
  </mergeCells>
  <conditionalFormatting sqref="V25:V35 V39:V49">
    <cfRule type="cellIs" dxfId="55" priority="14" operator="greaterThan">
      <formula>0.15</formula>
    </cfRule>
  </conditionalFormatting>
  <conditionalFormatting sqref="V35">
    <cfRule type="cellIs" dxfId="54" priority="13" operator="greaterThan">
      <formula>0.15</formula>
    </cfRule>
  </conditionalFormatting>
  <conditionalFormatting sqref="V49">
    <cfRule type="cellIs" dxfId="53" priority="12" operator="greaterThan">
      <formula>0.15</formula>
    </cfRule>
  </conditionalFormatting>
  <conditionalFormatting sqref="V25:V35 V39:V49">
    <cfRule type="cellIs" dxfId="52" priority="11" operator="greaterThan">
      <formula>0.15</formula>
    </cfRule>
  </conditionalFormatting>
  <conditionalFormatting sqref="V35">
    <cfRule type="cellIs" dxfId="51" priority="10" operator="greaterThan">
      <formula>0.15</formula>
    </cfRule>
  </conditionalFormatting>
  <conditionalFormatting sqref="V49">
    <cfRule type="cellIs" dxfId="50" priority="9" operator="greaterThan">
      <formula>0.15</formula>
    </cfRule>
  </conditionalFormatting>
  <conditionalFormatting sqref="H25:H35">
    <cfRule type="cellIs" dxfId="49" priority="8" operator="greaterThan">
      <formula>0.15</formula>
    </cfRule>
  </conditionalFormatting>
  <conditionalFormatting sqref="H35">
    <cfRule type="cellIs" dxfId="48" priority="7" operator="greaterThan">
      <formula>0.15</formula>
    </cfRule>
  </conditionalFormatting>
  <conditionalFormatting sqref="H25:H35">
    <cfRule type="cellIs" dxfId="47" priority="6" operator="greaterThan">
      <formula>0.15</formula>
    </cfRule>
  </conditionalFormatting>
  <conditionalFormatting sqref="H35">
    <cfRule type="cellIs" dxfId="46" priority="5" operator="greaterThan">
      <formula>0.15</formula>
    </cfRule>
  </conditionalFormatting>
  <conditionalFormatting sqref="H39:H49">
    <cfRule type="cellIs" dxfId="45" priority="4" operator="greaterThan">
      <formula>0.15</formula>
    </cfRule>
  </conditionalFormatting>
  <conditionalFormatting sqref="H49">
    <cfRule type="cellIs" dxfId="44" priority="3" operator="greaterThan">
      <formula>0.15</formula>
    </cfRule>
  </conditionalFormatting>
  <conditionalFormatting sqref="H39:H49">
    <cfRule type="cellIs" dxfId="43" priority="2" operator="greaterThan">
      <formula>0.15</formula>
    </cfRule>
  </conditionalFormatting>
  <conditionalFormatting sqref="H49">
    <cfRule type="cellIs" dxfId="42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R59"/>
  <sheetViews>
    <sheetView zoomScale="80" zoomScaleNormal="80" workbookViewId="0">
      <selection activeCell="G8" sqref="G8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8.42578125" bestFit="1" customWidth="1"/>
    <col min="16" max="16" width="10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8.425781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193" t="s">
        <v>142</v>
      </c>
      <c r="B1" t="s">
        <v>145</v>
      </c>
      <c r="F1" s="10" t="s">
        <v>123</v>
      </c>
      <c r="G1" s="70">
        <f>IF(D3="SI",COUNTIF($F$6:$F$18,"RAP"),0)</f>
        <v>2</v>
      </c>
      <c r="H1" s="70">
        <f>G1+G2+G3</f>
        <v>4</v>
      </c>
      <c r="J1" s="11" t="s">
        <v>123</v>
      </c>
      <c r="K1" s="70">
        <f>IF(D3="SI",COUNTIF($J$6:$J$18,"RAP"),0)</f>
        <v>3</v>
      </c>
      <c r="L1" s="70">
        <f>K1+K2+K3</f>
        <v>3</v>
      </c>
      <c r="M1" s="150">
        <f>L1+H1</f>
        <v>7</v>
      </c>
      <c r="P1" s="207"/>
      <c r="Q1" s="207"/>
      <c r="R1" s="152">
        <v>0</v>
      </c>
      <c r="S1" s="153">
        <f>1+R1</f>
        <v>1</v>
      </c>
      <c r="U1" s="160" t="s">
        <v>144</v>
      </c>
      <c r="V1">
        <f>IF(B17="JC",IF(C17="JC",2,1.5),IF(C17="JC",1.5,1))</f>
        <v>1</v>
      </c>
      <c r="AE1" s="160" t="s">
        <v>144</v>
      </c>
    </row>
    <row r="2" spans="1:70" x14ac:dyDescent="0.25">
      <c r="A2" s="193" t="s">
        <v>143</v>
      </c>
      <c r="B2" t="s">
        <v>145</v>
      </c>
      <c r="F2" s="10" t="s">
        <v>21</v>
      </c>
      <c r="G2" s="70">
        <f>IF(D3="SI",COUNTIF($F$6:$F$18,"TEC"),0)</f>
        <v>2</v>
      </c>
      <c r="H2" s="13"/>
      <c r="J2" s="11" t="s">
        <v>21</v>
      </c>
      <c r="K2" s="70">
        <f>IF(D3="SI",COUNTIF($J$6:$J$18,"TEC"),0)</f>
        <v>0</v>
      </c>
      <c r="L2" s="13" t="s">
        <v>134</v>
      </c>
      <c r="M2" s="163" t="str">
        <f>IF(M1&lt;&gt;0,"SI","NO")</f>
        <v>SI</v>
      </c>
      <c r="O2" t="s">
        <v>147</v>
      </c>
      <c r="P2" s="198" t="s">
        <v>148</v>
      </c>
      <c r="R2" s="152">
        <v>0</v>
      </c>
      <c r="S2" s="153">
        <f>1+R2</f>
        <v>1</v>
      </c>
      <c r="U2">
        <f>IF(B17="JC",IF(C17="JC",3,2.25),IF(C17="JC",1.75,1))</f>
        <v>1</v>
      </c>
      <c r="Y2" t="s">
        <v>147</v>
      </c>
      <c r="Z2" s="199" t="s">
        <v>148</v>
      </c>
      <c r="AE2">
        <f>IF(B17="JC",IF(C17="JC",3,1.75),IF(C17="JC",2.25,1))</f>
        <v>1</v>
      </c>
    </row>
    <row r="3" spans="1:70" x14ac:dyDescent="0.25">
      <c r="A3" s="162" t="s">
        <v>108</v>
      </c>
      <c r="B3" s="209" t="s">
        <v>116</v>
      </c>
      <c r="C3" s="209"/>
      <c r="D3" t="str">
        <f>IF(B3="Sol","SI",IF(B3="Lluvia","SI","NO"))</f>
        <v>SI</v>
      </c>
      <c r="F3" s="10" t="s">
        <v>131</v>
      </c>
      <c r="G3" s="70">
        <f>IF(D3="SI",COUNTIF($F$6:$F$18,"POT"),0)</f>
        <v>0</v>
      </c>
      <c r="H3" s="13"/>
      <c r="J3" s="11" t="s">
        <v>131</v>
      </c>
      <c r="K3" s="70">
        <f>IF(D3="SI",COUNTIF($J$6:$J$18,"POT"),0)</f>
        <v>0</v>
      </c>
      <c r="L3" s="13"/>
      <c r="O3" t="s">
        <v>132</v>
      </c>
      <c r="P3" s="198" t="s">
        <v>138</v>
      </c>
      <c r="Q3" t="s">
        <v>133</v>
      </c>
      <c r="R3" s="198" t="s">
        <v>139</v>
      </c>
      <c r="Y3" t="s">
        <v>132</v>
      </c>
      <c r="Z3" s="199" t="s">
        <v>138</v>
      </c>
      <c r="AA3" t="s">
        <v>133</v>
      </c>
      <c r="AB3" s="199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75</v>
      </c>
      <c r="R4" s="8" t="s">
        <v>70</v>
      </c>
      <c r="S4" s="8" t="s">
        <v>31</v>
      </c>
      <c r="T4" s="8" t="s">
        <v>32</v>
      </c>
      <c r="U4" s="8" t="s">
        <v>33</v>
      </c>
      <c r="V4" s="193"/>
      <c r="W4" s="125"/>
      <c r="X4" s="12" t="s">
        <v>72</v>
      </c>
      <c r="Y4" s="9" t="s">
        <v>28</v>
      </c>
      <c r="Z4" s="9" t="s">
        <v>29</v>
      </c>
      <c r="AA4" s="9" t="s">
        <v>75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AI4" s="194" t="s">
        <v>75</v>
      </c>
      <c r="BH4">
        <v>0</v>
      </c>
      <c r="BI4">
        <v>1</v>
      </c>
      <c r="BJ4" s="107">
        <f t="shared" ref="BJ4:BJ13" si="0">$H$25*H40</f>
        <v>1.5710760863666719E-2</v>
      </c>
      <c r="BL4">
        <v>0</v>
      </c>
      <c r="BM4">
        <v>0</v>
      </c>
      <c r="BN4" s="107">
        <f>H25*H39</f>
        <v>4.2098796242761435E-3</v>
      </c>
      <c r="BP4">
        <v>1</v>
      </c>
      <c r="BQ4">
        <v>0</v>
      </c>
      <c r="BR4" s="107">
        <f>$H$26*H39</f>
        <v>9.7454689573103614E-3</v>
      </c>
    </row>
    <row r="5" spans="1:70" x14ac:dyDescent="0.25">
      <c r="A5" s="188" t="s">
        <v>150</v>
      </c>
      <c r="B5" s="161">
        <v>352</v>
      </c>
      <c r="C5" s="161">
        <v>352</v>
      </c>
      <c r="E5" s="192" t="s">
        <v>15</v>
      </c>
      <c r="F5" s="167" t="s">
        <v>146</v>
      </c>
      <c r="G5" s="167">
        <v>12</v>
      </c>
      <c r="H5" s="10"/>
      <c r="I5" s="10"/>
      <c r="J5" s="166" t="s">
        <v>16</v>
      </c>
      <c r="K5" s="166">
        <v>12</v>
      </c>
      <c r="L5" s="10"/>
      <c r="M5" s="10"/>
      <c r="O5" s="67">
        <f>COUNTIF(F5:F10,"IMP")*AI5</f>
        <v>0.04</v>
      </c>
      <c r="P5" s="196" t="str">
        <f>P3</f>
        <v>0,6</v>
      </c>
      <c r="Q5" s="16">
        <f>P5*O5</f>
        <v>2.4E-2</v>
      </c>
      <c r="R5" s="157">
        <f>IF($M$2="SI",Q5*$B$22/0.5*$S$1,Q5*$B$22/0.5*$S$2)</f>
        <v>2.2736842105263156E-2</v>
      </c>
      <c r="S5" s="176">
        <f>(1-R5)</f>
        <v>0.97726315789473683</v>
      </c>
      <c r="T5" s="177">
        <f>R5*PRODUCT(S6:S19)</f>
        <v>1.5462580558822462E-2</v>
      </c>
      <c r="U5" s="177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6.1646568708122991E-3</v>
      </c>
      <c r="V5" s="18"/>
      <c r="W5" s="186" t="s">
        <v>36</v>
      </c>
      <c r="X5" s="15" t="s">
        <v>37</v>
      </c>
      <c r="Y5" s="69">
        <f>COUNTIF(J5:J10,"IMP")*AI5</f>
        <v>0.2</v>
      </c>
      <c r="Z5" s="197" t="str">
        <f>Z3</f>
        <v>0,6</v>
      </c>
      <c r="AA5" s="19">
        <f>Z5*Y5</f>
        <v>0.12</v>
      </c>
      <c r="AB5" s="157">
        <f>IF($M$2="SI",AA5*$C$22/0.5*$S$1,AA5*$C$22/0.5*$S$2)</f>
        <v>0.12631578947368421</v>
      </c>
      <c r="AC5" s="176">
        <f>(1-AB5)</f>
        <v>0.87368421052631584</v>
      </c>
      <c r="AD5" s="177">
        <f>AB5*PRODUCT(AC6:AC19)</f>
        <v>6.5180495192466478E-2</v>
      </c>
      <c r="AE5" s="177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4.6200306086421165E-2</v>
      </c>
      <c r="AF5" s="18"/>
      <c r="AI5" s="194">
        <v>0.04</v>
      </c>
      <c r="BH5">
        <v>0</v>
      </c>
      <c r="BI5">
        <v>2</v>
      </c>
      <c r="BJ5" s="107">
        <f t="shared" si="0"/>
        <v>2.7310783784979888E-2</v>
      </c>
      <c r="BL5">
        <v>1</v>
      </c>
      <c r="BM5">
        <v>1</v>
      </c>
      <c r="BN5" s="107">
        <f>$H$26*H40</f>
        <v>3.6368909792501833E-2</v>
      </c>
      <c r="BP5">
        <f>BP4+1</f>
        <v>2</v>
      </c>
      <c r="BQ5">
        <v>0</v>
      </c>
      <c r="BR5" s="107">
        <f>$H$27*H39</f>
        <v>1.0470909407618526E-2</v>
      </c>
    </row>
    <row r="6" spans="1:70" x14ac:dyDescent="0.25">
      <c r="A6" s="2" t="s">
        <v>1</v>
      </c>
      <c r="B6" s="168">
        <v>9</v>
      </c>
      <c r="C6" s="169">
        <v>10</v>
      </c>
      <c r="E6" s="192" t="s">
        <v>17</v>
      </c>
      <c r="F6" s="167" t="s">
        <v>16</v>
      </c>
      <c r="G6" s="167"/>
      <c r="H6" s="10"/>
      <c r="I6" s="10"/>
      <c r="J6" s="166" t="s">
        <v>146</v>
      </c>
      <c r="K6" s="166"/>
      <c r="L6" s="10"/>
      <c r="M6" s="10"/>
      <c r="O6" s="67">
        <f>COUNTIF(F11:F18,"IMP")*AI6</f>
        <v>0.04</v>
      </c>
      <c r="P6" s="196" t="str">
        <f>P3</f>
        <v>0,6</v>
      </c>
      <c r="Q6" s="16">
        <f t="shared" ref="Q6:Q19" si="1">P6*O6</f>
        <v>2.4E-2</v>
      </c>
      <c r="R6" s="157">
        <f>IF($M$2="SI",Q6*$B$22/0.5*$S$1,Q6*$B$22/0.5*$S$2)</f>
        <v>2.2736842105263156E-2</v>
      </c>
      <c r="S6" s="176">
        <f t="shared" ref="S6:S19" si="2">(1-R6)</f>
        <v>0.97726315789473683</v>
      </c>
      <c r="T6" s="177">
        <f>R6*S5*PRODUCT(S7:S19)</f>
        <v>1.5462580558822462E-2</v>
      </c>
      <c r="U6" s="177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5.8049070430757996E-3</v>
      </c>
      <c r="V6" s="18"/>
      <c r="W6" s="186" t="s">
        <v>38</v>
      </c>
      <c r="X6" s="15" t="s">
        <v>39</v>
      </c>
      <c r="Y6" s="69">
        <f>COUNTIF(J11:J18,"IMP")*AI6</f>
        <v>0.08</v>
      </c>
      <c r="Z6" s="197" t="str">
        <f>Z3</f>
        <v>0,6</v>
      </c>
      <c r="AA6" s="19">
        <f t="shared" ref="AA6:AA19" si="3">Z6*Y6</f>
        <v>4.8000000000000001E-2</v>
      </c>
      <c r="AB6" s="157">
        <f t="shared" ref="AB6:AB19" si="4">IF($M$2="SI",AA6*$C$22/0.5*$S$1,AA6*$C$22/0.5*$S$2)</f>
        <v>5.052631578947369E-2</v>
      </c>
      <c r="AC6" s="176">
        <f t="shared" ref="AC6:AC19" si="5">(1-AB6)</f>
        <v>0.94947368421052636</v>
      </c>
      <c r="AD6" s="177">
        <f>AB6*AC5*PRODUCT(AC7:AC19)</f>
        <v>2.3991047010974362E-2</v>
      </c>
      <c r="AE6" s="177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1.5728305281779445E-2</v>
      </c>
      <c r="AF6" s="18"/>
      <c r="AI6" s="194">
        <v>0.04</v>
      </c>
      <c r="BH6">
        <v>0</v>
      </c>
      <c r="BI6">
        <v>3</v>
      </c>
      <c r="BJ6" s="107">
        <f t="shared" si="0"/>
        <v>2.9377629484313671E-2</v>
      </c>
      <c r="BL6">
        <f>BH14+1</f>
        <v>2</v>
      </c>
      <c r="BM6">
        <v>2</v>
      </c>
      <c r="BN6" s="107">
        <f>$H$27*H41</f>
        <v>6.7928009441066028E-2</v>
      </c>
      <c r="BP6">
        <f>BL5+1</f>
        <v>2</v>
      </c>
      <c r="BQ6">
        <v>1</v>
      </c>
      <c r="BR6" s="107">
        <f>$H$27*H40</f>
        <v>3.9076165688822599E-2</v>
      </c>
    </row>
    <row r="7" spans="1:70" x14ac:dyDescent="0.25">
      <c r="A7" s="5" t="s">
        <v>2</v>
      </c>
      <c r="B7" s="168">
        <v>9</v>
      </c>
      <c r="C7" s="169">
        <v>8</v>
      </c>
      <c r="E7" s="192" t="s">
        <v>18</v>
      </c>
      <c r="F7" s="167"/>
      <c r="G7" s="167"/>
      <c r="H7" s="10"/>
      <c r="I7" s="10"/>
      <c r="J7" s="166" t="s">
        <v>146</v>
      </c>
      <c r="K7" s="166"/>
      <c r="L7" s="10"/>
      <c r="M7" s="10"/>
      <c r="O7" s="67"/>
      <c r="P7" s="196">
        <f>B30</f>
        <v>0.15</v>
      </c>
      <c r="Q7" s="16">
        <f t="shared" si="1"/>
        <v>0</v>
      </c>
      <c r="R7" s="157">
        <f t="shared" ref="R7:R19" si="6">IF($M$2="SI",Q7*$B$22/0.5*$S$1,Q7*$B$22/0.5*$S$2)</f>
        <v>0</v>
      </c>
      <c r="S7" s="176">
        <f t="shared" si="2"/>
        <v>1</v>
      </c>
      <c r="T7" s="177">
        <f>R7*PRODUCT(S5:S6)*PRODUCT(S8:S19)</f>
        <v>0</v>
      </c>
      <c r="U7" s="177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0</v>
      </c>
      <c r="W7" s="186" t="s">
        <v>40</v>
      </c>
      <c r="X7" s="15" t="s">
        <v>41</v>
      </c>
      <c r="Y7" s="69"/>
      <c r="Z7" s="197">
        <f>C30</f>
        <v>0.15</v>
      </c>
      <c r="AA7" s="19">
        <f t="shared" si="3"/>
        <v>0</v>
      </c>
      <c r="AB7" s="157">
        <f t="shared" si="4"/>
        <v>0</v>
      </c>
      <c r="AC7" s="176">
        <f t="shared" si="5"/>
        <v>1</v>
      </c>
      <c r="AD7" s="177">
        <f>AB7*PRODUCT(AC5:AC6)*PRODUCT(AC8:AC19)</f>
        <v>0</v>
      </c>
      <c r="AE7" s="177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0</v>
      </c>
      <c r="AI7" s="194">
        <v>0</v>
      </c>
      <c r="BH7">
        <v>0</v>
      </c>
      <c r="BI7">
        <v>4</v>
      </c>
      <c r="BJ7" s="107">
        <f t="shared" si="0"/>
        <v>2.1875343532560668E-2</v>
      </c>
      <c r="BL7">
        <f>BH23+1</f>
        <v>3</v>
      </c>
      <c r="BM7">
        <v>3</v>
      </c>
      <c r="BN7" s="107">
        <f>$H$28*H42</f>
        <v>4.8362110630153693E-2</v>
      </c>
      <c r="BP7">
        <f>BP5+1</f>
        <v>3</v>
      </c>
      <c r="BQ7">
        <v>0</v>
      </c>
      <c r="BR7" s="107">
        <f>$H$28*H39</f>
        <v>6.9303979831859888E-3</v>
      </c>
    </row>
    <row r="8" spans="1:70" x14ac:dyDescent="0.25">
      <c r="A8" s="5" t="s">
        <v>3</v>
      </c>
      <c r="B8" s="168">
        <v>9</v>
      </c>
      <c r="C8" s="169">
        <v>8</v>
      </c>
      <c r="E8" s="192" t="s">
        <v>18</v>
      </c>
      <c r="F8" s="167" t="s">
        <v>16</v>
      </c>
      <c r="G8" s="167"/>
      <c r="H8" s="10"/>
      <c r="I8" s="10"/>
      <c r="J8" s="166" t="s">
        <v>146</v>
      </c>
      <c r="K8" s="166"/>
      <c r="L8" s="10"/>
      <c r="M8" s="10"/>
      <c r="O8" s="67">
        <f>COUNTIF(F6:F18,"IMP")*AI8</f>
        <v>0.04</v>
      </c>
      <c r="P8" s="196" t="str">
        <f>P3</f>
        <v>0,6</v>
      </c>
      <c r="Q8" s="16">
        <f t="shared" si="1"/>
        <v>2.4E-2</v>
      </c>
      <c r="R8" s="157">
        <f t="shared" si="6"/>
        <v>2.2736842105263156E-2</v>
      </c>
      <c r="S8" s="176">
        <f t="shared" si="2"/>
        <v>0.97726315789473683</v>
      </c>
      <c r="T8" s="177">
        <f>R8*PRODUCT(S5:S7)*PRODUCT(S9:S19)</f>
        <v>1.5462580558822464E-2</v>
      </c>
      <c r="U8" s="177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5.4451572153393019E-3</v>
      </c>
      <c r="W8" s="186" t="s">
        <v>42</v>
      </c>
      <c r="X8" s="15" t="s">
        <v>43</v>
      </c>
      <c r="Y8" s="69">
        <f>COUNTIF(J6:J18,"IMP")*AI8</f>
        <v>0.28000000000000003</v>
      </c>
      <c r="Z8" s="197" t="str">
        <f>Z3</f>
        <v>0,6</v>
      </c>
      <c r="AA8" s="19">
        <f t="shared" si="3"/>
        <v>0.16800000000000001</v>
      </c>
      <c r="AB8" s="157">
        <f t="shared" si="4"/>
        <v>0.17684210526315794</v>
      </c>
      <c r="AC8" s="176">
        <f t="shared" si="5"/>
        <v>0.82315789473684209</v>
      </c>
      <c r="AD8" s="177">
        <f>AB8*PRODUCT(AC5:AC7)*PRODUCT(AC9:AC19)</f>
        <v>9.6853881603127953E-2</v>
      </c>
      <c r="AE8" s="177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4.2689012359657573E-2</v>
      </c>
      <c r="AI8" s="194">
        <v>0.04</v>
      </c>
      <c r="BH8">
        <v>0</v>
      </c>
      <c r="BI8">
        <v>5</v>
      </c>
      <c r="BJ8" s="107">
        <f t="shared" si="0"/>
        <v>1.192809961349613E-2</v>
      </c>
      <c r="BL8">
        <f>BH31+1</f>
        <v>4</v>
      </c>
      <c r="BM8">
        <v>4</v>
      </c>
      <c r="BN8" s="107">
        <f>$H$29*H43</f>
        <v>1.6424231496534585E-2</v>
      </c>
      <c r="BP8">
        <f>BP6+1</f>
        <v>3</v>
      </c>
      <c r="BQ8">
        <v>1</v>
      </c>
      <c r="BR8" s="107">
        <f>$H$28*H40</f>
        <v>2.5863405874127481E-2</v>
      </c>
    </row>
    <row r="9" spans="1:70" x14ac:dyDescent="0.25">
      <c r="A9" s="5" t="s">
        <v>4</v>
      </c>
      <c r="B9" s="168">
        <v>9</v>
      </c>
      <c r="C9" s="169">
        <v>8</v>
      </c>
      <c r="E9" s="192" t="s">
        <v>18</v>
      </c>
      <c r="F9" s="167"/>
      <c r="G9" s="167"/>
      <c r="H9" s="10"/>
      <c r="I9" s="10"/>
      <c r="J9" s="166" t="s">
        <v>146</v>
      </c>
      <c r="K9" s="166"/>
      <c r="L9" s="10"/>
      <c r="M9" s="10"/>
      <c r="O9" s="67">
        <f>COUNTIF(J6:J13,"IMP")*AI9</f>
        <v>0.125</v>
      </c>
      <c r="P9" s="196" t="str">
        <f>Z3</f>
        <v>0,6</v>
      </c>
      <c r="Q9" s="16">
        <f t="shared" si="1"/>
        <v>7.4999999999999997E-2</v>
      </c>
      <c r="R9" s="157">
        <f t="shared" si="6"/>
        <v>7.1052631578947367E-2</v>
      </c>
      <c r="S9" s="176">
        <f t="shared" si="2"/>
        <v>0.92894736842105263</v>
      </c>
      <c r="T9" s="177">
        <f>R9*PRODUCT(S5:S8)*PRODUCT(S10:S19)</f>
        <v>5.0833781128933352E-2</v>
      </c>
      <c r="U9" s="177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1.4013010928952015E-2</v>
      </c>
      <c r="W9" s="187" t="s">
        <v>44</v>
      </c>
      <c r="X9" s="15" t="s">
        <v>45</v>
      </c>
      <c r="Y9" s="69">
        <f>COUNTIF(F6:F13,"IMP")*AI9</f>
        <v>2.5000000000000001E-2</v>
      </c>
      <c r="Z9" s="197" t="str">
        <f>P3</f>
        <v>0,6</v>
      </c>
      <c r="AA9" s="19">
        <f t="shared" si="3"/>
        <v>1.4999999999999999E-2</v>
      </c>
      <c r="AB9" s="157">
        <f t="shared" si="4"/>
        <v>1.5789473684210527E-2</v>
      </c>
      <c r="AC9" s="176">
        <f t="shared" si="5"/>
        <v>0.98421052631578942</v>
      </c>
      <c r="AD9" s="177">
        <f>AB9*PRODUCT(AC5:AC8)*PRODUCT(AC10:AC19)</f>
        <v>7.2325950547790351E-3</v>
      </c>
      <c r="AE9" s="177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3.0717849213186916E-3</v>
      </c>
      <c r="AI9" s="194">
        <v>2.5000000000000001E-2</v>
      </c>
      <c r="BH9">
        <v>0</v>
      </c>
      <c r="BI9">
        <v>6</v>
      </c>
      <c r="BJ9" s="107">
        <f t="shared" si="0"/>
        <v>4.9030419901580176E-3</v>
      </c>
      <c r="BL9">
        <f>BH38+1</f>
        <v>5</v>
      </c>
      <c r="BM9">
        <v>5</v>
      </c>
      <c r="BN9" s="107">
        <f>$H$30*H44</f>
        <v>2.9800808497183564E-3</v>
      </c>
      <c r="BP9">
        <f>BL6+1</f>
        <v>3</v>
      </c>
      <c r="BQ9">
        <v>2</v>
      </c>
      <c r="BR9" s="107">
        <f>$H$28*H41</f>
        <v>4.4959623018959255E-2</v>
      </c>
    </row>
    <row r="10" spans="1:70" x14ac:dyDescent="0.25">
      <c r="A10" s="6" t="s">
        <v>5</v>
      </c>
      <c r="B10" s="168">
        <v>7</v>
      </c>
      <c r="C10" s="169">
        <v>8</v>
      </c>
      <c r="E10" s="192" t="s">
        <v>17</v>
      </c>
      <c r="F10" s="167" t="s">
        <v>21</v>
      </c>
      <c r="G10" s="167"/>
      <c r="H10" s="10"/>
      <c r="I10" s="10"/>
      <c r="J10" s="166" t="s">
        <v>146</v>
      </c>
      <c r="K10" s="166"/>
      <c r="L10" s="10"/>
      <c r="M10" s="10"/>
      <c r="O10" s="67">
        <f>COUNTIF(F11:F18,"RAP")*AI10</f>
        <v>0.12</v>
      </c>
      <c r="P10" s="196" t="str">
        <f>R3</f>
        <v>0,72</v>
      </c>
      <c r="Q10" s="16">
        <f t="shared" si="1"/>
        <v>8.6399999999999991E-2</v>
      </c>
      <c r="R10" s="157">
        <f t="shared" si="6"/>
        <v>8.1852631578947357E-2</v>
      </c>
      <c r="S10" s="176">
        <f t="shared" si="2"/>
        <v>0.9181473684210526</v>
      </c>
      <c r="T10" s="177">
        <f>R10*PRODUCT(S5:S9)*PRODUCT(S11:S19)</f>
        <v>5.9249352525587905E-2</v>
      </c>
      <c r="U10" s="177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1.105080915621854E-2</v>
      </c>
      <c r="W10" s="186" t="s">
        <v>46</v>
      </c>
      <c r="X10" s="15" t="s">
        <v>47</v>
      </c>
      <c r="Y10" s="69">
        <f>COUNTIF(J11:J18,"RAP")*AI10</f>
        <v>0.18</v>
      </c>
      <c r="Z10" s="197" t="str">
        <f>AB3</f>
        <v>0,72</v>
      </c>
      <c r="AA10" s="19">
        <f t="shared" si="3"/>
        <v>0.12959999999999999</v>
      </c>
      <c r="AB10" s="157">
        <f t="shared" si="4"/>
        <v>0.13642105263157897</v>
      </c>
      <c r="AC10" s="176">
        <f t="shared" si="5"/>
        <v>0.863578947368421</v>
      </c>
      <c r="AD10" s="177">
        <f>AB10*PRODUCT(AC5:AC9)*PRODUCT(AC11:AC19)</f>
        <v>7.1218668808540914E-2</v>
      </c>
      <c r="AE10" s="177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1.8997035386145802E-2</v>
      </c>
      <c r="AI10" s="194">
        <v>0.06</v>
      </c>
      <c r="BH10">
        <v>0</v>
      </c>
      <c r="BI10">
        <v>7</v>
      </c>
      <c r="BJ10" s="107">
        <f t="shared" si="0"/>
        <v>1.5374619379472027E-3</v>
      </c>
      <c r="BL10">
        <f>BH44+1</f>
        <v>6</v>
      </c>
      <c r="BM10">
        <v>6</v>
      </c>
      <c r="BN10" s="107">
        <f>$H$31*H45</f>
        <v>3.0672599812041091E-4</v>
      </c>
      <c r="BP10">
        <f>BP7+1</f>
        <v>4</v>
      </c>
      <c r="BQ10">
        <v>0</v>
      </c>
      <c r="BR10" s="107">
        <f>$H$29*H39</f>
        <v>3.1608206480843145E-3</v>
      </c>
    </row>
    <row r="11" spans="1:70" x14ac:dyDescent="0.25">
      <c r="A11" s="6" t="s">
        <v>6</v>
      </c>
      <c r="B11" s="168">
        <v>7</v>
      </c>
      <c r="C11" s="169">
        <v>8</v>
      </c>
      <c r="E11" s="192" t="s">
        <v>19</v>
      </c>
      <c r="F11" s="167" t="s">
        <v>146</v>
      </c>
      <c r="G11" s="167"/>
      <c r="H11" s="10"/>
      <c r="I11" s="10"/>
      <c r="J11" s="166" t="s">
        <v>123</v>
      </c>
      <c r="K11" s="166"/>
      <c r="L11" s="10"/>
      <c r="M11" s="10"/>
      <c r="O11" s="67">
        <f>COUNTIF(F11:F18,"RAP")*AI11</f>
        <v>0.12</v>
      </c>
      <c r="P11" s="196" t="str">
        <f>R3</f>
        <v>0,72</v>
      </c>
      <c r="Q11" s="16">
        <f t="shared" si="1"/>
        <v>8.6399999999999991E-2</v>
      </c>
      <c r="R11" s="157">
        <f t="shared" si="6"/>
        <v>8.1852631578947357E-2</v>
      </c>
      <c r="S11" s="176">
        <f t="shared" si="2"/>
        <v>0.9181473684210526</v>
      </c>
      <c r="T11" s="177">
        <f>R11*PRODUCT(S5:S10)*PRODUCT(S12:S19)</f>
        <v>5.9249352525587898E-2</v>
      </c>
      <c r="U11" s="177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5.7687426924130317E-3</v>
      </c>
      <c r="W11" s="186" t="s">
        <v>48</v>
      </c>
      <c r="X11" s="15" t="s">
        <v>49</v>
      </c>
      <c r="Y11" s="69">
        <f>COUNTIF(J11:J18,"RAP")*AI11</f>
        <v>0.18</v>
      </c>
      <c r="Z11" s="197" t="str">
        <f>AB3</f>
        <v>0,72</v>
      </c>
      <c r="AA11" s="19">
        <f t="shared" si="3"/>
        <v>0.12959999999999999</v>
      </c>
      <c r="AB11" s="157">
        <f t="shared" si="4"/>
        <v>0.13642105263157897</v>
      </c>
      <c r="AC11" s="176">
        <f t="shared" si="5"/>
        <v>0.863578947368421</v>
      </c>
      <c r="AD11" s="177">
        <f>AB11*PRODUCT(AC5:AC10)*PRODUCT(AC12:AC19)</f>
        <v>7.1218668808540914E-2</v>
      </c>
      <c r="AE11" s="177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7.746499699179803E-3</v>
      </c>
      <c r="AI11" s="194">
        <v>0.06</v>
      </c>
      <c r="BH11">
        <v>0</v>
      </c>
      <c r="BI11">
        <v>8</v>
      </c>
      <c r="BJ11" s="107">
        <f t="shared" si="0"/>
        <v>3.6724810127541869E-4</v>
      </c>
      <c r="BL11">
        <f>BH50+1</f>
        <v>7</v>
      </c>
      <c r="BM11">
        <v>7</v>
      </c>
      <c r="BN11" s="107">
        <f>$H$32*H46</f>
        <v>1.838762597856114E-5</v>
      </c>
      <c r="BP11">
        <f>BP8+1</f>
        <v>4</v>
      </c>
      <c r="BQ11">
        <v>1</v>
      </c>
      <c r="BR11" s="107">
        <f>$H$29*H40</f>
        <v>1.1795799824925205E-2</v>
      </c>
    </row>
    <row r="12" spans="1:70" x14ac:dyDescent="0.25">
      <c r="A12" s="6" t="s">
        <v>7</v>
      </c>
      <c r="B12" s="168">
        <v>7</v>
      </c>
      <c r="C12" s="169">
        <v>8</v>
      </c>
      <c r="E12" s="192" t="s">
        <v>19</v>
      </c>
      <c r="F12" s="167" t="s">
        <v>21</v>
      </c>
      <c r="G12" s="167"/>
      <c r="H12" s="10"/>
      <c r="I12" s="10"/>
      <c r="J12" s="166"/>
      <c r="K12" s="166"/>
      <c r="L12" s="10"/>
      <c r="M12" s="10"/>
      <c r="O12" s="67"/>
      <c r="P12" s="196">
        <v>0.5</v>
      </c>
      <c r="Q12" s="16">
        <f t="shared" si="1"/>
        <v>0</v>
      </c>
      <c r="R12" s="157">
        <f t="shared" si="6"/>
        <v>0</v>
      </c>
      <c r="S12" s="176">
        <f t="shared" si="2"/>
        <v>1</v>
      </c>
      <c r="T12" s="177">
        <f>R12*PRODUCT(S5:S11)*PRODUCT(S13:S19)</f>
        <v>0</v>
      </c>
      <c r="U12" s="177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0</v>
      </c>
      <c r="W12" s="187" t="s">
        <v>50</v>
      </c>
      <c r="X12" s="15" t="s">
        <v>51</v>
      </c>
      <c r="Y12" s="69"/>
      <c r="Z12" s="197">
        <v>0.5</v>
      </c>
      <c r="AA12" s="19">
        <f t="shared" si="3"/>
        <v>0</v>
      </c>
      <c r="AB12" s="157">
        <f t="shared" si="4"/>
        <v>0</v>
      </c>
      <c r="AC12" s="176">
        <f t="shared" si="5"/>
        <v>1</v>
      </c>
      <c r="AD12" s="177">
        <f>AB12*PRODUCT(AC5:AC11)*PRODUCT(AC13:AC19)</f>
        <v>0</v>
      </c>
      <c r="AE12" s="177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0</v>
      </c>
      <c r="AI12" s="194">
        <v>0</v>
      </c>
      <c r="BH12">
        <v>0</v>
      </c>
      <c r="BI12">
        <v>9</v>
      </c>
      <c r="BJ12" s="107">
        <f t="shared" si="0"/>
        <v>6.5868638185525192E-5</v>
      </c>
      <c r="BL12">
        <f>BH54+1</f>
        <v>8</v>
      </c>
      <c r="BM12">
        <v>8</v>
      </c>
      <c r="BN12" s="107">
        <f>$H$33*H47</f>
        <v>6.4208908520440627E-7</v>
      </c>
      <c r="BP12">
        <f>BP9+1</f>
        <v>4</v>
      </c>
      <c r="BQ12">
        <v>2</v>
      </c>
      <c r="BR12" s="107">
        <f>$H$29*H41</f>
        <v>2.0505215589810017E-2</v>
      </c>
    </row>
    <row r="13" spans="1:70" x14ac:dyDescent="0.25">
      <c r="A13" s="7" t="s">
        <v>8</v>
      </c>
      <c r="B13" s="168">
        <v>11</v>
      </c>
      <c r="C13" s="169">
        <v>12.5</v>
      </c>
      <c r="E13" s="192" t="s">
        <v>19</v>
      </c>
      <c r="F13" s="167" t="s">
        <v>16</v>
      </c>
      <c r="G13" s="167"/>
      <c r="H13" s="10"/>
      <c r="I13" s="10"/>
      <c r="J13" s="166"/>
      <c r="K13" s="166"/>
      <c r="L13" s="10"/>
      <c r="M13" s="10"/>
      <c r="O13" s="67">
        <f>AI13</f>
        <v>0.125</v>
      </c>
      <c r="P13" s="196" t="str">
        <f>P2</f>
        <v>0,4</v>
      </c>
      <c r="Q13" s="16">
        <f t="shared" si="1"/>
        <v>0.05</v>
      </c>
      <c r="R13" s="157">
        <f t="shared" si="6"/>
        <v>4.736842105263158E-2</v>
      </c>
      <c r="S13" s="176">
        <f t="shared" si="2"/>
        <v>0.95263157894736838</v>
      </c>
      <c r="T13" s="177">
        <f>R13*PRODUCT(S5:S12)*PRODUCT(S14:S19)</f>
        <v>3.3046638560798293E-2</v>
      </c>
      <c r="U13" s="177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1.5743436103071084E-3</v>
      </c>
      <c r="W13" s="186" t="s">
        <v>52</v>
      </c>
      <c r="X13" s="15" t="s">
        <v>53</v>
      </c>
      <c r="Y13" s="69">
        <f>AI13</f>
        <v>0.125</v>
      </c>
      <c r="Z13" s="197" t="str">
        <f>Z2</f>
        <v>0,4</v>
      </c>
      <c r="AA13" s="19">
        <f t="shared" si="3"/>
        <v>0.05</v>
      </c>
      <c r="AB13" s="157">
        <f t="shared" si="4"/>
        <v>5.2631578947368432E-2</v>
      </c>
      <c r="AC13" s="176">
        <f t="shared" si="5"/>
        <v>0.94736842105263153</v>
      </c>
      <c r="AD13" s="177">
        <f>AB13*PRODUCT(AC5:AC12)*PRODUCT(AC14:AC19)</f>
        <v>2.5046208800808885E-2</v>
      </c>
      <c r="AE13" s="177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1.3328359450541314E-3</v>
      </c>
      <c r="AI13" s="194">
        <v>0.125</v>
      </c>
      <c r="BH13">
        <v>0</v>
      </c>
      <c r="BI13">
        <v>10</v>
      </c>
      <c r="BJ13" s="107">
        <f t="shared" si="0"/>
        <v>8.6049888980214087E-6</v>
      </c>
      <c r="BL13">
        <f>BH57+1</f>
        <v>9</v>
      </c>
      <c r="BM13">
        <v>9</v>
      </c>
      <c r="BN13" s="107">
        <f>$H$34*H48</f>
        <v>1.2727679298407143E-8</v>
      </c>
      <c r="BP13">
        <f>BL7+1</f>
        <v>4</v>
      </c>
      <c r="BQ13">
        <v>3</v>
      </c>
      <c r="BR13" s="107">
        <f>$H$29*H42</f>
        <v>2.205702446462595E-2</v>
      </c>
    </row>
    <row r="14" spans="1:70" x14ac:dyDescent="0.25">
      <c r="A14" s="7" t="s">
        <v>9</v>
      </c>
      <c r="B14" s="168">
        <v>9</v>
      </c>
      <c r="C14" s="169">
        <v>10.75</v>
      </c>
      <c r="E14" s="192" t="s">
        <v>20</v>
      </c>
      <c r="F14" s="167" t="s">
        <v>123</v>
      </c>
      <c r="G14" s="167"/>
      <c r="H14" s="10"/>
      <c r="I14" s="10"/>
      <c r="J14" s="166" t="s">
        <v>146</v>
      </c>
      <c r="K14" s="166"/>
      <c r="L14" s="10"/>
      <c r="M14" s="10"/>
      <c r="O14" s="67">
        <f>IF(COUNTIF(F6:F18,"CAB")&gt;0,AI14,0)</f>
        <v>0</v>
      </c>
      <c r="P14" s="196">
        <f>IF(COUNTIF(F6:F18,"CAB")-COUNTIF(J6:J18,"CAB")&gt;0,0.85,IF(COUNTIF(F6:F18,"CAB")-COUNTIF(J6:J18,"CAB")=0,0.5,0.25))</f>
        <v>0.5</v>
      </c>
      <c r="Q14" s="16">
        <f t="shared" si="1"/>
        <v>0</v>
      </c>
      <c r="R14" s="157">
        <f t="shared" si="6"/>
        <v>0</v>
      </c>
      <c r="S14" s="176">
        <f t="shared" si="2"/>
        <v>1</v>
      </c>
      <c r="T14" s="177">
        <f>R14*PRODUCT(S5:S13)*PRODUCT(S15:S19)</f>
        <v>0</v>
      </c>
      <c r="U14" s="177">
        <f>R14*R15*PRODUCT(S5:S13)*PRODUCT(S16:S19)+R14*R16*PRODUCT(S5:S13)*S15*PRODUCT(S17:S19)+R14*R17*PRODUCT(S5:S13)*PRODUCT(S15:S16)*PRODUCT(S18:S19)+R14*R18*PRODUCT(S5:S13)*PRODUCT(S15:S17)*PRODUCT(S19)+R14*R19*PRODUCT(S5:S13)*PRODUCT(S15:S18)</f>
        <v>0</v>
      </c>
      <c r="W14" s="186" t="s">
        <v>54</v>
      </c>
      <c r="X14" s="15" t="s">
        <v>55</v>
      </c>
      <c r="Y14" s="69">
        <f>IF(COUNTIF(J6:J18,"CAB")&gt;0,AI14,0)</f>
        <v>0</v>
      </c>
      <c r="Z14" s="197">
        <f>IF(COUNTIF(J6:J18,"CAB")-COUNTIF(F6:F18,"CAB")&gt;0,0.85,IF(COUNTIF(J6:J18,"CAB")-COUNTIF(F6:F18,"CAB")=0,0.5,0.25))</f>
        <v>0.5</v>
      </c>
      <c r="AA14" s="19">
        <f t="shared" si="3"/>
        <v>0</v>
      </c>
      <c r="AB14" s="157">
        <f t="shared" si="4"/>
        <v>0</v>
      </c>
      <c r="AC14" s="176">
        <f t="shared" si="5"/>
        <v>1</v>
      </c>
      <c r="AD14" s="177">
        <f>AB14*PRODUCT(AC5:AC13)*PRODUCT(AC15:AC19)</f>
        <v>0</v>
      </c>
      <c r="AE14" s="177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0</v>
      </c>
      <c r="AI14" s="195">
        <v>0.125</v>
      </c>
      <c r="BH14">
        <v>1</v>
      </c>
      <c r="BI14">
        <v>2</v>
      </c>
      <c r="BJ14" s="107">
        <f t="shared" ref="BJ14:BJ22" si="7">$H$26*H41</f>
        <v>6.3221854145556533E-2</v>
      </c>
      <c r="BL14">
        <f>BP39+1</f>
        <v>10</v>
      </c>
      <c r="BM14">
        <v>10</v>
      </c>
      <c r="BN14" s="107">
        <f>$H$35*H49</f>
        <v>1.3514223913083559E-10</v>
      </c>
      <c r="BP14">
        <f>BP10+1</f>
        <v>5</v>
      </c>
      <c r="BQ14">
        <v>0</v>
      </c>
      <c r="BR14" s="107">
        <f>$H$30*H39</f>
        <v>1.0517837756594383E-3</v>
      </c>
    </row>
    <row r="15" spans="1:70" x14ac:dyDescent="0.25">
      <c r="A15" s="189" t="s">
        <v>71</v>
      </c>
      <c r="B15" s="170">
        <v>7.75</v>
      </c>
      <c r="C15" s="171">
        <v>8.25</v>
      </c>
      <c r="E15" s="192" t="s">
        <v>20</v>
      </c>
      <c r="F15" s="167" t="s">
        <v>123</v>
      </c>
      <c r="G15" s="167"/>
      <c r="H15" s="10"/>
      <c r="I15" s="10"/>
      <c r="J15" s="166" t="s">
        <v>146</v>
      </c>
      <c r="K15" s="166"/>
      <c r="L15" s="10"/>
      <c r="M15" s="10"/>
      <c r="O15" s="67"/>
      <c r="P15" s="196">
        <v>0.5</v>
      </c>
      <c r="Q15" s="16">
        <f t="shared" si="1"/>
        <v>0</v>
      </c>
      <c r="R15" s="157">
        <f t="shared" si="6"/>
        <v>0</v>
      </c>
      <c r="S15" s="176">
        <f t="shared" si="2"/>
        <v>1</v>
      </c>
      <c r="T15" s="177">
        <f>R15*PRODUCT(S5:S14)*PRODUCT(S16:S19)</f>
        <v>0</v>
      </c>
      <c r="U15" s="177">
        <f>R15*R16*PRODUCT(S5:S14)*PRODUCT(S17:S19)+R15*R17*PRODUCT(S5:S14)*S16*PRODUCT(S18:S19)+R15*R18*PRODUCT(S5:S14)*S16*S17*S19+R15*R19*PRODUCT(S5:S14)*S16*S17*S18</f>
        <v>0</v>
      </c>
      <c r="W15" s="186" t="s">
        <v>56</v>
      </c>
      <c r="X15" s="15" t="s">
        <v>57</v>
      </c>
      <c r="Y15" s="69"/>
      <c r="Z15" s="197">
        <v>0.5</v>
      </c>
      <c r="AA15" s="19">
        <f t="shared" si="3"/>
        <v>0</v>
      </c>
      <c r="AB15" s="157">
        <f t="shared" si="4"/>
        <v>0</v>
      </c>
      <c r="AC15" s="176">
        <f t="shared" si="5"/>
        <v>1</v>
      </c>
      <c r="AD15" s="177">
        <f>AB15*PRODUCT(AC5:AC14)*PRODUCT(AC16:AC19)</f>
        <v>0</v>
      </c>
      <c r="AE15" s="177">
        <f>AB15*AB16*PRODUCT(AC5:AC14)*PRODUCT(AC17:AC19)+AB15*AB17*PRODUCT(AC5:AC14)*AC16*PRODUCT(AC18:AC19)+AB15*AB18*PRODUCT(AC5:AC14)*AC16*AC17*AC19+AB15*AB19*PRODUCT(AC5:AC14)*AC16*AC17*AC18</f>
        <v>0</v>
      </c>
      <c r="AI15" s="194">
        <v>0</v>
      </c>
      <c r="BH15">
        <v>1</v>
      </c>
      <c r="BI15">
        <v>3</v>
      </c>
      <c r="BJ15" s="107">
        <f t="shared" si="7"/>
        <v>6.8006404394038086E-2</v>
      </c>
      <c r="BP15">
        <f>BP11+1</f>
        <v>5</v>
      </c>
      <c r="BQ15">
        <v>1</v>
      </c>
      <c r="BR15" s="107">
        <f>$H$30*H40</f>
        <v>3.9251296603311199E-3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 t="s">
        <v>16</v>
      </c>
      <c r="G16" s="167"/>
      <c r="H16" s="10"/>
      <c r="I16" s="10"/>
      <c r="J16" s="166" t="s">
        <v>123</v>
      </c>
      <c r="K16" s="166"/>
      <c r="L16" s="10"/>
      <c r="M16" s="10"/>
      <c r="O16" s="67"/>
      <c r="P16" s="196">
        <v>0.25</v>
      </c>
      <c r="Q16" s="16">
        <f t="shared" si="1"/>
        <v>0</v>
      </c>
      <c r="R16" s="157">
        <f t="shared" si="6"/>
        <v>0</v>
      </c>
      <c r="S16" s="176">
        <f t="shared" si="2"/>
        <v>1</v>
      </c>
      <c r="T16" s="177">
        <f>R16*PRODUCT(S5:S15)*PRODUCT(S17:S19)</f>
        <v>0</v>
      </c>
      <c r="U16" s="177">
        <f>R16*R17*PRODUCT(S5:S15)*PRODUCT(S18:S19)+R16*R18*PRODUCT(S5:S15)*S17*S19+R16*R19*PRODUCT(S5:S15)*S17*S18</f>
        <v>0</v>
      </c>
      <c r="W16" s="187" t="s">
        <v>58</v>
      </c>
      <c r="X16" s="15" t="s">
        <v>59</v>
      </c>
      <c r="Y16" s="69"/>
      <c r="Z16" s="197">
        <v>0.25</v>
      </c>
      <c r="AA16" s="19">
        <f t="shared" si="3"/>
        <v>0</v>
      </c>
      <c r="AB16" s="157">
        <f t="shared" si="4"/>
        <v>0</v>
      </c>
      <c r="AC16" s="176">
        <f t="shared" si="5"/>
        <v>1</v>
      </c>
      <c r="AD16" s="177">
        <f>AB16*PRODUCT(AC5:AC15)*PRODUCT(AC17:AC19)</f>
        <v>0</v>
      </c>
      <c r="AE16" s="177">
        <f>AB16*AB17*PRODUCT(AC5:AC15)*PRODUCT(AC18:AC19)+AB16*AB18*PRODUCT(AC5:AC15)*AC17*AC19+AB16*AB19*PRODUCT(AC5:AC15)*AC17*AC18</f>
        <v>0</v>
      </c>
      <c r="AI16" s="194">
        <v>0</v>
      </c>
      <c r="BH16">
        <v>1</v>
      </c>
      <c r="BI16">
        <v>4</v>
      </c>
      <c r="BJ16" s="107">
        <f t="shared" si="7"/>
        <v>5.0639329471023911E-2</v>
      </c>
      <c r="BP16">
        <f>BP12+1</f>
        <v>5</v>
      </c>
      <c r="BQ16">
        <v>2</v>
      </c>
      <c r="BR16" s="107">
        <f>$H$30*H41</f>
        <v>6.82324480727255E-3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 t="s">
        <v>16</v>
      </c>
      <c r="G17" s="167"/>
      <c r="H17" s="10"/>
      <c r="I17" s="10"/>
      <c r="J17" s="166"/>
      <c r="K17" s="166"/>
      <c r="L17" s="10"/>
      <c r="M17" s="10"/>
      <c r="O17" s="67">
        <f>(AI17*2)*IF(COUNTBLANK(F14:F15)&lt;&gt;0, (2-COUNTBLANK(F14:F15))/2,1)</f>
        <v>0.08</v>
      </c>
      <c r="P17" s="196" t="str">
        <f>P3</f>
        <v>0,6</v>
      </c>
      <c r="Q17" s="16">
        <f t="shared" si="1"/>
        <v>4.8000000000000001E-2</v>
      </c>
      <c r="R17" s="157">
        <f t="shared" si="6"/>
        <v>4.5473684210526312E-2</v>
      </c>
      <c r="S17" s="176">
        <f t="shared" si="2"/>
        <v>0.95452631578947367</v>
      </c>
      <c r="T17" s="177">
        <f>R17*PRODUCT(S5:S16)*PRODUCT(S18:S19)</f>
        <v>3.1661799273954072E-2</v>
      </c>
      <c r="U17" s="177">
        <f>R17*R18*PRODUCT(S5:S16)*S19+R17*R19*PRODUCT(S5:S16)*S18</f>
        <v>0</v>
      </c>
      <c r="W17" s="186" t="s">
        <v>60</v>
      </c>
      <c r="X17" s="15" t="s">
        <v>61</v>
      </c>
      <c r="Y17" s="69">
        <f>(AI17*2)*IF(COUNTBLANK(J14:J15)&lt;&gt;0, (2-COUNTBLANK(J14:J15))/2,1)</f>
        <v>0.08</v>
      </c>
      <c r="Z17" s="197" t="str">
        <f>Z3</f>
        <v>0,6</v>
      </c>
      <c r="AA17" s="19">
        <f t="shared" si="3"/>
        <v>4.8000000000000001E-2</v>
      </c>
      <c r="AB17" s="157">
        <f t="shared" si="4"/>
        <v>5.052631578947369E-2</v>
      </c>
      <c r="AC17" s="176">
        <f t="shared" si="5"/>
        <v>0.94947368421052636</v>
      </c>
      <c r="AD17" s="177">
        <f>AB17*PRODUCT(AC5:AC16)*PRODUCT(AC18:AC19)</f>
        <v>2.3991047010974358E-2</v>
      </c>
      <c r="AE17" s="177">
        <f>AB17*AB18*PRODUCT(AC5:AC16)*AC19+AB17*AB19*PRODUCT(AC5:AC16)*AC18</f>
        <v>0</v>
      </c>
      <c r="AI17" s="194">
        <v>0.04</v>
      </c>
      <c r="BH17">
        <v>1</v>
      </c>
      <c r="BI17">
        <v>5</v>
      </c>
      <c r="BJ17" s="107">
        <f t="shared" si="7"/>
        <v>2.7612410538465144E-2</v>
      </c>
      <c r="BP17">
        <f>BP13+1</f>
        <v>5</v>
      </c>
      <c r="BQ17">
        <v>3</v>
      </c>
      <c r="BR17" s="107">
        <f>$H$30*H42</f>
        <v>7.3396193755179643E-3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 t="s">
        <v>16</v>
      </c>
      <c r="G18" s="167"/>
      <c r="H18" s="10"/>
      <c r="I18" s="10"/>
      <c r="J18" s="166" t="s">
        <v>123</v>
      </c>
      <c r="K18" s="166"/>
      <c r="L18" s="10"/>
      <c r="M18" s="10"/>
      <c r="O18" s="67">
        <f>IF(COUNTIF(F14:F18,"CAB")&gt;0,(AI18*2)*IF(COUNTBLANK(F14:F15)&lt;&gt;0, (2-COUNTBLANK(F14:F15))/2,1),0)</f>
        <v>0</v>
      </c>
      <c r="P18" s="196">
        <v>0.95</v>
      </c>
      <c r="Q18" s="16">
        <f t="shared" si="1"/>
        <v>0</v>
      </c>
      <c r="R18" s="157">
        <f t="shared" si="6"/>
        <v>0</v>
      </c>
      <c r="S18" s="176">
        <f t="shared" si="2"/>
        <v>1</v>
      </c>
      <c r="T18" s="177">
        <f>R18*PRODUCT(S5:S17)*PRODUCT(S19:S19)</f>
        <v>0</v>
      </c>
      <c r="U18" s="177">
        <f>R18*R19*PRODUCT(S5:S17)</f>
        <v>0</v>
      </c>
      <c r="W18" s="186" t="s">
        <v>62</v>
      </c>
      <c r="X18" s="15" t="s">
        <v>63</v>
      </c>
      <c r="Y18" s="69">
        <f>IF(COUNTIF(J14:J18,"CAB")&gt;0,(AI18*2)*IF(COUNTBLANK(J14:J15)&lt;&gt;0, (2-COUNTBLANK(J14:J15))/2,1),0)</f>
        <v>0</v>
      </c>
      <c r="Z18" s="197">
        <v>0.95</v>
      </c>
      <c r="AA18" s="19">
        <f t="shared" si="3"/>
        <v>0</v>
      </c>
      <c r="AB18" s="157">
        <f t="shared" si="4"/>
        <v>0</v>
      </c>
      <c r="AC18" s="176">
        <f t="shared" si="5"/>
        <v>1</v>
      </c>
      <c r="AD18" s="177">
        <f>AB18*PRODUCT(AC5:AC17)*PRODUCT(AC19:AC19)</f>
        <v>0</v>
      </c>
      <c r="AE18" s="177">
        <f>AB18*AB19*PRODUCT(AC5:AC17)</f>
        <v>0</v>
      </c>
      <c r="AI18" s="194">
        <v>0.04</v>
      </c>
      <c r="BH18">
        <v>1</v>
      </c>
      <c r="BI18">
        <v>6</v>
      </c>
      <c r="BJ18" s="107">
        <f t="shared" si="7"/>
        <v>1.135007358308731E-2</v>
      </c>
      <c r="BP18">
        <f>BL8+1</f>
        <v>5</v>
      </c>
      <c r="BQ18">
        <v>4</v>
      </c>
      <c r="BR18" s="107">
        <f>$H$30*H43</f>
        <v>5.4652706176794791E-3</v>
      </c>
    </row>
    <row r="19" spans="1:70" x14ac:dyDescent="0.25">
      <c r="H19" s="13" t="s">
        <v>141</v>
      </c>
      <c r="L19" s="13" t="s">
        <v>141</v>
      </c>
      <c r="O19" s="67">
        <f>IF(AND(F14="TEC",J10="CAB"),AI19,IF(AND(F15="TEC",J6="CAB"),AI19,IF(AND(OR(F16="TEC",F17="TEC",F18="TEC"),OR(J7="CAB",J8="CAB",J9="CAB")),AI19,IF(AND(OR(F11="TEC",F12="TEC",F13="TEC"),OR(J11="CAB",J12="CAB",J13="CAB")),AI19,0))))</f>
        <v>0</v>
      </c>
      <c r="P19" s="196" t="str">
        <f>P3</f>
        <v>0,6</v>
      </c>
      <c r="Q19" s="16">
        <f t="shared" si="1"/>
        <v>0</v>
      </c>
      <c r="R19" s="157">
        <f t="shared" si="6"/>
        <v>0</v>
      </c>
      <c r="S19" s="178">
        <f t="shared" si="2"/>
        <v>1</v>
      </c>
      <c r="T19" s="179">
        <f>R19*PRODUCT(S5:S18)</f>
        <v>0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IF(AND(J14="TEC",F10="CAB"),AI19,IF(AND(J15="TEC",F6="CAB"),AI19,IF(AND(OR(J16="TEC",J17="TEC",J18="TEC"),OR(F7="CAB",F8="CAB",F9="CAB")),AI19,IF(AND(OR(J11="TEC",J12="TEC",J13="TEC"),OR(F11="CAB",F12="CAB",F13="CAB")),AI19,0))))</f>
        <v>0</v>
      </c>
      <c r="Z19" s="197" t="str">
        <f>Z3</f>
        <v>0,6</v>
      </c>
      <c r="AA19" s="19">
        <f t="shared" si="3"/>
        <v>0</v>
      </c>
      <c r="AB19" s="157">
        <f t="shared" si="4"/>
        <v>0</v>
      </c>
      <c r="AC19" s="178">
        <f t="shared" si="5"/>
        <v>1</v>
      </c>
      <c r="AD19" s="179">
        <f>AB19*PRODUCT(AC5:AC18)</f>
        <v>0</v>
      </c>
      <c r="AE19" s="179">
        <v>0</v>
      </c>
      <c r="AF19" s="1" t="s">
        <v>66</v>
      </c>
      <c r="AI19" s="194">
        <v>0.06</v>
      </c>
      <c r="BH19">
        <v>1</v>
      </c>
      <c r="BI19">
        <v>7</v>
      </c>
      <c r="BJ19" s="107">
        <f t="shared" si="7"/>
        <v>3.559077438440287E-3</v>
      </c>
      <c r="BP19">
        <f>BP15+1</f>
        <v>6</v>
      </c>
      <c r="BQ19">
        <v>1</v>
      </c>
      <c r="BR19" s="107">
        <f>$H$31*H40</f>
        <v>9.8283857589071097E-4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>
        <f>PRODUCT(S5:S19)</f>
        <v>0.66460461994494335</v>
      </c>
      <c r="T20" s="181">
        <f>SUM(T5:T19)</f>
        <v>0.28042866569132896</v>
      </c>
      <c r="U20" s="181">
        <f>SUM(U5:U19)</f>
        <v>4.9821627517118099E-2</v>
      </c>
      <c r="V20" s="181">
        <f>1-S20-T20-U20</f>
        <v>5.1450868466095881E-3</v>
      </c>
      <c r="W20" s="21"/>
      <c r="X20" s="22"/>
      <c r="Y20" s="22"/>
      <c r="Z20" s="22"/>
      <c r="AA20" s="22"/>
      <c r="AB20" s="23"/>
      <c r="AC20" s="184">
        <f>PRODUCT(AC5:AC19)</f>
        <v>0.4508317584145598</v>
      </c>
      <c r="AD20" s="181">
        <f>SUM(AD5:AD19)</f>
        <v>0.38473261229021288</v>
      </c>
      <c r="AE20" s="181">
        <f>SUM(AE5:AE19)</f>
        <v>0.13576577967955661</v>
      </c>
      <c r="AF20" s="181">
        <f>1-AC20-AD20-AE20</f>
        <v>2.8669849615670706E-2</v>
      </c>
      <c r="BH20">
        <v>1</v>
      </c>
      <c r="BI20">
        <v>8</v>
      </c>
      <c r="BJ20" s="107">
        <f t="shared" si="7"/>
        <v>8.5014425352509875E-4</v>
      </c>
      <c r="BP20">
        <f>BP16+1</f>
        <v>6</v>
      </c>
      <c r="BQ20">
        <v>2</v>
      </c>
      <c r="BR20" s="107">
        <f>$H$31*H41</f>
        <v>1.7085163522388503E-3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S21" s="182">
        <f>1-T21-U21-V21</f>
        <v>0.66460461994494335</v>
      </c>
      <c r="T21" s="183">
        <f>T20*U2</f>
        <v>0.28042866569132896</v>
      </c>
      <c r="U21" s="183">
        <f>U20*U2</f>
        <v>4.9821627517118099E-2</v>
      </c>
      <c r="V21" s="183">
        <f>V20*U2</f>
        <v>5.1450868466095881E-3</v>
      </c>
      <c r="W21" s="21"/>
      <c r="X21" s="22"/>
      <c r="Y21" s="22"/>
      <c r="Z21" s="22"/>
      <c r="AA21" s="22"/>
      <c r="AB21" s="23"/>
      <c r="AC21" s="185">
        <f>1-AD21-AE21-AF21</f>
        <v>0.45083175841455986</v>
      </c>
      <c r="AD21" s="183">
        <f>AD20*AE2</f>
        <v>0.38473261229021288</v>
      </c>
      <c r="AE21" s="183">
        <f>AE20*AE2</f>
        <v>0.13576577967955661</v>
      </c>
      <c r="AF21" s="183">
        <f>AF20*AE2</f>
        <v>2.8669849615670706E-2</v>
      </c>
      <c r="BH21" s="18">
        <v>1</v>
      </c>
      <c r="BI21">
        <v>9</v>
      </c>
      <c r="BJ21" s="107">
        <f t="shared" si="7"/>
        <v>1.5247960179092223E-4</v>
      </c>
      <c r="BP21">
        <f>BP17+1</f>
        <v>6</v>
      </c>
      <c r="BQ21">
        <v>3</v>
      </c>
      <c r="BR21" s="107">
        <f>$H$31*H42</f>
        <v>1.8378147166749667E-3</v>
      </c>
    </row>
    <row r="22" spans="1:70" x14ac:dyDescent="0.25">
      <c r="A22" s="26" t="s">
        <v>77</v>
      </c>
      <c r="B22" s="62">
        <f>(B6)/((B6)+(C6))</f>
        <v>0.47368421052631576</v>
      </c>
      <c r="C22" s="63">
        <f>1-B22</f>
        <v>0.52631578947368429</v>
      </c>
      <c r="D22" s="24"/>
      <c r="E22" s="24"/>
      <c r="V22" s="59">
        <f>SUM(V25:V35)</f>
        <v>1</v>
      </c>
      <c r="AS22" s="82">
        <f>Y23+AA23+AC23+AE23+AG23+AI23+AK23+AM23+AO23+AQ23+AS23</f>
        <v>1</v>
      </c>
      <c r="BH22">
        <v>1</v>
      </c>
      <c r="BI22">
        <v>10</v>
      </c>
      <c r="BJ22" s="107">
        <f t="shared" si="7"/>
        <v>1.9919726849217682E-5</v>
      </c>
      <c r="BP22">
        <f>BP18+1</f>
        <v>6</v>
      </c>
      <c r="BQ22">
        <v>4</v>
      </c>
      <c r="BR22" s="107">
        <f>$H$31*H43</f>
        <v>1.3684844210431289E-3</v>
      </c>
    </row>
    <row r="23" spans="1:70" ht="15.75" thickBot="1" x14ac:dyDescent="0.3">
      <c r="A23" s="40" t="s">
        <v>67</v>
      </c>
      <c r="B23" s="56">
        <f>((B22^2.8)/((B22^2.8)+(C22^2.8)))*B21</f>
        <v>2.1338895849549826</v>
      </c>
      <c r="C23" s="57">
        <f>B21-B23</f>
        <v>2.8661104150450174</v>
      </c>
      <c r="D23" s="151">
        <f>SUM(D25:D30)</f>
        <v>1</v>
      </c>
      <c r="E23" s="151">
        <f>SUM(E25:E30)</f>
        <v>1</v>
      </c>
      <c r="H23" s="59">
        <f>SUM(H25:H35)</f>
        <v>0.99999989180232174</v>
      </c>
      <c r="J23" s="59">
        <f>SUM(J25:J35)</f>
        <v>0.99999999999999989</v>
      </c>
      <c r="K23" s="59"/>
      <c r="L23" s="59">
        <f>SUM(L25:L35)</f>
        <v>1</v>
      </c>
      <c r="N23" s="59">
        <f>SUM(N25:N35)</f>
        <v>1.0000000000000002</v>
      </c>
      <c r="O23" s="34"/>
      <c r="P23" s="59">
        <f>SUM(P25:P35)</f>
        <v>1.0000000000000002</v>
      </c>
      <c r="R23" s="59">
        <f>SUM(R25:R35)</f>
        <v>1</v>
      </c>
      <c r="T23" s="59">
        <f>SUM(T25:T35)</f>
        <v>1</v>
      </c>
      <c r="V23" s="59">
        <f>SUM(V25:V34)</f>
        <v>0.99975813565668914</v>
      </c>
      <c r="Y23" s="80">
        <f>SUM(Y25:Y35)</f>
        <v>3.7731004883405344E-3</v>
      </c>
      <c r="Z23" s="81"/>
      <c r="AA23" s="80">
        <f>SUM(AA25:AA35)</f>
        <v>2.8148540579964569E-2</v>
      </c>
      <c r="AB23" s="81"/>
      <c r="AC23" s="80">
        <f>SUM(AC25:AC35)</f>
        <v>9.4540965211025202E-2</v>
      </c>
      <c r="AD23" s="81"/>
      <c r="AE23" s="80">
        <f>SUM(AE25:AE35)</f>
        <v>0.18828113238782931</v>
      </c>
      <c r="AF23" s="81"/>
      <c r="AG23" s="80">
        <f>SUM(AG25:AG35)</f>
        <v>0.24628757091290551</v>
      </c>
      <c r="AH23" s="81"/>
      <c r="AI23" s="80">
        <f>SUM(AI25:AI35)</f>
        <v>0.22120189162163784</v>
      </c>
      <c r="AJ23" s="81"/>
      <c r="AK23" s="80">
        <f>SUM(AK25:AK35)</f>
        <v>0.13825350881016671</v>
      </c>
      <c r="AL23" s="81"/>
      <c r="AM23" s="80">
        <f>SUM(AM25:AM35)</f>
        <v>5.9467002659498752E-2</v>
      </c>
      <c r="AN23" s="81"/>
      <c r="AO23" s="80">
        <f>SUM(AO25:AO35)</f>
        <v>1.6906172264115515E-2</v>
      </c>
      <c r="AP23" s="81"/>
      <c r="AQ23" s="80">
        <f>SUM(AQ25:AQ35)</f>
        <v>2.8982507212050802E-3</v>
      </c>
      <c r="AR23" s="81"/>
      <c r="AS23" s="80">
        <f>SUM(AS25:AS35)</f>
        <v>2.4186434331086013E-4</v>
      </c>
      <c r="BH23">
        <f t="shared" ref="BH23:BH30" si="8">BH15+1</f>
        <v>2</v>
      </c>
      <c r="BI23">
        <v>3</v>
      </c>
      <c r="BJ23" s="107">
        <f t="shared" ref="BJ23:BJ30" si="9">$H$27*H42</f>
        <v>7.3068715591534925E-2</v>
      </c>
      <c r="BP23">
        <f>BL9+1</f>
        <v>6</v>
      </c>
      <c r="BQ23">
        <v>5</v>
      </c>
      <c r="BR23" s="107">
        <f>$H$31*H44</f>
        <v>7.4620169824639304E-4</v>
      </c>
    </row>
    <row r="24" spans="1:70" ht="15.75" thickBot="1" x14ac:dyDescent="0.3">
      <c r="A24" s="26" t="s">
        <v>76</v>
      </c>
      <c r="B24" s="64">
        <f>B23/B21</f>
        <v>0.42677791699099654</v>
      </c>
      <c r="C24" s="65">
        <f>C23/B21</f>
        <v>0.57322208300900346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>
        <f t="shared" si="9"/>
        <v>5.4408857457381762E-2</v>
      </c>
      <c r="BP24">
        <f>BH49+1</f>
        <v>7</v>
      </c>
      <c r="BQ24">
        <v>0</v>
      </c>
      <c r="BR24" s="107">
        <f t="shared" ref="BR24:BR30" si="10">$H$32*H39</f>
        <v>5.0349013549767308E-5</v>
      </c>
    </row>
    <row r="25" spans="1:70" x14ac:dyDescent="0.25">
      <c r="A25" s="26" t="s">
        <v>69</v>
      </c>
      <c r="B25" s="117">
        <f>1/(1+EXP(-3.1416*4*((B11/(B11+C8))-(3.1416/6))))</f>
        <v>0.32839636256027932</v>
      </c>
      <c r="C25" s="118">
        <f>1/(1+EXP(-3.1416*4*((C11/(C11+B8))-(3.1416/6))))</f>
        <v>0.33935563523733447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>
        <f>L25*J25</f>
        <v>0.11729554082099101</v>
      </c>
      <c r="I25" s="97">
        <v>0</v>
      </c>
      <c r="J25" s="98">
        <f t="shared" ref="J25:J35" si="11">Y25+AA25+AC25+AE25+AG25+AI25+AK25+AM25+AO25+AQ25+AS25</f>
        <v>0.17648920471047572</v>
      </c>
      <c r="K25" s="97">
        <v>0</v>
      </c>
      <c r="L25" s="98">
        <f>S21</f>
        <v>0.66460461994494335</v>
      </c>
      <c r="M25" s="84">
        <v>0</v>
      </c>
      <c r="N25" s="71">
        <f>(1-$B$24)^$B$21</f>
        <v>6.1889156665255927E-2</v>
      </c>
      <c r="O25" s="70">
        <v>0</v>
      </c>
      <c r="P25" s="71">
        <f>N25</f>
        <v>6.1889156665255927E-2</v>
      </c>
      <c r="Q25" s="12">
        <v>0</v>
      </c>
      <c r="R25" s="73">
        <f>P25*N25</f>
        <v>3.830267712736592E-3</v>
      </c>
      <c r="S25" s="70">
        <v>0</v>
      </c>
      <c r="T25" s="135">
        <f>(1-$B$33)^(INT(C23*2*(1-C31)))</f>
        <v>0.98507487500000002</v>
      </c>
      <c r="U25" s="140">
        <v>0</v>
      </c>
      <c r="V25" s="86">
        <f>R25*T25</f>
        <v>3.7731004883405344E-3</v>
      </c>
      <c r="W25" s="136">
        <f>B31</f>
        <v>0.37202183834290609</v>
      </c>
      <c r="X25" s="12">
        <v>0</v>
      </c>
      <c r="Y25" s="79">
        <f>V25</f>
        <v>3.7731004883405344E-3</v>
      </c>
      <c r="Z25" s="12">
        <v>0</v>
      </c>
      <c r="AA25" s="78">
        <f>((1-W25)^Z26)*V26</f>
        <v>1.7676668766736257E-2</v>
      </c>
      <c r="AB25" s="12">
        <v>0</v>
      </c>
      <c r="AC25" s="79">
        <f>(((1-$W$25)^AB27))*V27</f>
        <v>3.7282850908643514E-2</v>
      </c>
      <c r="AD25" s="12">
        <v>0</v>
      </c>
      <c r="AE25" s="79">
        <f>(((1-$W$25)^AB28))*V28</f>
        <v>4.6627316867003415E-2</v>
      </c>
      <c r="AF25" s="12">
        <v>0</v>
      </c>
      <c r="AG25" s="79">
        <f>(((1-$W$25)^AB29))*V29</f>
        <v>3.830193014890438E-2</v>
      </c>
      <c r="AH25" s="12">
        <v>0</v>
      </c>
      <c r="AI25" s="79">
        <f>(((1-$W$25)^AB30))*V30</f>
        <v>2.1602874477469437E-2</v>
      </c>
      <c r="AJ25" s="12">
        <v>0</v>
      </c>
      <c r="AK25" s="79">
        <f>(((1-$W$25)^AB31))*V31</f>
        <v>8.4789760607709031E-3</v>
      </c>
      <c r="AL25" s="12">
        <v>0</v>
      </c>
      <c r="AM25" s="79">
        <f>(((1-$W$25)^AB32))*V32</f>
        <v>2.2902760787731325E-3</v>
      </c>
      <c r="AN25" s="12">
        <v>0</v>
      </c>
      <c r="AO25" s="79">
        <f>(((1-$W$25)^AB33))*V33</f>
        <v>4.0888541446675481E-4</v>
      </c>
      <c r="AP25" s="12">
        <v>0</v>
      </c>
      <c r="AQ25" s="79">
        <f>(((1-$W$25)^AB34))*V34</f>
        <v>4.4018660506926467E-5</v>
      </c>
      <c r="AR25" s="12">
        <v>0</v>
      </c>
      <c r="AS25" s="79">
        <f>(((1-$W$25)^AB35))*V35</f>
        <v>2.3068388604300221E-6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>
        <f t="shared" si="9"/>
        <v>2.9667843645159519E-2</v>
      </c>
      <c r="BP25">
        <f>BP19+1</f>
        <v>7</v>
      </c>
      <c r="BQ25">
        <v>1</v>
      </c>
      <c r="BR25" s="107">
        <f t="shared" si="10"/>
        <v>1.878964203728081E-4</v>
      </c>
    </row>
    <row r="26" spans="1:70" x14ac:dyDescent="0.25">
      <c r="A26" s="40" t="s">
        <v>24</v>
      </c>
      <c r="B26" s="119">
        <f>1/(1+EXP(-3.1416*4*((B10/(B10+C9))-(3.1416/6))))</f>
        <v>0.32839636256027932</v>
      </c>
      <c r="C26" s="120">
        <f>1/(1+EXP(-3.1416*4*((C10/(C10+B9))-(3.1416/6))))</f>
        <v>0.33935563523733447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>
        <f>L25*J26+L26*J25</f>
        <v>0.27152796609913654</v>
      </c>
      <c r="I26" s="93">
        <v>1</v>
      </c>
      <c r="J26" s="86">
        <f t="shared" si="11"/>
        <v>0.3340863533745036</v>
      </c>
      <c r="K26" s="93">
        <v>1</v>
      </c>
      <c r="L26" s="86">
        <f>T21</f>
        <v>0.28042866569132896</v>
      </c>
      <c r="M26" s="85">
        <v>1</v>
      </c>
      <c r="N26" s="71">
        <f>(($B$24)^M26)*((1-($B$24))^($B$21-M26))*HLOOKUP($B$21,$AV$24:$BF$34,M26+1)</f>
        <v>0.23038998451768047</v>
      </c>
      <c r="O26" s="72">
        <v>1</v>
      </c>
      <c r="P26" s="71">
        <f t="shared" ref="P26:P30" si="12">N26</f>
        <v>0.23038998451768047</v>
      </c>
      <c r="Q26" s="28">
        <v>1</v>
      </c>
      <c r="R26" s="37">
        <f>N26*P25+P26*N25</f>
        <v>2.8517283691841228E-2</v>
      </c>
      <c r="S26" s="72">
        <v>1</v>
      </c>
      <c r="T26" s="135">
        <f t="shared" ref="T26:T35" si="13">(($B$33)^S26)*((1-($B$33))^(INT($C$23*2*(1-$C$31))-S26))*HLOOKUP(INT($C$23*2*(1-$C$31)),$AV$24:$BF$34,S26+1)</f>
        <v>1.4850375000000002E-2</v>
      </c>
      <c r="U26" s="93">
        <v>1</v>
      </c>
      <c r="V26" s="86">
        <f>R26*T25+T26*R25</f>
        <v>2.8148540579964569E-2</v>
      </c>
      <c r="W26" s="137"/>
      <c r="X26" s="28">
        <v>1</v>
      </c>
      <c r="Y26" s="73"/>
      <c r="Z26" s="28">
        <v>1</v>
      </c>
      <c r="AA26" s="79">
        <f>(1-((1-W25)^Z26))*V26</f>
        <v>1.0471871813228312E-2</v>
      </c>
      <c r="AB26" s="28">
        <v>1</v>
      </c>
      <c r="AC26" s="79">
        <f>((($W$25)^M26)*((1-($W$25))^($U$27-M26))*HLOOKUP($U$27,$AV$24:$BF$34,M26+1))*V27</f>
        <v>4.417362125172674E-2</v>
      </c>
      <c r="AD26" s="28">
        <v>1</v>
      </c>
      <c r="AE26" s="79">
        <f>((($W$25)^M26)*((1-($W$25))^($U$28-M26))*HLOOKUP($U$28,$AV$24:$BF$34,M26+1))*V28</f>
        <v>8.286775494908892E-2</v>
      </c>
      <c r="AF26" s="28">
        <v>1</v>
      </c>
      <c r="AG26" s="79">
        <f>((($W$25)^M26)*((1-($W$25))^($U$29-M26))*HLOOKUP($U$29,$AV$24:$BF$34,M26+1))*V29</f>
        <v>9.0762101844284876E-2</v>
      </c>
      <c r="AH26" s="28">
        <v>1</v>
      </c>
      <c r="AI26" s="79">
        <f>((($W$25)^M26)*((1-($W$25))^($U$30-M26))*HLOOKUP($U$30,$AV$24:$BF$34,M26+1))*V30</f>
        <v>6.3989017192827735E-2</v>
      </c>
      <c r="AJ26" s="28">
        <v>1</v>
      </c>
      <c r="AK26" s="79">
        <f>((($W$25)^M26)*((1-($W$25))^($U$31-M26))*HLOOKUP($U$31,$AV$24:$BF$34,M26+1))*V31</f>
        <v>3.0138286207945401E-2</v>
      </c>
      <c r="AL26" s="28">
        <v>1</v>
      </c>
      <c r="AM26" s="79">
        <f>((($W$25)^Q26)*((1-($W$25))^($U$32-Q26))*HLOOKUP($U$32,$AV$24:$BF$34,Q26+1))*V32</f>
        <v>9.4975102386163808E-3</v>
      </c>
      <c r="AN26" s="28">
        <v>1</v>
      </c>
      <c r="AO26" s="79">
        <f>((($W$25)^Q26)*((1-($W$25))^($U$33-Q26))*HLOOKUP($U$33,$AV$24:$BF$34,Q26+1))*V33</f>
        <v>1.9378292157182994E-3</v>
      </c>
      <c r="AP26" s="28">
        <v>1</v>
      </c>
      <c r="AQ26" s="79">
        <f>((($W$25)^Q26)*((1-($W$25))^($U$34-Q26))*HLOOKUP($U$34,$AV$24:$BF$34,Q26+1))*V34</f>
        <v>2.3469466938101871E-4</v>
      </c>
      <c r="AR26" s="28">
        <v>1</v>
      </c>
      <c r="AS26" s="79">
        <f>((($W$25)^Q26)*((1-($W$25))^($U$35-Q26))*HLOOKUP($U$35,$AV$24:$BF$34,Q26+1))*V35</f>
        <v>1.3665991685975964E-5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>
        <f t="shared" si="9"/>
        <v>1.2194958783298146E-2</v>
      </c>
      <c r="BP26">
        <f>BP20+1</f>
        <v>7</v>
      </c>
      <c r="BQ26">
        <v>2</v>
      </c>
      <c r="BR26" s="107">
        <f t="shared" si="10"/>
        <v>3.2662953470579358E-4</v>
      </c>
    </row>
    <row r="27" spans="1:70" x14ac:dyDescent="0.25">
      <c r="A27" s="26" t="s">
        <v>25</v>
      </c>
      <c r="B27" s="119">
        <f>1/(1+EXP(-3.1416*4*((B12/(B12+C7))-(3.1416/6))))</f>
        <v>0.32839636256027932</v>
      </c>
      <c r="C27" s="120">
        <f>1/(1+EXP(-3.1416*4*((C12/(C12+B7))-(3.1416/6))))</f>
        <v>0.33935563523733447</v>
      </c>
      <c r="D27" s="153">
        <f>D26</f>
        <v>0.25700000000000001</v>
      </c>
      <c r="E27" s="153">
        <f>E26</f>
        <v>0.25700000000000001</v>
      </c>
      <c r="G27" s="87">
        <v>2</v>
      </c>
      <c r="H27" s="128">
        <f>L25*J27+J26*L26+J25*L27</f>
        <v>0.2917401663391731</v>
      </c>
      <c r="I27" s="93">
        <v>2</v>
      </c>
      <c r="J27" s="86">
        <f t="shared" si="11"/>
        <v>0.2847705100733125</v>
      </c>
      <c r="K27" s="93">
        <v>2</v>
      </c>
      <c r="L27" s="86">
        <f>U21</f>
        <v>4.9821627517118099E-2</v>
      </c>
      <c r="M27" s="85">
        <v>2</v>
      </c>
      <c r="N27" s="71">
        <f>(($B$24)^M27)*((1-($B$24))^($B$21-M27))*HLOOKUP($B$21,$AV$24:$BF$34,M27+1)</f>
        <v>0.34306200197977804</v>
      </c>
      <c r="O27" s="72">
        <v>2</v>
      </c>
      <c r="P27" s="71">
        <f t="shared" si="12"/>
        <v>0.34306200197977804</v>
      </c>
      <c r="Q27" s="28">
        <v>2</v>
      </c>
      <c r="R27" s="37">
        <f>P25*N27+P26*N26+P27*N25</f>
        <v>9.5543180938902683E-2</v>
      </c>
      <c r="S27" s="72">
        <v>2</v>
      </c>
      <c r="T27" s="135">
        <f t="shared" si="13"/>
        <v>7.4625000000000011E-5</v>
      </c>
      <c r="U27" s="93">
        <v>2</v>
      </c>
      <c r="V27" s="86">
        <f>R27*T25+T26*R26+R25*T27</f>
        <v>9.454096521102523E-2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1.3084493050654962E-2</v>
      </c>
      <c r="AD27" s="28">
        <v>2</v>
      </c>
      <c r="AE27" s="79">
        <f>((($W$25)^M27)*((1-($W$25))^($U$28-M27))*HLOOKUP($U$28,$AV$24:$BF$34,M27+1))*V28</f>
        <v>4.9091857675686842E-2</v>
      </c>
      <c r="AF27" s="28">
        <v>2</v>
      </c>
      <c r="AG27" s="79">
        <f>((($W$25)^M27)*((1-($W$25))^($U$29-M27))*HLOOKUP($U$29,$AV$24:$BF$34,M27+1))*V29</f>
        <v>8.06528460103072E-2</v>
      </c>
      <c r="AH27" s="28">
        <v>2</v>
      </c>
      <c r="AI27" s="79">
        <f>((($W$25)^M27)*((1-($W$25))^($U$30-M27))*HLOOKUP($U$30,$AV$24:$BF$34,M27+1))*V30</f>
        <v>7.5815731384717922E-2</v>
      </c>
      <c r="AJ27" s="28">
        <v>2</v>
      </c>
      <c r="AK27" s="79">
        <f>((($W$25)^M27)*((1-($W$25))^($U$31-M27))*HLOOKUP($U$31,$AV$24:$BF$34,M27+1))*V31</f>
        <v>4.463571077853358E-2</v>
      </c>
      <c r="AL27" s="28">
        <v>2</v>
      </c>
      <c r="AM27" s="79">
        <f>((($W$25)^Q27)*((1-($W$25))^($U$32-Q27))*HLOOKUP($U$32,$AV$24:$BF$34,Q27+1))*V32</f>
        <v>1.6879318904946157E-2</v>
      </c>
      <c r="AN27" s="28">
        <v>2</v>
      </c>
      <c r="AO27" s="79">
        <f>((($W$25)^Q27)*((1-($W$25))^($U$33-Q27))*HLOOKUP($U$33,$AV$24:$BF$34,Q27+1))*V33</f>
        <v>4.0179769128168936E-3</v>
      </c>
      <c r="AP27" s="28">
        <v>2</v>
      </c>
      <c r="AQ27" s="79">
        <f>((($W$25)^Q27)*((1-($W$25))^($U$34-Q27))*HLOOKUP($U$34,$AV$24:$BF$34,Q27+1))*V34</f>
        <v>5.5614381316707897E-4</v>
      </c>
      <c r="AR27" s="28">
        <v>2</v>
      </c>
      <c r="AS27" s="79">
        <f>((($W$25)^Q27)*((1-($W$25))^($U$35-Q27))*HLOOKUP($U$35,$AV$24:$BF$34,Q27+1))*V35</f>
        <v>3.6431542481843528E-5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>
        <f t="shared" si="9"/>
        <v>3.8240106859765166E-3</v>
      </c>
      <c r="BP27">
        <f>BP21+1</f>
        <v>7</v>
      </c>
      <c r="BQ27">
        <v>3</v>
      </c>
      <c r="BR27" s="107">
        <f t="shared" si="10"/>
        <v>3.5134844626824184E-4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>
        <f>J28*L25+J27*L26+L28*J25+L27*J26</f>
        <v>0.19309454238427987</v>
      </c>
      <c r="I28" s="93">
        <v>3</v>
      </c>
      <c r="J28" s="86">
        <f t="shared" si="11"/>
        <v>0.14397123824087624</v>
      </c>
      <c r="K28" s="93">
        <v>3</v>
      </c>
      <c r="L28" s="86">
        <f>V21</f>
        <v>5.1450868466095881E-3</v>
      </c>
      <c r="M28" s="85">
        <v>3</v>
      </c>
      <c r="N28" s="71">
        <f>(($B$24)^M28)*((1-($B$24))^($B$21-M28))*HLOOKUP($B$21,$AV$24:$BF$34,M28+1)</f>
        <v>0.25541808479383232</v>
      </c>
      <c r="O28" s="72">
        <v>3</v>
      </c>
      <c r="P28" s="71">
        <f t="shared" si="12"/>
        <v>0.25541808479383232</v>
      </c>
      <c r="Q28" s="28">
        <v>3</v>
      </c>
      <c r="R28" s="37">
        <f>P25*N28+P26*N27+P27*N26+P28*N25</f>
        <v>0.18969131837934131</v>
      </c>
      <c r="S28" s="72">
        <v>3</v>
      </c>
      <c r="T28" s="135">
        <f t="shared" si="13"/>
        <v>1.2500000000000002E-7</v>
      </c>
      <c r="U28" s="93">
        <v>3</v>
      </c>
      <c r="V28" s="86">
        <f>R28*T25+R27*T26+R26*T27+R25*T28</f>
        <v>0.18828113238782934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9.6942028960501376E-3</v>
      </c>
      <c r="AF28" s="28">
        <v>3</v>
      </c>
      <c r="AG28" s="79">
        <f>((($W$25)^M28)*((1-($W$25))^($U$29-M28))*HLOOKUP($U$29,$AV$24:$BF$34,M28+1))*V29</f>
        <v>3.1853145934423711E-2</v>
      </c>
      <c r="AH28" s="28">
        <v>3</v>
      </c>
      <c r="AI28" s="79">
        <f>((($W$25)^M28)*((1-($W$25))^($U$30-M28))*HLOOKUP($U$30,$AV$24:$BF$34,M28+1))*V30</f>
        <v>4.4914153846732106E-2</v>
      </c>
      <c r="AJ28" s="28">
        <v>3</v>
      </c>
      <c r="AK28" s="79">
        <f>((($W$25)^M28)*((1-($W$25))^($U$31-M28))*HLOOKUP($U$31,$AV$24:$BF$34,M28+1))*V31</f>
        <v>3.5256978014976903E-2</v>
      </c>
      <c r="AL28" s="28">
        <v>3</v>
      </c>
      <c r="AM28" s="79">
        <f>((($W$25)^Q28)*((1-($W$25))^($U$32-Q28))*HLOOKUP($U$32,$AV$24:$BF$34,Q28+1))*V32</f>
        <v>1.6665853560958517E-2</v>
      </c>
      <c r="AN28" s="28">
        <v>3</v>
      </c>
      <c r="AO28" s="79">
        <f>((($W$25)^Q28)*((1-($W$25))^($U$33-Q28))*HLOOKUP($U$33,$AV$24:$BF$34,Q28+1))*V33</f>
        <v>4.7605959849976879E-3</v>
      </c>
      <c r="AP28" s="28">
        <v>3</v>
      </c>
      <c r="AQ28" s="79">
        <f>((($W$25)^Q28)*((1-($W$25))^($U$34-Q28))*HLOOKUP($U$34,$AV$24:$BF$34,Q28+1))*V34</f>
        <v>7.6875470875210938E-4</v>
      </c>
      <c r="AR28" s="28">
        <v>3</v>
      </c>
      <c r="AS28" s="79">
        <f>((($W$25)^Q28)*((1-($W$25))^($U$35-Q28))*HLOOKUP($U$35,$AV$24:$BF$34,Q28+1))*V35</f>
        <v>5.7553293985038817E-5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8"/>
        <v>2</v>
      </c>
      <c r="BI28">
        <v>8</v>
      </c>
      <c r="BJ28" s="107">
        <f t="shared" si="9"/>
        <v>9.1342792235680939E-4</v>
      </c>
      <c r="BP28">
        <f>BP22+1</f>
        <v>7</v>
      </c>
      <c r="BQ28">
        <v>4</v>
      </c>
      <c r="BR28" s="107">
        <f t="shared" si="10"/>
        <v>2.6162314988188988E-4</v>
      </c>
    </row>
    <row r="29" spans="1:70" x14ac:dyDescent="0.25">
      <c r="A29" s="26" t="s">
        <v>27</v>
      </c>
      <c r="B29" s="123">
        <f>1/(1+EXP(-3.1416*4*((B14/(B14+C13))-(3.1416/6))))</f>
        <v>0.21091587975125142</v>
      </c>
      <c r="C29" s="118">
        <f>1/(1+EXP(-3.1416*4*((C14/(C14+B13))-(3.1416/6))))</f>
        <v>0.40883398126688669</v>
      </c>
      <c r="D29" s="153">
        <v>0.04</v>
      </c>
      <c r="E29" s="153">
        <v>0.04</v>
      </c>
      <c r="G29" s="87">
        <v>4</v>
      </c>
      <c r="H29" s="128">
        <f>J29*L25+J28*L26+J27*L27+J26*L28</f>
        <v>8.8066690842485224E-2</v>
      </c>
      <c r="I29" s="93">
        <v>4</v>
      </c>
      <c r="J29" s="86">
        <f t="shared" si="11"/>
        <v>4.782752642343932E-2</v>
      </c>
      <c r="K29" s="93">
        <v>4</v>
      </c>
      <c r="L29" s="86"/>
      <c r="M29" s="85">
        <v>4</v>
      </c>
      <c r="N29" s="71">
        <f>(($B$24)^M29)*((1-($B$24))^($B$21-M29))*HLOOKUP($B$21,$AV$24:$BF$34,M29+1)</f>
        <v>9.508251812101709E-2</v>
      </c>
      <c r="O29" s="72">
        <v>4</v>
      </c>
      <c r="P29" s="71">
        <f t="shared" si="12"/>
        <v>9.508251812101709E-2</v>
      </c>
      <c r="Q29" s="28">
        <v>4</v>
      </c>
      <c r="R29" s="37">
        <f>P25*N29+P26*N28+P27*N27+P28*N26+P29*N25</f>
        <v>0.24715222812498383</v>
      </c>
      <c r="S29" s="72">
        <v>4</v>
      </c>
      <c r="T29" s="135">
        <f t="shared" si="13"/>
        <v>0</v>
      </c>
      <c r="U29" s="93">
        <v>4</v>
      </c>
      <c r="V29" s="86">
        <f>T29*R25+T28*R26+T27*R27+T26*R28+T25*R29</f>
        <v>0.24628757091290557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4.7175469749853646E-3</v>
      </c>
      <c r="AH29" s="28">
        <v>4</v>
      </c>
      <c r="AI29" s="79">
        <f>((($W$25)^M29)*((1-($W$25))^($U$30-M29))*HLOOKUP($U$30,$AV$24:$BF$34,M29+1))*V30</f>
        <v>1.3303843271863109E-2</v>
      </c>
      <c r="AJ29" s="28">
        <v>4</v>
      </c>
      <c r="AK29" s="79">
        <f>((($W$25)^M29)*((1-($W$25))^($U$31-M29))*HLOOKUP($U$31,$AV$24:$BF$34,M29+1))*V31</f>
        <v>1.5664994313977391E-2</v>
      </c>
      <c r="AL29" s="28">
        <v>4</v>
      </c>
      <c r="AM29" s="79">
        <f>((($W$25)^Q29)*((1-($W$25))^($U$32-Q29))*HLOOKUP($U$32,$AV$24:$BF$34,Q29+1))*V32</f>
        <v>9.8730526917383231E-3</v>
      </c>
      <c r="AN29" s="28">
        <v>4</v>
      </c>
      <c r="AO29" s="79">
        <f>((($W$25)^Q29)*((1-($W$25))^($U$33-Q29))*HLOOKUP($U$33,$AV$24:$BF$34,Q29+1))*V33</f>
        <v>3.5252931114541151E-3</v>
      </c>
      <c r="AP29" s="28">
        <v>4</v>
      </c>
      <c r="AQ29" s="79">
        <f>((($W$25)^Q29)*((1-($W$25))^($U$34-Q29))*HLOOKUP($U$34,$AV$24:$BF$34,Q29+1))*V34</f>
        <v>6.8312934457000576E-4</v>
      </c>
      <c r="AR29" s="28">
        <v>4</v>
      </c>
      <c r="AS29" s="79">
        <f>((($W$25)^Q29)*((1-($W$25))^($U$35-Q29))*HLOOKUP($U$35,$AV$24:$BF$34,Q29+1))*V35</f>
        <v>5.9666714851012349E-5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4">BE28+BE29</f>
        <v>252</v>
      </c>
      <c r="BH29">
        <f t="shared" si="8"/>
        <v>2</v>
      </c>
      <c r="BI29">
        <v>9</v>
      </c>
      <c r="BJ29" s="107">
        <f t="shared" si="9"/>
        <v>1.638299915433867E-4</v>
      </c>
      <c r="BP29">
        <f>BP23+1</f>
        <v>7</v>
      </c>
      <c r="BQ29">
        <v>5</v>
      </c>
      <c r="BR29" s="107">
        <f t="shared" si="10"/>
        <v>1.4265682220454318E-4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>
        <f>J30*L25+J29*L26+J28*L27+J27*L28</f>
        <v>2.9304768260192272E-2</v>
      </c>
      <c r="I30" s="93">
        <v>5</v>
      </c>
      <c r="J30" s="86">
        <f t="shared" si="11"/>
        <v>1.0915525131401687E-2</v>
      </c>
      <c r="K30" s="93">
        <v>5</v>
      </c>
      <c r="L30" s="86"/>
      <c r="M30" s="85">
        <v>5</v>
      </c>
      <c r="N30" s="71">
        <f>(($B$24)^M30)*((1-($B$24))^($B$21-M30))*HLOOKUP($B$21,$AV$24:$BF$34,M30+1)</f>
        <v>1.4158253922436198E-2</v>
      </c>
      <c r="O30" s="72">
        <v>5</v>
      </c>
      <c r="P30" s="71">
        <f t="shared" si="12"/>
        <v>1.4158253922436198E-2</v>
      </c>
      <c r="Q30" s="28">
        <v>5</v>
      </c>
      <c r="R30" s="37">
        <f>P25*N30+P26*N29+P27*N28+P28*N27+P29*N26+P30*N25</f>
        <v>0.2208130835682563</v>
      </c>
      <c r="S30" s="72">
        <v>5</v>
      </c>
      <c r="T30" s="135">
        <f t="shared" si="13"/>
        <v>0</v>
      </c>
      <c r="U30" s="93">
        <v>5</v>
      </c>
      <c r="V30" s="86">
        <f>T30*R25+T29*R26+T28*R27+T27*R28+T26*R29+T25*R30</f>
        <v>0.22120189162163786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1.5762714480275135E-3</v>
      </c>
      <c r="AJ30" s="28">
        <v>5</v>
      </c>
      <c r="AK30" s="79">
        <f>((($W$25)^M30)*((1-($W$25))^($U$31-M30))*HLOOKUP($U$31,$AV$24:$BF$34,M30+1))*V31</f>
        <v>3.7120526401357595E-3</v>
      </c>
      <c r="AL30" s="28">
        <v>5</v>
      </c>
      <c r="AM30" s="79">
        <f>((($W$25)^Q30)*((1-($W$25))^($U$32-Q30))*HLOOKUP($U$32,$AV$24:$BF$34,Q30+1))*V32</f>
        <v>3.5093493086555748E-3</v>
      </c>
      <c r="AN30" s="28">
        <v>5</v>
      </c>
      <c r="AO30" s="79">
        <f>((($W$25)^Q30)*((1-($W$25))^($U$33-Q30))*HLOOKUP($U$33,$AV$24:$BF$34,Q30+1))*V33</f>
        <v>1.6707409322133436E-3</v>
      </c>
      <c r="AP30" s="28">
        <v>5</v>
      </c>
      <c r="AQ30" s="79">
        <f>((($W$25)^Q30)*((1-($W$25))^($U$34-Q30))*HLOOKUP($U$34,$AV$24:$BF$34,Q30+1))*V34</f>
        <v>4.0469406439596885E-4</v>
      </c>
      <c r="AR30" s="28">
        <v>5</v>
      </c>
      <c r="AS30" s="79">
        <f>((($W$25)^Q30)*((1-($W$25))^($U$35-Q30))*HLOOKUP($U$35,$AV$24:$BF$34,Q30+1))*V35</f>
        <v>4.2416737973527924E-5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>
        <f t="shared" si="9"/>
        <v>2.1402526258749665E-5</v>
      </c>
      <c r="BP30">
        <f>BL10+1</f>
        <v>7</v>
      </c>
      <c r="BQ30">
        <v>6</v>
      </c>
      <c r="BR30" s="107">
        <f t="shared" si="10"/>
        <v>5.8639046630695621E-5</v>
      </c>
    </row>
    <row r="31" spans="1:70" x14ac:dyDescent="0.25">
      <c r="A31" s="189" t="s">
        <v>68</v>
      </c>
      <c r="B31" s="60">
        <f>(B25*D25)+(B26*D26)+(B27*D27)+(B28*D28)+(B29*D29)+(B30*D30)/(B25+B26+B27+B28+B29+B30)</f>
        <v>0.37202183834290609</v>
      </c>
      <c r="C31" s="61">
        <f>(C25*E25)+(C26*E26)+(C27*E27)+(C28*E28)+(C29*E29)+(C30*E30)/(C25+C26+C27+C28+C29+C30)</f>
        <v>0.38951074399685026</v>
      </c>
      <c r="G31" s="87">
        <v>6</v>
      </c>
      <c r="H31" s="128">
        <f>J31*L25+J30*L26+J29*L27+J28*L28</f>
        <v>7.3378102626105316E-3</v>
      </c>
      <c r="I31" s="93">
        <v>6</v>
      </c>
      <c r="J31" s="86">
        <f t="shared" si="11"/>
        <v>1.7351585429694668E-3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0.13700063588347353</v>
      </c>
      <c r="S31" s="70">
        <v>6</v>
      </c>
      <c r="T31" s="135">
        <f t="shared" si="13"/>
        <v>0</v>
      </c>
      <c r="U31" s="93">
        <v>6</v>
      </c>
      <c r="V31" s="86">
        <f>T31*R25+T30*R26+T29*R27+T28*R28+T27*R29+T26*R30+T25*R31</f>
        <v>0.13825350881016676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3.6651079382678064E-4</v>
      </c>
      <c r="AL31" s="28">
        <v>6</v>
      </c>
      <c r="AM31" s="79">
        <f>((($W$25)^Q31)*((1-($W$25))^($U$32-Q31))*HLOOKUP($U$32,$AV$24:$BF$34,Q31+1))*V32</f>
        <v>6.9299362138559449E-4</v>
      </c>
      <c r="AN31" s="28">
        <v>6</v>
      </c>
      <c r="AO31" s="79">
        <f>((($W$25)^Q31)*((1-($W$25))^($U$33-Q31))*HLOOKUP($U$33,$AV$24:$BF$34,Q31+1))*V33</f>
        <v>4.9488354129752828E-4</v>
      </c>
      <c r="AP31" s="28">
        <v>6</v>
      </c>
      <c r="AQ31" s="79">
        <f>((($W$25)^Q31)*((1-($W$25))^($U$34-Q31))*HLOOKUP($U$34,$AV$24:$BF$34,Q31+1))*V34</f>
        <v>1.5983043041472406E-4</v>
      </c>
      <c r="AR31" s="28">
        <v>6</v>
      </c>
      <c r="AS31" s="79">
        <f>((($W$25)^Q31)*((1-($W$25))^($U$35-Q31))*HLOOKUP($U$35,$AV$24:$BF$34,Q31+1))*V35</f>
        <v>2.0940156044839525E-5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>
        <f t="shared" ref="BJ31:BJ37" si="16">$H$28*H43</f>
        <v>3.6011679722463892E-2</v>
      </c>
      <c r="BP31">
        <f t="shared" ref="BP31:BP37" si="17">BP24+1</f>
        <v>8</v>
      </c>
      <c r="BQ31">
        <v>0</v>
      </c>
      <c r="BR31" s="107">
        <f t="shared" ref="BR31:BR38" si="18">$H$33*H39</f>
        <v>7.3604676168085289E-6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>
        <f>J32*L25+J31*L26+J30*L27+J29*L28</f>
        <v>1.402822717321473E-3</v>
      </c>
      <c r="I32" s="93">
        <v>7</v>
      </c>
      <c r="J32" s="86">
        <f t="shared" si="11"/>
        <v>1.9008070995135939E-4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5.8285907222028095E-2</v>
      </c>
      <c r="S32" s="72">
        <v>7</v>
      </c>
      <c r="T32" s="135">
        <f t="shared" si="13"/>
        <v>0</v>
      </c>
      <c r="U32" s="93">
        <v>7</v>
      </c>
      <c r="V32" s="86">
        <f>T32*R25+T31*R26+T30*R27+T29*R28+T28*R29+T27*R30+T26*R31+T25*R32</f>
        <v>5.9467002659498766E-2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5.8648254425071328E-5</v>
      </c>
      <c r="AN32" s="28">
        <v>7</v>
      </c>
      <c r="AO32" s="79">
        <f>((($W$25)^Q32)*((1-($W$25))^($U$33-Q32))*HLOOKUP($U$33,$AV$24:$BF$34,Q32+1))*V33</f>
        <v>8.3764279915783552E-5</v>
      </c>
      <c r="AP32" s="28">
        <v>7</v>
      </c>
      <c r="AQ32" s="79">
        <f>((($W$25)^Q32)*((1-($W$25))^($U$34-Q32))*HLOOKUP($U$34,$AV$24:$BF$34,Q32+1))*V34</f>
        <v>4.0579489299291777E-5</v>
      </c>
      <c r="AR32" s="28">
        <v>7</v>
      </c>
      <c r="AS32" s="79">
        <f>((($W$25)^Q32)*((1-($W$25))^($U$35-Q32))*HLOOKUP($U$35,$AV$24:$BF$34,Q32+1))*V35</f>
        <v>7.0886863112126929E-6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>
        <f t="shared" si="16"/>
        <v>1.9636304332295254E-2</v>
      </c>
      <c r="BP32">
        <f t="shared" si="17"/>
        <v>8</v>
      </c>
      <c r="BQ32">
        <v>1</v>
      </c>
      <c r="BR32" s="107">
        <f t="shared" si="18"/>
        <v>2.7468373657435598E-5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>
        <f>J33*L25+J32*L26+J31*L27+J30*L28</f>
        <v>2.0507712971897473E-4</v>
      </c>
      <c r="I33" s="93">
        <v>8</v>
      </c>
      <c r="J33" s="86">
        <f t="shared" si="11"/>
        <v>1.3787599710083673E-5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1.6273233454020378E-2</v>
      </c>
      <c r="S33" s="72">
        <v>8</v>
      </c>
      <c r="T33" s="135">
        <f t="shared" si="13"/>
        <v>0</v>
      </c>
      <c r="U33" s="93">
        <v>8</v>
      </c>
      <c r="V33" s="86">
        <f>T33*R25+T32*R26+T31*R27+T30*R28+T29*R29+T28*R30+T27*R31+T26*R32+T25*R33</f>
        <v>1.6906172264115518E-2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6.2028712351058608E-6</v>
      </c>
      <c r="AP33" s="28">
        <v>8</v>
      </c>
      <c r="AQ33" s="79">
        <f>((($W$25)^Q33)*((1-($W$25))^($U$34-Q33))*HLOOKUP($U$34,$AV$24:$BF$34,Q33+1))*V34</f>
        <v>6.0099447440587116E-6</v>
      </c>
      <c r="AR33" s="28">
        <v>8</v>
      </c>
      <c r="AS33" s="79">
        <f>((($W$25)^Q33)*((1-($W$25))^($U$35-Q33))*HLOOKUP($U$35,$AV$24:$BF$34,Q33+1))*V35</f>
        <v>1.5747837309191023E-6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>
        <f t="shared" si="16"/>
        <v>8.071497371117814E-3</v>
      </c>
      <c r="BP33">
        <f t="shared" si="17"/>
        <v>8</v>
      </c>
      <c r="BQ33">
        <v>2</v>
      </c>
      <c r="BR33" s="107">
        <f t="shared" si="18"/>
        <v>4.774961699138079E-5</v>
      </c>
    </row>
    <row r="34" spans="1:70" x14ac:dyDescent="0.25">
      <c r="A34" s="40" t="s">
        <v>86</v>
      </c>
      <c r="B34" s="56">
        <f>B23*2</f>
        <v>4.2677791699099652</v>
      </c>
      <c r="C34" s="57">
        <f>C23*2</f>
        <v>5.7322208300900348</v>
      </c>
      <c r="G34" s="87">
        <v>9</v>
      </c>
      <c r="H34" s="128">
        <f>J34*L25+J33*L26+J32*L27+J31*L28</f>
        <v>2.266480783309812E-5</v>
      </c>
      <c r="I34" s="93">
        <v>9</v>
      </c>
      <c r="J34" s="86">
        <f t="shared" si="11"/>
        <v>6.0291172478750003E-7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2.6924048702840022E-3</v>
      </c>
      <c r="S34" s="72">
        <v>9</v>
      </c>
      <c r="T34" s="135">
        <f t="shared" si="13"/>
        <v>0</v>
      </c>
      <c r="U34" s="93">
        <v>9</v>
      </c>
      <c r="V34" s="86">
        <f>T34*R25+T33*R26+T32*R27+T31*R28+T30*R29+T29*R30+T28*R31+T27*R32+T26*R33+T25*R34</f>
        <v>2.8982507212050816E-3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3.9559597389751952E-7</v>
      </c>
      <c r="AR34" s="28">
        <v>9</v>
      </c>
      <c r="AS34" s="79">
        <f>((($W$25)^Q34)*((1-($W$25))^($U$35-Q34))*HLOOKUP($U$35,$AV$24:$BF$34,Q34+1))*V35</f>
        <v>2.0731575088998045E-7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>
        <f t="shared" si="16"/>
        <v>2.5310042245701029E-3</v>
      </c>
      <c r="BP34">
        <f t="shared" si="17"/>
        <v>8</v>
      </c>
      <c r="BQ34">
        <v>3</v>
      </c>
      <c r="BR34" s="107">
        <f t="shared" si="18"/>
        <v>5.1363247830410317E-5</v>
      </c>
    </row>
    <row r="35" spans="1:70" ht="15.75" thickBot="1" x14ac:dyDescent="0.3">
      <c r="G35" s="88">
        <v>10</v>
      </c>
      <c r="H35" s="129">
        <f>J35*L25+J34*L26+J33*L27+J32*L28</f>
        <v>1.8421385796623046E-6</v>
      </c>
      <c r="I35" s="94">
        <v>10</v>
      </c>
      <c r="J35" s="89">
        <f t="shared" si="11"/>
        <v>1.2281635170244181E-8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2.0045615413217998E-4</v>
      </c>
      <c r="S35" s="72">
        <v>10</v>
      </c>
      <c r="T35" s="135">
        <f t="shared" si="13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2.4186434331086026E-4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1.2281635170244181E-8</v>
      </c>
      <c r="BH35">
        <f t="shared" si="15"/>
        <v>3</v>
      </c>
      <c r="BI35">
        <v>8</v>
      </c>
      <c r="BJ35" s="107">
        <f t="shared" si="16"/>
        <v>6.0457203710323883E-4</v>
      </c>
      <c r="BP35">
        <f t="shared" si="17"/>
        <v>8</v>
      </c>
      <c r="BQ35">
        <v>4</v>
      </c>
      <c r="BR35" s="107">
        <f t="shared" si="18"/>
        <v>3.8246404184456838E-5</v>
      </c>
    </row>
    <row r="36" spans="1:70" x14ac:dyDescent="0.25">
      <c r="A36" s="1"/>
      <c r="B36" s="108">
        <f>SUM(B37:B39)</f>
        <v>0.99999107374820073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1</v>
      </c>
      <c r="BH36">
        <f t="shared" si="15"/>
        <v>3</v>
      </c>
      <c r="BI36">
        <v>9</v>
      </c>
      <c r="BJ36" s="107">
        <f t="shared" si="16"/>
        <v>1.0843442520394211E-4</v>
      </c>
      <c r="BP36">
        <f t="shared" si="17"/>
        <v>8</v>
      </c>
      <c r="BQ36">
        <v>5</v>
      </c>
      <c r="BR36" s="107">
        <f t="shared" si="18"/>
        <v>2.085484592693087E-5</v>
      </c>
    </row>
    <row r="37" spans="1:70" ht="15.75" thickBot="1" x14ac:dyDescent="0.3">
      <c r="A37" s="109" t="s">
        <v>104</v>
      </c>
      <c r="B37" s="107">
        <f>SUM(BN4:BN14)</f>
        <v>0.17659899041025631</v>
      </c>
      <c r="G37" s="13"/>
      <c r="H37" s="59">
        <f>SUM(H39:H49)</f>
        <v>0.99999302393571066</v>
      </c>
      <c r="I37" s="13"/>
      <c r="J37" s="59">
        <f>SUM(J39:J49)</f>
        <v>1</v>
      </c>
      <c r="K37" s="59"/>
      <c r="L37" s="59">
        <f>SUM(L39:L49)</f>
        <v>1</v>
      </c>
      <c r="M37" s="13"/>
      <c r="N37" s="74">
        <f>SUM(N39:N49)</f>
        <v>1</v>
      </c>
      <c r="O37" s="13"/>
      <c r="P37" s="74">
        <f>SUM(P39:P49)</f>
        <v>1</v>
      </c>
      <c r="Q37" s="13"/>
      <c r="R37" s="59">
        <f>SUM(R39:R49)</f>
        <v>1</v>
      </c>
      <c r="S37" s="13"/>
      <c r="T37" s="59">
        <f>SUM(T39:T49)</f>
        <v>1</v>
      </c>
      <c r="U37" s="13"/>
      <c r="V37" s="59">
        <f>SUM(V39:V48)</f>
        <v>0.99588288380291401</v>
      </c>
      <c r="W37" s="13"/>
      <c r="X37" s="13"/>
      <c r="Y37" s="80">
        <f>SUM(Y39:Y49)</f>
        <v>1.9845660399471149E-4</v>
      </c>
      <c r="Z37" s="81"/>
      <c r="AA37" s="80">
        <f>SUM(AA39:AA49)</f>
        <v>2.667542670436535E-3</v>
      </c>
      <c r="AB37" s="81"/>
      <c r="AC37" s="80">
        <f>SUM(AC39:AC49)</f>
        <v>1.6137702390179705E-2</v>
      </c>
      <c r="AD37" s="81"/>
      <c r="AE37" s="80">
        <f>SUM(AE39:AE49)</f>
        <v>5.7866491280477626E-2</v>
      </c>
      <c r="AF37" s="81"/>
      <c r="AG37" s="80">
        <f>SUM(AG39:AG49)</f>
        <v>0.13621440614823141</v>
      </c>
      <c r="AH37" s="81"/>
      <c r="AI37" s="80">
        <f>SUM(AI39:AI49)</f>
        <v>0.21997508653438402</v>
      </c>
      <c r="AJ37" s="81"/>
      <c r="AK37" s="80">
        <f>SUM(AK39:AK49)</f>
        <v>0.24688739984683841</v>
      </c>
      <c r="AL37" s="81"/>
      <c r="AM37" s="80">
        <f>SUM(AM39:AM49)</f>
        <v>0.19026383247544021</v>
      </c>
      <c r="AN37" s="81"/>
      <c r="AO37" s="80">
        <f>SUM(AO39:AO49)</f>
        <v>9.6483745132614707E-2</v>
      </c>
      <c r="AP37" s="81"/>
      <c r="AQ37" s="80">
        <f>SUM(AQ39:AQ49)</f>
        <v>2.9188220720316679E-2</v>
      </c>
      <c r="AR37" s="81"/>
      <c r="AS37" s="80">
        <f>SUM(AS39:AS49)</f>
        <v>4.1171161970859895E-3</v>
      </c>
      <c r="BH37">
        <f t="shared" si="15"/>
        <v>3</v>
      </c>
      <c r="BI37">
        <v>10</v>
      </c>
      <c r="BJ37" s="107">
        <f t="shared" si="16"/>
        <v>1.4165725157625937E-5</v>
      </c>
      <c r="BP37">
        <f t="shared" si="17"/>
        <v>8</v>
      </c>
      <c r="BQ37">
        <v>6</v>
      </c>
      <c r="BR37" s="107">
        <f t="shared" si="18"/>
        <v>8.5723785507562359E-6</v>
      </c>
    </row>
    <row r="38" spans="1:70" ht="15.75" thickBot="1" x14ac:dyDescent="0.3">
      <c r="A38" s="110" t="s">
        <v>105</v>
      </c>
      <c r="B38" s="107">
        <f>SUM(BJ4:BJ59)</f>
        <v>0.59597225178515745</v>
      </c>
      <c r="G38" s="103" t="str">
        <f t="shared" ref="G38:T38" si="19">G24</f>
        <v>G</v>
      </c>
      <c r="H38" s="104" t="str">
        <f t="shared" si="19"/>
        <v>p</v>
      </c>
      <c r="I38" s="103" t="str">
        <f t="shared" si="19"/>
        <v>GT</v>
      </c>
      <c r="J38" s="105" t="str">
        <f t="shared" si="19"/>
        <v>p(x)</v>
      </c>
      <c r="K38" s="106" t="str">
        <f t="shared" si="19"/>
        <v>EE(x)</v>
      </c>
      <c r="L38" s="105" t="str">
        <f t="shared" si="19"/>
        <v>p</v>
      </c>
      <c r="M38" s="90" t="str">
        <f t="shared" si="19"/>
        <v>OcaS</v>
      </c>
      <c r="N38" s="30" t="str">
        <f t="shared" si="19"/>
        <v>P</v>
      </c>
      <c r="O38" s="30" t="str">
        <f t="shared" si="19"/>
        <v>O_CA</v>
      </c>
      <c r="P38" s="30" t="str">
        <f t="shared" si="19"/>
        <v>p</v>
      </c>
      <c r="Q38" s="30" t="str">
        <f t="shared" si="19"/>
        <v>TotalN</v>
      </c>
      <c r="R38" s="30" t="str">
        <f t="shared" si="19"/>
        <v>p</v>
      </c>
      <c r="S38" s="30" t="str">
        <f t="shared" si="19"/>
        <v>OcaCA</v>
      </c>
      <c r="T38" s="141" t="str">
        <f t="shared" si="19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0">X24</f>
        <v>G0</v>
      </c>
      <c r="Y38" s="30" t="str">
        <f>Y24</f>
        <v>p</v>
      </c>
      <c r="Z38" s="30" t="str">
        <f t="shared" ref="Z38" si="21">Z24</f>
        <v>G1</v>
      </c>
      <c r="AA38" s="30" t="str">
        <f>AA24</f>
        <v>p</v>
      </c>
      <c r="AB38" s="30" t="str">
        <f t="shared" ref="AB38" si="22">AB24</f>
        <v>G2</v>
      </c>
      <c r="AC38" s="30" t="str">
        <f>AC24</f>
        <v>p</v>
      </c>
      <c r="AD38" s="30" t="str">
        <f t="shared" ref="AD38" si="23">AD24</f>
        <v>G3</v>
      </c>
      <c r="AE38" s="30" t="str">
        <f>AE24</f>
        <v>p</v>
      </c>
      <c r="AF38" s="30" t="str">
        <f t="shared" ref="AF38" si="24">AF24</f>
        <v>G4</v>
      </c>
      <c r="AG38" s="30" t="str">
        <f>AG24</f>
        <v>p</v>
      </c>
      <c r="AH38" s="30" t="str">
        <f t="shared" ref="AH38" si="25">AH24</f>
        <v>G5</v>
      </c>
      <c r="AI38" s="30" t="str">
        <f>AI24</f>
        <v>p</v>
      </c>
      <c r="AJ38" s="30" t="str">
        <f t="shared" ref="AJ38" si="26">AJ24</f>
        <v>G6</v>
      </c>
      <c r="AK38" s="30" t="str">
        <f>AK24</f>
        <v>p</v>
      </c>
      <c r="AL38" s="30" t="str">
        <f t="shared" ref="AL38" si="27">AL24</f>
        <v>G7</v>
      </c>
      <c r="AM38" s="30" t="str">
        <f>AM24</f>
        <v>p</v>
      </c>
      <c r="AN38" s="30" t="str">
        <f t="shared" ref="AN38" si="28">AN24</f>
        <v>G8</v>
      </c>
      <c r="AO38" s="30" t="str">
        <f>AO24</f>
        <v>p</v>
      </c>
      <c r="AP38" s="30" t="str">
        <f t="shared" ref="AP38" si="29">AP24</f>
        <v>G9</v>
      </c>
      <c r="AQ38" s="30" t="str">
        <f>AQ24</f>
        <v>p</v>
      </c>
      <c r="AR38" s="30" t="str">
        <f t="shared" ref="AR38" si="30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1">BH32+1</f>
        <v>4</v>
      </c>
      <c r="BI38">
        <v>5</v>
      </c>
      <c r="BJ38" s="107">
        <f t="shared" ref="BJ38:BJ43" si="32">$H$29*H44</f>
        <v>8.9557390984137137E-3</v>
      </c>
      <c r="BP38">
        <f>BL11+1</f>
        <v>8</v>
      </c>
      <c r="BQ38">
        <v>7</v>
      </c>
      <c r="BR38" s="107">
        <f t="shared" si="18"/>
        <v>2.6880670746688735E-6</v>
      </c>
    </row>
    <row r="39" spans="1:70" x14ac:dyDescent="0.25">
      <c r="A39" s="111" t="s">
        <v>0</v>
      </c>
      <c r="B39" s="107">
        <f>SUM(BR4:BR47)</f>
        <v>0.227419831552787</v>
      </c>
      <c r="G39" s="130">
        <v>0</v>
      </c>
      <c r="H39" s="131">
        <f>L39*J39</f>
        <v>3.5891216279918037E-2</v>
      </c>
      <c r="I39" s="97">
        <v>0</v>
      </c>
      <c r="J39" s="98">
        <f t="shared" ref="J39:J49" si="33">Y39+AA39+AC39+AE39+AG39+AI39+AK39+AM39+AO39+AQ39+AS39</f>
        <v>7.9611109044617184E-2</v>
      </c>
      <c r="K39" s="102">
        <v>0</v>
      </c>
      <c r="L39" s="98">
        <f>AC21</f>
        <v>0.45083175841455986</v>
      </c>
      <c r="M39" s="84">
        <v>0</v>
      </c>
      <c r="N39" s="71">
        <f>(1-$C$24)^$B$21</f>
        <v>1.4158253922436198E-2</v>
      </c>
      <c r="O39" s="70">
        <v>0</v>
      </c>
      <c r="P39" s="71">
        <f>N39</f>
        <v>1.4158253922436198E-2</v>
      </c>
      <c r="Q39" s="12">
        <v>0</v>
      </c>
      <c r="R39" s="73">
        <f>P39*N39</f>
        <v>2.0045615413217998E-4</v>
      </c>
      <c r="S39" s="70">
        <v>0</v>
      </c>
      <c r="T39" s="135">
        <f>(1-$C$33)^(INT(B23*2*(1-B31)))</f>
        <v>0.99002500000000004</v>
      </c>
      <c r="U39" s="140">
        <v>0</v>
      </c>
      <c r="V39" s="86">
        <f>R39*T39</f>
        <v>1.9845660399471149E-4</v>
      </c>
      <c r="W39" s="136">
        <f>C31</f>
        <v>0.38951074399685026</v>
      </c>
      <c r="X39" s="12">
        <v>0</v>
      </c>
      <c r="Y39" s="79">
        <f>V39</f>
        <v>1.9845660399471149E-4</v>
      </c>
      <c r="Z39" s="12">
        <v>0</v>
      </c>
      <c r="AA39" s="78">
        <f>((1-W39)^Z40)*V40</f>
        <v>1.6285061402314556E-3</v>
      </c>
      <c r="AB39" s="12">
        <v>0</v>
      </c>
      <c r="AC39" s="79">
        <f>(((1-$W$39)^AB41))*V41</f>
        <v>6.0144753929720291E-3</v>
      </c>
      <c r="AD39" s="12">
        <v>0</v>
      </c>
      <c r="AE39" s="79">
        <f>(((1-$W$39)^AB42))*V42</f>
        <v>1.3166223571486406E-2</v>
      </c>
      <c r="AF39" s="12">
        <v>0</v>
      </c>
      <c r="AG39" s="79">
        <f>(((1-$W$39)^AB43))*V43</f>
        <v>1.892061035824074E-2</v>
      </c>
      <c r="AH39" s="12">
        <v>0</v>
      </c>
      <c r="AI39" s="79">
        <f>(((1-$W$39)^AB44))*V44</f>
        <v>1.8653641385078329E-2</v>
      </c>
      <c r="AJ39" s="12">
        <v>0</v>
      </c>
      <c r="AK39" s="79">
        <f>(((1-$W$39)^AB45))*V45</f>
        <v>1.2781065986532022E-2</v>
      </c>
      <c r="AL39" s="12">
        <v>0</v>
      </c>
      <c r="AM39" s="79">
        <f>(((1-$W$39)^AB46))*V46</f>
        <v>6.0131552515432611E-3</v>
      </c>
      <c r="AN39" s="12">
        <v>0</v>
      </c>
      <c r="AO39" s="79">
        <f>(((1-$W$39)^AB47))*V47</f>
        <v>1.8615656403259207E-3</v>
      </c>
      <c r="AP39" s="12">
        <v>0</v>
      </c>
      <c r="AQ39" s="79">
        <f>(((1-$W$39)^AB48))*V48</f>
        <v>3.4380314767349518E-4</v>
      </c>
      <c r="AR39" s="12">
        <v>0</v>
      </c>
      <c r="AS39" s="79">
        <f>(((1-$W$39)^AB49))*V49</f>
        <v>2.9605566538797197E-5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1"/>
        <v>4</v>
      </c>
      <c r="BI39">
        <v>6</v>
      </c>
      <c r="BJ39" s="107">
        <f t="shared" si="32"/>
        <v>3.6812540367067081E-3</v>
      </c>
      <c r="BP39">
        <f t="shared" ref="BP39:BP46" si="34">BP31+1</f>
        <v>9</v>
      </c>
      <c r="BQ39">
        <v>0</v>
      </c>
      <c r="BR39" s="107">
        <f t="shared" ref="BR39:BR47" si="35">$H$34*H39</f>
        <v>8.1346751988050509E-7</v>
      </c>
    </row>
    <row r="40" spans="1:70" x14ac:dyDescent="0.25">
      <c r="G40" s="91">
        <v>1</v>
      </c>
      <c r="H40" s="132">
        <f>L39*J40+L40*J39</f>
        <v>0.13394167206785365</v>
      </c>
      <c r="I40" s="93">
        <v>1</v>
      </c>
      <c r="J40" s="86">
        <f t="shared" si="33"/>
        <v>0.22916016937475037</v>
      </c>
      <c r="K40" s="95">
        <v>1</v>
      </c>
      <c r="L40" s="86">
        <f>AD21</f>
        <v>0.38473261229021288</v>
      </c>
      <c r="M40" s="85">
        <v>1</v>
      </c>
      <c r="N40" s="71">
        <f>(($C$24)^M26)*((1-($C$24))^($B$21-M26))*HLOOKUP($B$21,$AV$24:$BF$34,M26+1)</f>
        <v>9.508251812101709E-2</v>
      </c>
      <c r="O40" s="72">
        <v>1</v>
      </c>
      <c r="P40" s="71">
        <f t="shared" ref="P40:P44" si="36">N40</f>
        <v>9.508251812101709E-2</v>
      </c>
      <c r="Q40" s="28">
        <v>1</v>
      </c>
      <c r="R40" s="37">
        <f>P40*N39+P39*N40</f>
        <v>2.6924048702840022E-3</v>
      </c>
      <c r="S40" s="72">
        <v>1</v>
      </c>
      <c r="T40" s="135">
        <f t="shared" ref="T40:T49" si="37">(($C$33)^S40)*((1-($C$33))^(INT($B$23*2*(1-$B$31))-S40))*HLOOKUP(INT($B$23*2*(1-$B$31)),$AV$24:$BF$34,S40+1)</f>
        <v>9.9500000000000005E-3</v>
      </c>
      <c r="U40" s="93">
        <v>1</v>
      </c>
      <c r="V40" s="86">
        <f>R40*T39+T40*R39</f>
        <v>2.667542670436535E-3</v>
      </c>
      <c r="W40" s="137"/>
      <c r="X40" s="28">
        <v>1</v>
      </c>
      <c r="Y40" s="73"/>
      <c r="Z40" s="28">
        <v>1</v>
      </c>
      <c r="AA40" s="79">
        <f>(1-((1-W39)^Z40))*V40</f>
        <v>1.0390365302050794E-3</v>
      </c>
      <c r="AB40" s="28">
        <v>1</v>
      </c>
      <c r="AC40" s="79">
        <f>((($W$39)^M40)*((1-($W$39))^($U$27-M40))*HLOOKUP($U$27,$AV$24:$BF$34,M40+1))*V41</f>
        <v>7.6748370656180608E-3</v>
      </c>
      <c r="AD40" s="28">
        <v>1</v>
      </c>
      <c r="AE40" s="79">
        <f>((($W$39)^M40)*((1-($W$39))^($U$28-M40))*HLOOKUP($U$28,$AV$24:$BF$34,M40+1))*V42</f>
        <v>2.5201355250052484E-2</v>
      </c>
      <c r="AF40" s="28">
        <v>1</v>
      </c>
      <c r="AG40" s="79">
        <f>((($W$39)^M40)*((1-($W$39))^($U$29-M40))*HLOOKUP($U$29,$AV$24:$BF$34,M40+1))*V43</f>
        <v>4.8287703313650704E-2</v>
      </c>
      <c r="AH40" s="28">
        <v>1</v>
      </c>
      <c r="AI40" s="79">
        <f>((($W$39)^M40)*((1-($W$39))^($U$30-M40))*HLOOKUP($U$30,$AV$24:$BF$34,M40+1))*V44</f>
        <v>5.9507957451382321E-2</v>
      </c>
      <c r="AJ40" s="28">
        <v>1</v>
      </c>
      <c r="AK40" s="79">
        <f>((($W$39)^M40)*((1-($W$39))^($U$31-M40))*HLOOKUP($U$31,$AV$24:$BF$34,M40+1))*V45</f>
        <v>4.8928256861521968E-2</v>
      </c>
      <c r="AL40" s="28">
        <v>1</v>
      </c>
      <c r="AM40" s="79">
        <f>((($W$39)^Q40)*((1-($W$39))^($U$32-Q40))*HLOOKUP($U$32,$AV$24:$BF$34,Q40+1))*V46</f>
        <v>2.6856033696513883E-2</v>
      </c>
      <c r="AN40" s="28">
        <v>1</v>
      </c>
      <c r="AO40" s="79">
        <f>((($W$39)^Q40)*((1-($W$39))^($U$33-Q40))*HLOOKUP($U$33,$AV$24:$BF$34,Q40+1))*V47</f>
        <v>9.5018847317251548E-3</v>
      </c>
      <c r="AP40" s="28">
        <v>1</v>
      </c>
      <c r="AQ40" s="79">
        <f>((($W$39)^Q40)*((1-($W$39))^($U$34-Q40))*HLOOKUP($U$34,$AV$24:$BF$34,Q40+1))*V48</f>
        <v>1.9742119401731789E-3</v>
      </c>
      <c r="AR40" s="28">
        <v>1</v>
      </c>
      <c r="AS40" s="79">
        <f>((($W$39)^Q40)*((1-($W$39))^($U$35-Q40))*HLOOKUP($U$35,$AV$24:$BF$34,Q40+1))*V49</f>
        <v>1.8889253390751981E-4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1"/>
        <v>4</v>
      </c>
      <c r="BI40">
        <v>7</v>
      </c>
      <c r="BJ40" s="107">
        <f t="shared" si="32"/>
        <v>1.1543421363129406E-3</v>
      </c>
      <c r="BP40">
        <f t="shared" si="34"/>
        <v>9</v>
      </c>
      <c r="BQ40">
        <v>1</v>
      </c>
      <c r="BR40" s="107">
        <f t="shared" si="35"/>
        <v>3.0357622582617492E-6</v>
      </c>
    </row>
    <row r="41" spans="1:70" x14ac:dyDescent="0.25">
      <c r="G41" s="91">
        <v>2</v>
      </c>
      <c r="H41" s="132">
        <f>L39*J41+J40*L40+J39*L41</f>
        <v>0.23283735761668781</v>
      </c>
      <c r="I41" s="93">
        <v>2</v>
      </c>
      <c r="J41" s="86">
        <f t="shared" si="33"/>
        <v>0.29692562742348416</v>
      </c>
      <c r="K41" s="95">
        <v>2</v>
      </c>
      <c r="L41" s="86">
        <f>AE21</f>
        <v>0.13576577967955661</v>
      </c>
      <c r="M41" s="85">
        <v>2</v>
      </c>
      <c r="N41" s="71">
        <f>(($C$24)^M27)*((1-($C$24))^($B$21-M27))*HLOOKUP($B$21,$AV$24:$BF$34,M27+1)</f>
        <v>0.25541808479383232</v>
      </c>
      <c r="O41" s="72">
        <v>2</v>
      </c>
      <c r="P41" s="71">
        <f t="shared" si="36"/>
        <v>0.25541808479383232</v>
      </c>
      <c r="Q41" s="28">
        <v>2</v>
      </c>
      <c r="R41" s="37">
        <f>P41*N39+P40*N40+P39*N41</f>
        <v>1.6273233454020378E-2</v>
      </c>
      <c r="S41" s="72">
        <v>2</v>
      </c>
      <c r="T41" s="135">
        <f t="shared" si="37"/>
        <v>2.5000000000000001E-5</v>
      </c>
      <c r="U41" s="93">
        <v>2</v>
      </c>
      <c r="V41" s="86">
        <f>R41*T39+T40*R40+R39*T41</f>
        <v>1.6137702390179705E-2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2.4483899315896154E-3</v>
      </c>
      <c r="AD41" s="28">
        <v>2</v>
      </c>
      <c r="AE41" s="79">
        <f>((($W$39)^M41)*((1-($W$39))^($U$28-M41))*HLOOKUP($U$28,$AV$24:$BF$34,M41+1))*V42</f>
        <v>1.6079232413430424E-2</v>
      </c>
      <c r="AF41" s="28">
        <v>2</v>
      </c>
      <c r="AG41" s="79">
        <f>((($W$39)^M41)*((1-($W$39))^($U$29-M41))*HLOOKUP($U$29,$AV$24:$BF$34,M41+1))*V43</f>
        <v>4.6213538711733407E-2</v>
      </c>
      <c r="AH41" s="28">
        <v>2</v>
      </c>
      <c r="AI41" s="79">
        <f>((($W$39)^M41)*((1-($W$39))^($U$30-M41))*HLOOKUP($U$30,$AV$24:$BF$34,M41+1))*V44</f>
        <v>7.5935779549578974E-2</v>
      </c>
      <c r="AJ41" s="28">
        <v>2</v>
      </c>
      <c r="AK41" s="79">
        <f>((($W$39)^M41)*((1-($W$39))^($U$31-M41))*HLOOKUP($U$31,$AV$24:$BF$34,M41+1))*V45</f>
        <v>7.8044296214862835E-2</v>
      </c>
      <c r="AL41" s="28">
        <v>2</v>
      </c>
      <c r="AM41" s="79">
        <f>((($W$39)^Q41)*((1-($W$39))^($U$32-Q41))*HLOOKUP($U$32,$AV$24:$BF$34,Q41+1))*V46</f>
        <v>5.1404903017062915E-2</v>
      </c>
      <c r="AN41" s="28">
        <v>2</v>
      </c>
      <c r="AO41" s="79">
        <f>((($W$39)^Q41)*((1-($W$39))^($U$33-Q41))*HLOOKUP($U$33,$AV$24:$BF$34,Q41+1))*V47</f>
        <v>2.121872177423903E-2</v>
      </c>
      <c r="AP41" s="28">
        <v>2</v>
      </c>
      <c r="AQ41" s="79">
        <f>((($W$39)^Q41)*((1-($W$39))^($U$34-Q41))*HLOOKUP($U$34,$AV$24:$BF$34,Q41+1))*V48</f>
        <v>5.0384294502332895E-3</v>
      </c>
      <c r="AR41" s="28">
        <v>2</v>
      </c>
      <c r="AS41" s="79">
        <f>((($W$39)^Q41)*((1-($W$39))^($U$35-Q41))*HLOOKUP($U$35,$AV$24:$BF$34,Q41+1))*V49</f>
        <v>5.4233636075365951E-4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1"/>
        <v>4</v>
      </c>
      <c r="BI41">
        <v>8</v>
      </c>
      <c r="BJ41" s="107">
        <f t="shared" si="32"/>
        <v>2.7573362781856131E-4</v>
      </c>
      <c r="BP41">
        <f t="shared" si="34"/>
        <v>9</v>
      </c>
      <c r="BQ41">
        <v>2</v>
      </c>
      <c r="BR41" s="107">
        <f t="shared" si="35"/>
        <v>5.2772139667485739E-6</v>
      </c>
    </row>
    <row r="42" spans="1:70" ht="15" customHeight="1" x14ac:dyDescent="0.25">
      <c r="G42" s="91">
        <v>3</v>
      </c>
      <c r="H42" s="132">
        <f>J42*L39+J41*L40+L42*J39+L41*J40</f>
        <v>0.25045819541552683</v>
      </c>
      <c r="I42" s="93">
        <v>3</v>
      </c>
      <c r="J42" s="86">
        <f t="shared" si="33"/>
        <v>0.22808214730009638</v>
      </c>
      <c r="K42" s="95">
        <v>3</v>
      </c>
      <c r="L42" s="86">
        <f>AF21</f>
        <v>2.8669849615670706E-2</v>
      </c>
      <c r="M42" s="85">
        <v>3</v>
      </c>
      <c r="N42" s="71">
        <f>(($C$24)^M28)*((1-($C$24))^($B$21-M28))*HLOOKUP($B$21,$AV$24:$BF$34,M28+1)</f>
        <v>0.34306200197977804</v>
      </c>
      <c r="O42" s="72">
        <v>3</v>
      </c>
      <c r="P42" s="71">
        <f t="shared" si="36"/>
        <v>0.34306200197977804</v>
      </c>
      <c r="Q42" s="28">
        <v>3</v>
      </c>
      <c r="R42" s="37">
        <f>P42*N39+P41*N40+P40*N41+P39*N42</f>
        <v>5.8285907222028095E-2</v>
      </c>
      <c r="S42" s="72">
        <v>3</v>
      </c>
      <c r="T42" s="135">
        <f t="shared" si="37"/>
        <v>0</v>
      </c>
      <c r="U42" s="93">
        <v>3</v>
      </c>
      <c r="V42" s="86">
        <f>R42*T39+R41*T40+R40*T41+R39*T42</f>
        <v>5.7866491280477626E-2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3.4196800455083094E-3</v>
      </c>
      <c r="AF42" s="28">
        <v>3</v>
      </c>
      <c r="AG42" s="79">
        <f>((($W$39)^M42)*((1-($W$39))^($U$29-M42))*HLOOKUP($U$29,$AV$24:$BF$34,M42+1))*V43</f>
        <v>1.9657097067996721E-2</v>
      </c>
      <c r="AH42" s="28">
        <v>3</v>
      </c>
      <c r="AI42" s="79">
        <f>((($W$39)^M42)*((1-($W$39))^($U$30-M42))*HLOOKUP($U$30,$AV$24:$BF$34,M42+1))*V44</f>
        <v>4.8449340750043791E-2</v>
      </c>
      <c r="AJ42" s="28">
        <v>3</v>
      </c>
      <c r="AK42" s="79">
        <f>((($W$39)^M42)*((1-($W$39))^($U$31-M42))*HLOOKUP($U$31,$AV$24:$BF$34,M42+1))*V45</f>
        <v>6.6392851491787627E-2</v>
      </c>
      <c r="AL42" s="28">
        <v>3</v>
      </c>
      <c r="AM42" s="79">
        <f>((($W$39)^Q42)*((1-($W$39))^($U$32-Q42))*HLOOKUP($U$32,$AV$24:$BF$34,Q42+1))*V46</f>
        <v>5.4663156974430596E-2</v>
      </c>
      <c r="AN42" s="28">
        <v>3</v>
      </c>
      <c r="AO42" s="79">
        <f>((($W$39)^Q42)*((1-($W$39))^($U$33-Q42))*HLOOKUP($U$33,$AV$24:$BF$34,Q42+1))*V47</f>
        <v>2.7076381848408385E-2</v>
      </c>
      <c r="AP42" s="28">
        <v>3</v>
      </c>
      <c r="AQ42" s="79">
        <f>((($W$39)^Q42)*((1-($W$39))^($U$34-Q42))*HLOOKUP($U$34,$AV$24:$BF$34,Q42+1))*V48</f>
        <v>7.5009001338216252E-3</v>
      </c>
      <c r="AR42" s="28">
        <v>3</v>
      </c>
      <c r="AS42" s="79">
        <f>((($W$39)^Q42)*((1-($W$39))^($U$35-Q42))*HLOOKUP($U$35,$AV$24:$BF$34,Q42+1))*V49</f>
        <v>9.2273898809935113E-4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1"/>
        <v>4</v>
      </c>
      <c r="BI42">
        <v>9</v>
      </c>
      <c r="BJ42" s="107">
        <f t="shared" si="32"/>
        <v>4.945484674607559E-5</v>
      </c>
      <c r="BP42">
        <f t="shared" si="34"/>
        <v>9</v>
      </c>
      <c r="BQ42">
        <v>3</v>
      </c>
      <c r="BR42" s="107">
        <f t="shared" si="35"/>
        <v>5.6765868693174524E-6</v>
      </c>
    </row>
    <row r="43" spans="1:70" ht="15" customHeight="1" x14ac:dyDescent="0.25">
      <c r="G43" s="91">
        <v>4</v>
      </c>
      <c r="H43" s="132">
        <f>J43*L39+J42*L40+J41*L41+J40*L42</f>
        <v>0.18649765693945197</v>
      </c>
      <c r="I43" s="93">
        <v>4</v>
      </c>
      <c r="J43" s="86">
        <f t="shared" si="33"/>
        <v>0.1150422274296974</v>
      </c>
      <c r="K43" s="95">
        <v>4</v>
      </c>
      <c r="L43" s="86"/>
      <c r="M43" s="85">
        <v>4</v>
      </c>
      <c r="N43" s="71">
        <f>(($C$24)^M29)*((1-($C$24))^($B$21-M29))*HLOOKUP($B$21,$AV$24:$BF$34,M29+1)</f>
        <v>0.23038998451768047</v>
      </c>
      <c r="O43" s="72">
        <v>4</v>
      </c>
      <c r="P43" s="71">
        <f t="shared" si="36"/>
        <v>0.23038998451768047</v>
      </c>
      <c r="Q43" s="28">
        <v>4</v>
      </c>
      <c r="R43" s="37">
        <f>P43*N39+P42*N40+P41*N41+P40*N42+P39*N43</f>
        <v>0.13700063588347353</v>
      </c>
      <c r="S43" s="72">
        <v>4</v>
      </c>
      <c r="T43" s="135">
        <f t="shared" si="37"/>
        <v>0</v>
      </c>
      <c r="U43" s="93">
        <v>4</v>
      </c>
      <c r="V43" s="86">
        <f>T43*R39+T42*R40+T41*R41+T40*R42+T39*R43</f>
        <v>0.13621440614823141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3.1354566966098267E-3</v>
      </c>
      <c r="AH43" s="28">
        <v>4</v>
      </c>
      <c r="AI43" s="79">
        <f>((($W$39)^M43)*((1-($W$39))^($U$30-M43))*HLOOKUP($U$30,$AV$24:$BF$34,M43+1))*V44</f>
        <v>1.545607770827756E-2</v>
      </c>
      <c r="AJ43" s="28">
        <v>4</v>
      </c>
      <c r="AK43" s="79">
        <f>((($W$39)^M43)*((1-($W$39))^($U$31-M43))*HLOOKUP($U$31,$AV$24:$BF$34,M43+1))*V45</f>
        <v>3.1770496441593188E-2</v>
      </c>
      <c r="AL43" s="28">
        <v>4</v>
      </c>
      <c r="AM43" s="79">
        <f>((($W$39)^Q43)*((1-($W$39))^($U$32-Q43))*HLOOKUP($U$32,$AV$24:$BF$34,Q43+1))*V46</f>
        <v>3.4876759472761663E-2</v>
      </c>
      <c r="AN43" s="28">
        <v>4</v>
      </c>
      <c r="AO43" s="79">
        <f>((($W$39)^Q43)*((1-($W$39))^($U$33-Q43))*HLOOKUP($U$33,$AV$24:$BF$34,Q43+1))*V47</f>
        <v>2.1594445632762183E-2</v>
      </c>
      <c r="AP43" s="28">
        <v>4</v>
      </c>
      <c r="AQ43" s="79">
        <f>((($W$39)^Q43)*((1-($W$39))^($U$34-Q43))*HLOOKUP($U$34,$AV$24:$BF$34,Q43+1))*V48</f>
        <v>7.1787042025089967E-3</v>
      </c>
      <c r="AR43" s="28">
        <v>4</v>
      </c>
      <c r="AS43" s="79">
        <f>((($W$39)^Q43)*((1-($W$39))^($U$35-Q43))*HLOOKUP($U$35,$AV$24:$BF$34,Q43+1))*V49</f>
        <v>1.030287275183993E-3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38">BE42+BE43</f>
        <v>252</v>
      </c>
      <c r="BH43">
        <f t="shared" si="31"/>
        <v>4</v>
      </c>
      <c r="BI43">
        <v>10</v>
      </c>
      <c r="BJ43" s="107">
        <f t="shared" si="32"/>
        <v>6.4607136100902139E-6</v>
      </c>
      <c r="BP43">
        <f t="shared" si="34"/>
        <v>9</v>
      </c>
      <c r="BQ43">
        <v>4</v>
      </c>
      <c r="BR43" s="107">
        <f t="shared" si="35"/>
        <v>4.226933555855737E-6</v>
      </c>
    </row>
    <row r="44" spans="1:70" ht="15" customHeight="1" thickBot="1" x14ac:dyDescent="0.3">
      <c r="G44" s="91">
        <v>5</v>
      </c>
      <c r="H44" s="132">
        <f>J44*L39+J43*L40+J42*L41+J41*L42</f>
        <v>0.10169269462425716</v>
      </c>
      <c r="I44" s="93">
        <v>5</v>
      </c>
      <c r="J44" s="86">
        <f t="shared" si="33"/>
        <v>3.9823357520835309E-2</v>
      </c>
      <c r="K44" s="95">
        <v>5</v>
      </c>
      <c r="L44" s="86"/>
      <c r="M44" s="85">
        <v>5</v>
      </c>
      <c r="N44" s="71">
        <f>(($C$24)^M30)*((1-($C$24))^($B$21-M30))*HLOOKUP($B$21,$AV$24:$BF$34,M30+1)</f>
        <v>6.1889156665255927E-2</v>
      </c>
      <c r="O44" s="72">
        <v>5</v>
      </c>
      <c r="P44" s="71">
        <f t="shared" si="36"/>
        <v>6.1889156665255927E-2</v>
      </c>
      <c r="Q44" s="28">
        <v>5</v>
      </c>
      <c r="R44" s="37">
        <f>P44*N39+P43*N40+P42*N41+P41*N42+P40*N43+P39*N44</f>
        <v>0.2208130835682563</v>
      </c>
      <c r="S44" s="72">
        <v>5</v>
      </c>
      <c r="T44" s="135">
        <f t="shared" si="37"/>
        <v>0</v>
      </c>
      <c r="U44" s="93">
        <v>5</v>
      </c>
      <c r="V44" s="86">
        <f>T44*R39+T43*R40+T42*R41+T41*R42+T40*R43+T39*R44</f>
        <v>0.21997508653438405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1.9722896900230672E-3</v>
      </c>
      <c r="AJ44" s="28">
        <v>5</v>
      </c>
      <c r="AK44" s="79">
        <f>((($W$39)^M44)*((1-($W$39))^($U$31-M44))*HLOOKUP($U$31,$AV$24:$BF$34,M44+1))*V45</f>
        <v>8.1082178494885082E-3</v>
      </c>
      <c r="AL44" s="28">
        <v>5</v>
      </c>
      <c r="AM44" s="79">
        <f>((($W$39)^Q44)*((1-($W$39))^($U$32-Q44))*HLOOKUP($U$32,$AV$24:$BF$34,Q44+1))*V46</f>
        <v>1.3351461042286879E-2</v>
      </c>
      <c r="AN44" s="28">
        <v>5</v>
      </c>
      <c r="AO44" s="79">
        <f>((($W$39)^Q44)*((1-($W$39))^($U$33-Q44))*HLOOKUP($U$33,$AV$24:$BF$34,Q44+1))*V47</f>
        <v>1.1022331353950428E-2</v>
      </c>
      <c r="AP44" s="28">
        <v>5</v>
      </c>
      <c r="AQ44" s="79">
        <f>((($W$39)^Q44)*((1-($W$39))^($U$34-Q44))*HLOOKUP($U$34,$AV$24:$BF$34,Q44+1))*V48</f>
        <v>4.580231981737232E-3</v>
      </c>
      <c r="AR44" s="28">
        <v>5</v>
      </c>
      <c r="AS44" s="79">
        <f>((($W$39)^Q44)*((1-($W$39))^($U$35-Q44))*HLOOKUP($U$35,$AV$24:$BF$34,Q44+1))*V49</f>
        <v>7.8882560334919477E-4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8"/>
        <v>210</v>
      </c>
      <c r="BH44">
        <f>BH39+1</f>
        <v>5</v>
      </c>
      <c r="BI44">
        <v>6</v>
      </c>
      <c r="BJ44" s="107">
        <f>$H$30*H45</f>
        <v>1.2249613948312982E-3</v>
      </c>
      <c r="BP44">
        <f t="shared" si="34"/>
        <v>9</v>
      </c>
      <c r="BQ44">
        <v>5</v>
      </c>
      <c r="BR44" s="107">
        <f t="shared" si="35"/>
        <v>2.3048453816887188E-6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>
        <f>J45*L39+J44*L40+J43*L41+J42*L42</f>
        <v>4.1800753514072017E-2</v>
      </c>
      <c r="I45" s="93">
        <v>6</v>
      </c>
      <c r="J45" s="86">
        <f t="shared" si="33"/>
        <v>9.5856835683731014E-3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0.24715222812498383</v>
      </c>
      <c r="S45" s="70">
        <v>6</v>
      </c>
      <c r="T45" s="135">
        <f t="shared" si="37"/>
        <v>0</v>
      </c>
      <c r="U45" s="93">
        <v>6</v>
      </c>
      <c r="V45" s="86">
        <f>T45*R39+T44*R40+T43*R41+T42*R42+T41*R43+T40*R44+T39*R45</f>
        <v>0.24688739984683838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8.6221500105223691E-4</v>
      </c>
      <c r="AL45" s="28">
        <v>6</v>
      </c>
      <c r="AM45" s="79">
        <f>((($W$39)^Q45)*((1-($W$39))^($U$32-Q45))*HLOOKUP($U$32,$AV$24:$BF$34,Q45+1))*V46</f>
        <v>2.8395462998938741E-3</v>
      </c>
      <c r="AN45" s="28">
        <v>6</v>
      </c>
      <c r="AO45" s="79">
        <f>((($W$39)^Q45)*((1-($W$39))^($U$33-Q45))*HLOOKUP($U$33,$AV$24:$BF$34,Q45+1))*V47</f>
        <v>3.5162916005805106E-3</v>
      </c>
      <c r="AP45" s="28">
        <v>6</v>
      </c>
      <c r="AQ45" s="79">
        <f>((($W$39)^Q45)*((1-($W$39))^($U$34-Q45))*HLOOKUP($U$34,$AV$24:$BF$34,Q45+1))*V48</f>
        <v>1.9482183613022588E-3</v>
      </c>
      <c r="AR45" s="28">
        <v>6</v>
      </c>
      <c r="AS45" s="79">
        <f>((($W$39)^Q45)*((1-($W$39))^($U$35-Q45))*HLOOKUP($U$35,$AV$24:$BF$34,Q45+1))*V49</f>
        <v>4.1941230554422173E-4</v>
      </c>
      <c r="AV45" s="14">
        <v>7</v>
      </c>
      <c r="BC45">
        <v>1</v>
      </c>
      <c r="BD45">
        <v>8</v>
      </c>
      <c r="BE45">
        <f>28+8</f>
        <v>36</v>
      </c>
      <c r="BF45">
        <f t="shared" si="38"/>
        <v>120</v>
      </c>
      <c r="BH45">
        <f>BH40+1</f>
        <v>5</v>
      </c>
      <c r="BI45">
        <v>7</v>
      </c>
      <c r="BJ45" s="107">
        <f>$H$30*H46</f>
        <v>3.8411490739591634E-4</v>
      </c>
      <c r="BP45">
        <f t="shared" si="34"/>
        <v>9</v>
      </c>
      <c r="BQ45">
        <v>6</v>
      </c>
      <c r="BR45" s="107">
        <f t="shared" si="35"/>
        <v>9.4740604567514321E-7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>
        <f>J46*L39+J45*L40+J44*L41+J43*L42</f>
        <v>1.3107590682356623E-2</v>
      </c>
      <c r="I46" s="93">
        <v>7</v>
      </c>
      <c r="J46" s="86">
        <f t="shared" si="33"/>
        <v>1.585454099080246E-3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0.18969131837934131</v>
      </c>
      <c r="S46" s="72">
        <v>7</v>
      </c>
      <c r="T46" s="135">
        <f t="shared" si="37"/>
        <v>0</v>
      </c>
      <c r="U46" s="93">
        <v>7</v>
      </c>
      <c r="V46" s="86">
        <f>T46*R39+T45*R40+T44*R41+T43*R42+T42*R43+T41*R44+T40*R45+T39*R46</f>
        <v>0.19026383247544018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2.588167209470946E-4</v>
      </c>
      <c r="AN46" s="28">
        <v>7</v>
      </c>
      <c r="AO46" s="79">
        <f>((($W$39)^Q46)*((1-($W$39))^($U$33-Q46))*HLOOKUP($U$33,$AV$24:$BF$34,Q46+1))*V47</f>
        <v>6.4100033303917021E-4</v>
      </c>
      <c r="AP46" s="28">
        <v>7</v>
      </c>
      <c r="AQ46" s="79">
        <f>((($W$39)^Q46)*((1-($W$39))^($U$34-Q46))*HLOOKUP($U$34,$AV$24:$BF$34,Q46+1))*V48</f>
        <v>5.3272400028837484E-4</v>
      </c>
      <c r="AR46" s="28">
        <v>7</v>
      </c>
      <c r="AS46" s="79">
        <f>((($W$39)^Q46)*((1-($W$39))^($U$35-Q46))*HLOOKUP($U$35,$AV$24:$BF$34,Q46+1))*V49</f>
        <v>1.5291304480560632E-4</v>
      </c>
      <c r="AV46" s="14">
        <v>8</v>
      </c>
      <c r="BD46">
        <v>1</v>
      </c>
      <c r="BE46">
        <v>9</v>
      </c>
      <c r="BF46">
        <f t="shared" si="38"/>
        <v>45</v>
      </c>
      <c r="BH46">
        <f>BH41+1</f>
        <v>5</v>
      </c>
      <c r="BI46">
        <v>8</v>
      </c>
      <c r="BJ46" s="107">
        <f>$H$30*H47</f>
        <v>9.1752170854442205E-5</v>
      </c>
      <c r="BP46">
        <f t="shared" si="34"/>
        <v>9</v>
      </c>
      <c r="BQ46">
        <v>7</v>
      </c>
      <c r="BR46" s="107">
        <f t="shared" si="35"/>
        <v>2.9708102397052031E-7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>
        <f>J47*L39+J46*L40+J45*L41+J44*L42</f>
        <v>3.1309638772704018E-3</v>
      </c>
      <c r="I47" s="93">
        <v>8</v>
      </c>
      <c r="J47" s="86">
        <f t="shared" si="33"/>
        <v>1.7268194592963838E-4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9.5543180938902683E-2</v>
      </c>
      <c r="S47" s="72">
        <v>8</v>
      </c>
      <c r="T47" s="135">
        <f t="shared" si="37"/>
        <v>0</v>
      </c>
      <c r="U47" s="93">
        <v>8</v>
      </c>
      <c r="V47" s="86">
        <f>T47*R39+T46*R40+T45*R41+T44*R42+T43*R43+T42*R44+T41*R45+T40*R46+T39*R47</f>
        <v>9.6483745132614707E-2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5.1122217583921701E-5</v>
      </c>
      <c r="AP47" s="28">
        <v>8</v>
      </c>
      <c r="AQ47" s="79">
        <f>((($W$39)^Q47)*((1-($W$39))^($U$34-Q47))*HLOOKUP($U$34,$AV$24:$BF$34,Q47+1))*V48</f>
        <v>8.4973535429521373E-5</v>
      </c>
      <c r="AR47" s="28">
        <v>8</v>
      </c>
      <c r="AS47" s="79">
        <f>((($W$39)^Q47)*((1-($W$39))^($U$35-Q47))*HLOOKUP($U$35,$AV$24:$BF$34,Q47+1))*V49</f>
        <v>3.6586192916195312E-5</v>
      </c>
      <c r="AV47" s="29">
        <v>9</v>
      </c>
      <c r="BE47">
        <v>1</v>
      </c>
      <c r="BF47">
        <f t="shared" si="38"/>
        <v>10</v>
      </c>
      <c r="BH47">
        <f>BH42+1</f>
        <v>5</v>
      </c>
      <c r="BI47">
        <v>9</v>
      </c>
      <c r="BJ47" s="107">
        <f>$H$30*H48</f>
        <v>1.6456424209570892E-5</v>
      </c>
      <c r="BP47">
        <f>BL12+1</f>
        <v>9</v>
      </c>
      <c r="BQ47">
        <v>8</v>
      </c>
      <c r="BR47" s="107">
        <f t="shared" si="35"/>
        <v>7.0962694610705461E-8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>
        <f>J48*L39+J47*L40+J46*L41+J45*L42</f>
        <v>5.6156131532783256E-4</v>
      </c>
      <c r="I48" s="93">
        <v>9</v>
      </c>
      <c r="J48" s="86">
        <f t="shared" si="33"/>
        <v>1.1211323967723943E-5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2.8517283691841228E-2</v>
      </c>
      <c r="S48" s="72">
        <v>9</v>
      </c>
      <c r="T48" s="135">
        <f t="shared" si="37"/>
        <v>0</v>
      </c>
      <c r="U48" s="93">
        <v>9</v>
      </c>
      <c r="V48" s="86">
        <f>T48*R39+T47*R40+T46*R41+T45*R42+T44*R43+T43*R44+T42*R45+T41*R46+T40*R47+T39*R48</f>
        <v>2.9188220720316679E-2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6.0239671487036541E-6</v>
      </c>
      <c r="AR48" s="28">
        <v>9</v>
      </c>
      <c r="AS48" s="79">
        <f>((($W$39)^Q48)*((1-($W$39))^($U$35-Q48))*HLOOKUP($U$35,$AV$24:$BF$34,Q48+1))*V49</f>
        <v>5.1873568190202897E-6</v>
      </c>
      <c r="AV48" s="14">
        <v>10</v>
      </c>
      <c r="BF48">
        <f t="shared" si="38"/>
        <v>1</v>
      </c>
      <c r="BH48">
        <f>BH43+1</f>
        <v>5</v>
      </c>
      <c r="BI48">
        <v>10</v>
      </c>
      <c r="BJ48" s="107">
        <f>$H$30*H49</f>
        <v>2.1498447747718403E-6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>
        <f>J49*L39+J48*L40+J47*L41+J46*L42</f>
        <v>7.336160298841875E-5</v>
      </c>
      <c r="I49" s="94">
        <v>10</v>
      </c>
      <c r="J49" s="89">
        <f t="shared" si="33"/>
        <v>3.3096916843091875E-7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3.830267712736592E-3</v>
      </c>
      <c r="S49" s="72">
        <v>10</v>
      </c>
      <c r="T49" s="135">
        <f t="shared" si="37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4.1171161970859904E-3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3.3096916843091875E-7</v>
      </c>
      <c r="BH49">
        <f>BP14+1</f>
        <v>6</v>
      </c>
      <c r="BI49">
        <v>0</v>
      </c>
      <c r="BJ49" s="107">
        <f>$H$31*H39</f>
        <v>2.6336293515635676E-4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9.6181013427094607E-5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>
        <f>$H$31*H47</f>
        <v>2.2974418870497614E-5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4.1206303826976387E-6</v>
      </c>
    </row>
    <row r="53" spans="1:62" x14ac:dyDescent="0.25">
      <c r="BH53">
        <f>BH48+1</f>
        <v>6</v>
      </c>
      <c r="BI53">
        <v>10</v>
      </c>
      <c r="BJ53" s="107">
        <f>$H$31*H49</f>
        <v>5.3831352328997858E-7</v>
      </c>
    </row>
    <row r="54" spans="1:62" x14ac:dyDescent="0.25">
      <c r="BH54">
        <f>BH51+1</f>
        <v>7</v>
      </c>
      <c r="BI54">
        <v>8</v>
      </c>
      <c r="BJ54" s="107">
        <f>$H$32*H47</f>
        <v>4.3921872541478401E-6</v>
      </c>
    </row>
    <row r="55" spans="1:62" x14ac:dyDescent="0.25">
      <c r="BH55">
        <f>BH52+1</f>
        <v>7</v>
      </c>
      <c r="BI55">
        <v>9</v>
      </c>
      <c r="BJ55" s="107">
        <f>$H$32*H48</f>
        <v>7.8777097031081063E-7</v>
      </c>
    </row>
    <row r="56" spans="1:62" x14ac:dyDescent="0.25">
      <c r="BH56">
        <f>BH53+1</f>
        <v>7</v>
      </c>
      <c r="BI56">
        <v>10</v>
      </c>
      <c r="BJ56" s="107">
        <f>$H$32*H49</f>
        <v>1.0291332325127269E-7</v>
      </c>
    </row>
    <row r="57" spans="1:62" x14ac:dyDescent="0.25">
      <c r="BH57">
        <f>BH55+1</f>
        <v>8</v>
      </c>
      <c r="BI57">
        <v>9</v>
      </c>
      <c r="BJ57" s="107">
        <f>$H$33*H48</f>
        <v>1.1516338270864398E-7</v>
      </c>
    </row>
    <row r="58" spans="1:62" x14ac:dyDescent="0.25">
      <c r="BH58">
        <f>BH56+1</f>
        <v>8</v>
      </c>
      <c r="BI58">
        <v>10</v>
      </c>
      <c r="BJ58" s="107">
        <f>$H$33*H49</f>
        <v>1.5044786972447876E-8</v>
      </c>
    </row>
    <row r="59" spans="1:62" x14ac:dyDescent="0.25">
      <c r="BH59">
        <f t="shared" ref="BH59" si="39">BH58+1</f>
        <v>9</v>
      </c>
      <c r="BI59">
        <v>10</v>
      </c>
      <c r="BJ59" s="107">
        <f>$H$34*H49</f>
        <v>1.6627266340605477E-9</v>
      </c>
    </row>
  </sheetData>
  <mergeCells count="2">
    <mergeCell ref="P1:Q1"/>
    <mergeCell ref="B3:C3"/>
  </mergeCells>
  <conditionalFormatting sqref="V25:V35 V39:V49">
    <cfRule type="cellIs" dxfId="41" priority="14" operator="greaterThan">
      <formula>0.15</formula>
    </cfRule>
  </conditionalFormatting>
  <conditionalFormatting sqref="V35">
    <cfRule type="cellIs" dxfId="40" priority="13" operator="greaterThan">
      <formula>0.15</formula>
    </cfRule>
  </conditionalFormatting>
  <conditionalFormatting sqref="V49">
    <cfRule type="cellIs" dxfId="39" priority="12" operator="greaterThan">
      <formula>0.15</formula>
    </cfRule>
  </conditionalFormatting>
  <conditionalFormatting sqref="V25:V35 V39:V49">
    <cfRule type="cellIs" dxfId="38" priority="11" operator="greaterThan">
      <formula>0.15</formula>
    </cfRule>
  </conditionalFormatting>
  <conditionalFormatting sqref="V35">
    <cfRule type="cellIs" dxfId="37" priority="10" operator="greaterThan">
      <formula>0.15</formula>
    </cfRule>
  </conditionalFormatting>
  <conditionalFormatting sqref="V49">
    <cfRule type="cellIs" dxfId="36" priority="9" operator="greaterThan">
      <formula>0.15</formula>
    </cfRule>
  </conditionalFormatting>
  <conditionalFormatting sqref="H25:H35">
    <cfRule type="cellIs" dxfId="35" priority="8" operator="greaterThan">
      <formula>0.15</formula>
    </cfRule>
  </conditionalFormatting>
  <conditionalFormatting sqref="H35">
    <cfRule type="cellIs" dxfId="34" priority="7" operator="greaterThan">
      <formula>0.15</formula>
    </cfRule>
  </conditionalFormatting>
  <conditionalFormatting sqref="H25:H35">
    <cfRule type="cellIs" dxfId="33" priority="6" operator="greaterThan">
      <formula>0.15</formula>
    </cfRule>
  </conditionalFormatting>
  <conditionalFormatting sqref="H35">
    <cfRule type="cellIs" dxfId="32" priority="5" operator="greaterThan">
      <formula>0.15</formula>
    </cfRule>
  </conditionalFormatting>
  <conditionalFormatting sqref="H39:H49">
    <cfRule type="cellIs" dxfId="31" priority="4" operator="greaterThan">
      <formula>0.15</formula>
    </cfRule>
  </conditionalFormatting>
  <conditionalFormatting sqref="H49">
    <cfRule type="cellIs" dxfId="30" priority="3" operator="greaterThan">
      <formula>0.15</formula>
    </cfRule>
  </conditionalFormatting>
  <conditionalFormatting sqref="H39:H49">
    <cfRule type="cellIs" dxfId="29" priority="2" operator="greaterThan">
      <formula>0.15</formula>
    </cfRule>
  </conditionalFormatting>
  <conditionalFormatting sqref="H49">
    <cfRule type="cellIs" dxfId="28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R59"/>
  <sheetViews>
    <sheetView zoomScale="80" zoomScaleNormal="80" workbookViewId="0">
      <selection activeCell="O16" sqref="O16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7.140625" bestFit="1" customWidth="1"/>
    <col min="16" max="16" width="9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9.1406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158" t="s">
        <v>142</v>
      </c>
      <c r="B1" t="s">
        <v>145</v>
      </c>
      <c r="F1" s="10" t="s">
        <v>123</v>
      </c>
      <c r="G1" s="70">
        <f>IF(D3="SI",COUNTIF($F$6:$F$18,"RAP"),0)</f>
        <v>0</v>
      </c>
      <c r="H1" s="70">
        <f>G1+G2+G3</f>
        <v>0</v>
      </c>
      <c r="J1" s="11" t="s">
        <v>123</v>
      </c>
      <c r="K1" s="70">
        <f>IF(D3="SI",COUNTIF($J$6:$J$18,"RAP"),0)</f>
        <v>0</v>
      </c>
      <c r="L1" s="70">
        <f>K1+K2+K3</f>
        <v>0</v>
      </c>
      <c r="M1" s="150">
        <f>L1+H1</f>
        <v>0</v>
      </c>
      <c r="P1" s="207" t="s">
        <v>135</v>
      </c>
      <c r="Q1" s="207"/>
      <c r="R1" s="152">
        <v>-0.12364059050405629</v>
      </c>
      <c r="S1" s="153">
        <f>1+R1</f>
        <v>0.87635940949594371</v>
      </c>
      <c r="U1" s="160" t="s">
        <v>144</v>
      </c>
      <c r="V1">
        <f>IF(B17="JC",IF(C17="JC",1.2,1.1),IF(C17="JC",1.1,1))</f>
        <v>1</v>
      </c>
      <c r="AF1">
        <f>COUNTA(J16:J18)</f>
        <v>0</v>
      </c>
    </row>
    <row r="2" spans="1:70" x14ac:dyDescent="0.25">
      <c r="A2" s="158" t="s">
        <v>143</v>
      </c>
      <c r="B2" t="s">
        <v>145</v>
      </c>
      <c r="F2" s="10" t="s">
        <v>21</v>
      </c>
      <c r="G2" s="70">
        <f>IF(D3="SI",COUNTIF($F$6:$F$18,"TEC"),0)</f>
        <v>0</v>
      </c>
      <c r="H2" s="13"/>
      <c r="J2" s="11" t="s">
        <v>21</v>
      </c>
      <c r="K2" s="70">
        <f>IF(D3="SI",COUNTIF($J$6:$J$18,"TEC"),0)</f>
        <v>0</v>
      </c>
      <c r="L2" s="13" t="s">
        <v>134</v>
      </c>
      <c r="M2" s="163" t="str">
        <f>IF(M1&lt;&gt;0,"SI","NO")</f>
        <v>NO</v>
      </c>
      <c r="O2" t="s">
        <v>147</v>
      </c>
      <c r="P2" s="165" t="s">
        <v>148</v>
      </c>
      <c r="R2" s="152">
        <v>7.3959748117051513E-2</v>
      </c>
      <c r="S2" s="153">
        <f>1+R2</f>
        <v>1.0739597481170515</v>
      </c>
      <c r="Y2" t="s">
        <v>147</v>
      </c>
      <c r="Z2" s="164" t="s">
        <v>148</v>
      </c>
    </row>
    <row r="3" spans="1:70" x14ac:dyDescent="0.25">
      <c r="A3" s="162" t="s">
        <v>108</v>
      </c>
      <c r="B3" s="209" t="s">
        <v>23</v>
      </c>
      <c r="C3" s="209"/>
      <c r="D3" t="str">
        <f>IF(B3="Sol","SI",IF(B3="Lluvia","SI","NO"))</f>
        <v>NO</v>
      </c>
      <c r="F3" s="10" t="s">
        <v>131</v>
      </c>
      <c r="G3" s="70">
        <f>IF(D3="SI",COUNTIF($F$6:$F$18,"POT"),0)</f>
        <v>0</v>
      </c>
      <c r="H3" s="13"/>
      <c r="J3" s="11" t="s">
        <v>131</v>
      </c>
      <c r="K3" s="70">
        <f>IF(D3="SI",COUNTIF($J$6:$J$18,"POT"),0)</f>
        <v>0</v>
      </c>
      <c r="L3" s="13"/>
      <c r="O3" t="s">
        <v>132</v>
      </c>
      <c r="P3" s="165" t="s">
        <v>138</v>
      </c>
      <c r="Q3" t="s">
        <v>133</v>
      </c>
      <c r="R3" s="165" t="s">
        <v>139</v>
      </c>
      <c r="Y3" t="s">
        <v>132</v>
      </c>
      <c r="Z3" s="164" t="s">
        <v>138</v>
      </c>
      <c r="AA3" t="s">
        <v>133</v>
      </c>
      <c r="AB3" s="164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30</v>
      </c>
      <c r="R4" s="8" t="s">
        <v>70</v>
      </c>
      <c r="S4" s="8" t="s">
        <v>31</v>
      </c>
      <c r="T4" s="8" t="s">
        <v>32</v>
      </c>
      <c r="U4" s="8" t="s">
        <v>33</v>
      </c>
      <c r="V4" s="158"/>
      <c r="W4" s="125"/>
      <c r="X4" s="12" t="s">
        <v>72</v>
      </c>
      <c r="Y4" s="9" t="s">
        <v>28</v>
      </c>
      <c r="Z4" s="9" t="s">
        <v>29</v>
      </c>
      <c r="AA4" s="9" t="s">
        <v>34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BH4">
        <v>0</v>
      </c>
      <c r="BI4">
        <v>1</v>
      </c>
      <c r="BJ4" s="107" t="e">
        <f t="shared" ref="BJ4:BJ13" si="0">$H$25*H40</f>
        <v>#DIV/0!</v>
      </c>
      <c r="BL4">
        <v>0</v>
      </c>
      <c r="BM4">
        <v>0</v>
      </c>
      <c r="BN4" s="107" t="e">
        <f>H25*H39</f>
        <v>#DIV/0!</v>
      </c>
      <c r="BP4">
        <v>1</v>
      </c>
      <c r="BQ4">
        <v>0</v>
      </c>
      <c r="BR4" s="107" t="e">
        <f>$H$26*H39</f>
        <v>#DIV/0!</v>
      </c>
    </row>
    <row r="5" spans="1:70" x14ac:dyDescent="0.25">
      <c r="A5" s="188" t="s">
        <v>140</v>
      </c>
      <c r="B5" s="159">
        <v>352</v>
      </c>
      <c r="C5" s="159">
        <v>352</v>
      </c>
      <c r="E5" s="192" t="s">
        <v>15</v>
      </c>
      <c r="F5" s="167"/>
      <c r="G5" s="167">
        <v>12</v>
      </c>
      <c r="H5" s="10"/>
      <c r="I5" s="10"/>
      <c r="J5" s="166"/>
      <c r="K5" s="166">
        <v>12</v>
      </c>
      <c r="L5" s="10"/>
      <c r="M5" s="10"/>
      <c r="O5" s="67">
        <f>COUNTIF(F5:F18,"IMP")*0.017</f>
        <v>0</v>
      </c>
      <c r="P5" s="16" t="str">
        <f>P3</f>
        <v>0,6</v>
      </c>
      <c r="Q5" s="16">
        <f>P5*O5</f>
        <v>0</v>
      </c>
      <c r="R5" s="157" t="e">
        <f>IF($M$2="SI",Q5*$B$22/0.5*$S$1,Q5*$B$22/0.5*$S$2)</f>
        <v>#DIV/0!</v>
      </c>
      <c r="S5" s="176" t="e">
        <f>(1-R5)</f>
        <v>#DIV/0!</v>
      </c>
      <c r="T5" s="177" t="e">
        <f>R5*PRODUCT(S6:S19)</f>
        <v>#DIV/0!</v>
      </c>
      <c r="U5" s="177" t="e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#DIV/0!</v>
      </c>
      <c r="V5" s="18"/>
      <c r="W5" s="186" t="s">
        <v>36</v>
      </c>
      <c r="X5" s="15" t="s">
        <v>37</v>
      </c>
      <c r="Y5" s="69">
        <f>COUNTIF(J5:J18,"IMP")*0.017</f>
        <v>0</v>
      </c>
      <c r="Z5" s="146" t="str">
        <f>Z3</f>
        <v>0,6</v>
      </c>
      <c r="AA5" s="19">
        <f>Z5*Y5</f>
        <v>0</v>
      </c>
      <c r="AB5" s="157" t="e">
        <f>IF($M$2="SI",AA5*$C$22/0.5*$S$1,AA5*$C$22/0.5*$S$2)</f>
        <v>#DIV/0!</v>
      </c>
      <c r="AC5" s="176" t="e">
        <f>(1-AB5)</f>
        <v>#DIV/0!</v>
      </c>
      <c r="AD5" s="177" t="e">
        <f>AB5*PRODUCT(AC6:AC19)</f>
        <v>#DIV/0!</v>
      </c>
      <c r="AE5" s="177" t="e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#DIV/0!</v>
      </c>
      <c r="AF5" s="18"/>
      <c r="BH5">
        <v>0</v>
      </c>
      <c r="BI5">
        <v>2</v>
      </c>
      <c r="BJ5" s="107" t="e">
        <f t="shared" si="0"/>
        <v>#DIV/0!</v>
      </c>
      <c r="BL5">
        <v>1</v>
      </c>
      <c r="BM5">
        <v>1</v>
      </c>
      <c r="BN5" s="107" t="e">
        <f>$H$26*H40</f>
        <v>#DIV/0!</v>
      </c>
      <c r="BP5">
        <f>BP4+1</f>
        <v>2</v>
      </c>
      <c r="BQ5">
        <v>0</v>
      </c>
      <c r="BR5" s="107" t="e">
        <f>$H$27*H39</f>
        <v>#DIV/0!</v>
      </c>
    </row>
    <row r="6" spans="1:70" x14ac:dyDescent="0.25">
      <c r="A6" s="2" t="s">
        <v>1</v>
      </c>
      <c r="B6" s="168"/>
      <c r="C6" s="169"/>
      <c r="E6" s="192" t="s">
        <v>17</v>
      </c>
      <c r="F6" s="167"/>
      <c r="G6" s="167"/>
      <c r="H6" s="10"/>
      <c r="I6" s="10"/>
      <c r="J6" s="166"/>
      <c r="K6" s="166"/>
      <c r="L6" s="10"/>
      <c r="M6" s="10"/>
      <c r="O6" s="67">
        <f>COUNTIF(F14:F18,"IMP")*0.017</f>
        <v>0</v>
      </c>
      <c r="P6" s="16" t="str">
        <f>P3</f>
        <v>0,6</v>
      </c>
      <c r="Q6" s="16">
        <f t="shared" ref="Q6:Q19" si="1">P6*O6</f>
        <v>0</v>
      </c>
      <c r="R6" s="157" t="e">
        <f>IF($M$2="SI",Q6*$B$22/0.5*$S$1,Q6*$B$22/0.5*$S$2)</f>
        <v>#DIV/0!</v>
      </c>
      <c r="S6" s="176" t="e">
        <f t="shared" ref="S6:S19" si="2">(1-R6)</f>
        <v>#DIV/0!</v>
      </c>
      <c r="T6" s="177" t="e">
        <f>R6*S5*PRODUCT(S7:S19)</f>
        <v>#DIV/0!</v>
      </c>
      <c r="U6" s="177" t="e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#DIV/0!</v>
      </c>
      <c r="V6" s="18"/>
      <c r="W6" s="186" t="s">
        <v>38</v>
      </c>
      <c r="X6" s="15" t="s">
        <v>39</v>
      </c>
      <c r="Y6" s="69">
        <f>COUNTIF(J14:J18,"IMP")*0.017</f>
        <v>0</v>
      </c>
      <c r="Z6" s="146" t="str">
        <f>Z3</f>
        <v>0,6</v>
      </c>
      <c r="AA6" s="19">
        <f t="shared" ref="AA6:AA19" si="3">Z6*Y6</f>
        <v>0</v>
      </c>
      <c r="AB6" s="157" t="e">
        <f t="shared" ref="AB6:AB19" si="4">IF($M$2="SI",AA6*$C$22/0.5*$S$1,AA6*$C$22/0.5*$S$2)</f>
        <v>#DIV/0!</v>
      </c>
      <c r="AC6" s="176" t="e">
        <f t="shared" ref="AC6:AC19" si="5">(1-AB6)</f>
        <v>#DIV/0!</v>
      </c>
      <c r="AD6" s="177" t="e">
        <f>AB6*AC5*PRODUCT(AC7:AC19)</f>
        <v>#DIV/0!</v>
      </c>
      <c r="AE6" s="177" t="e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#DIV/0!</v>
      </c>
      <c r="AF6" s="18"/>
      <c r="BH6">
        <v>0</v>
      </c>
      <c r="BI6">
        <v>3</v>
      </c>
      <c r="BJ6" s="107" t="e">
        <f t="shared" si="0"/>
        <v>#DIV/0!</v>
      </c>
      <c r="BL6">
        <f>BH14+1</f>
        <v>2</v>
      </c>
      <c r="BM6">
        <v>2</v>
      </c>
      <c r="BN6" s="107" t="e">
        <f>$H$27*H41</f>
        <v>#DIV/0!</v>
      </c>
      <c r="BP6">
        <f>BL5+1</f>
        <v>2</v>
      </c>
      <c r="BQ6">
        <v>1</v>
      </c>
      <c r="BR6" s="107" t="e">
        <f>$H$27*H40</f>
        <v>#DIV/0!</v>
      </c>
    </row>
    <row r="7" spans="1:70" x14ac:dyDescent="0.25">
      <c r="A7" s="5" t="s">
        <v>2</v>
      </c>
      <c r="B7" s="168"/>
      <c r="C7" s="169"/>
      <c r="E7" s="192" t="s">
        <v>18</v>
      </c>
      <c r="F7" s="167"/>
      <c r="G7" s="167"/>
      <c r="H7" s="10"/>
      <c r="I7" s="10"/>
      <c r="J7" s="166"/>
      <c r="K7" s="166"/>
      <c r="L7" s="10"/>
      <c r="M7" s="10"/>
      <c r="O7" s="67">
        <v>0</v>
      </c>
      <c r="P7" s="144">
        <v>0.5</v>
      </c>
      <c r="Q7" s="16">
        <f t="shared" si="1"/>
        <v>0</v>
      </c>
      <c r="R7" s="157" t="e">
        <f t="shared" ref="R7:R19" si="6">IF($M$2="SI",Q7*$B$22/0.5*$S$1,Q7*$B$22/0.5*$S$2)</f>
        <v>#DIV/0!</v>
      </c>
      <c r="S7" s="176" t="e">
        <f t="shared" si="2"/>
        <v>#DIV/0!</v>
      </c>
      <c r="T7" s="177" t="e">
        <f>R7*PRODUCT(S5:S6)*PRODUCT(S8:S19)</f>
        <v>#DIV/0!</v>
      </c>
      <c r="U7" s="177" t="e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#DIV/0!</v>
      </c>
      <c r="W7" s="186" t="s">
        <v>40</v>
      </c>
      <c r="X7" s="15" t="s">
        <v>41</v>
      </c>
      <c r="Y7" s="69">
        <v>0</v>
      </c>
      <c r="Z7" s="146">
        <v>0.5</v>
      </c>
      <c r="AA7" s="19">
        <f t="shared" si="3"/>
        <v>0</v>
      </c>
      <c r="AB7" s="157" t="e">
        <f t="shared" si="4"/>
        <v>#DIV/0!</v>
      </c>
      <c r="AC7" s="176" t="e">
        <f t="shared" si="5"/>
        <v>#DIV/0!</v>
      </c>
      <c r="AD7" s="177" t="e">
        <f>AB7*PRODUCT(AC5:AC6)*PRODUCT(AC8:AC19)</f>
        <v>#DIV/0!</v>
      </c>
      <c r="AE7" s="177" t="e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#DIV/0!</v>
      </c>
      <c r="BH7">
        <v>0</v>
      </c>
      <c r="BI7">
        <v>4</v>
      </c>
      <c r="BJ7" s="107" t="e">
        <f t="shared" si="0"/>
        <v>#DIV/0!</v>
      </c>
      <c r="BL7">
        <f>BH23+1</f>
        <v>3</v>
      </c>
      <c r="BM7">
        <v>3</v>
      </c>
      <c r="BN7" s="107" t="e">
        <f>$H$28*H42</f>
        <v>#DIV/0!</v>
      </c>
      <c r="BP7">
        <f>BP5+1</f>
        <v>3</v>
      </c>
      <c r="BQ7">
        <v>0</v>
      </c>
      <c r="BR7" s="107" t="e">
        <f>$H$28*H39</f>
        <v>#DIV/0!</v>
      </c>
    </row>
    <row r="8" spans="1:70" x14ac:dyDescent="0.25">
      <c r="A8" s="5" t="s">
        <v>3</v>
      </c>
      <c r="B8" s="168"/>
      <c r="C8" s="169"/>
      <c r="E8" s="192" t="s">
        <v>18</v>
      </c>
      <c r="F8" s="167"/>
      <c r="G8" s="167"/>
      <c r="H8" s="10"/>
      <c r="I8" s="10"/>
      <c r="J8" s="166"/>
      <c r="K8" s="166"/>
      <c r="L8" s="10"/>
      <c r="M8" s="10"/>
      <c r="O8" s="67">
        <f>COUNTIF(F6:F18,"IMP")*0.01</f>
        <v>0</v>
      </c>
      <c r="P8" s="16" t="str">
        <f>P3</f>
        <v>0,6</v>
      </c>
      <c r="Q8" s="16">
        <f t="shared" si="1"/>
        <v>0</v>
      </c>
      <c r="R8" s="157" t="e">
        <f t="shared" si="6"/>
        <v>#DIV/0!</v>
      </c>
      <c r="S8" s="176" t="e">
        <f t="shared" si="2"/>
        <v>#DIV/0!</v>
      </c>
      <c r="T8" s="177" t="e">
        <f>R8*PRODUCT(S5:S7)*PRODUCT(S9:S19)</f>
        <v>#DIV/0!</v>
      </c>
      <c r="U8" s="177" t="e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#DIV/0!</v>
      </c>
      <c r="W8" s="186" t="s">
        <v>42</v>
      </c>
      <c r="X8" s="15" t="s">
        <v>43</v>
      </c>
      <c r="Y8" s="69">
        <f>COUNTIF(J6:J18,"IMP")*0.01</f>
        <v>0</v>
      </c>
      <c r="Z8" s="146" t="str">
        <f>Z3</f>
        <v>0,6</v>
      </c>
      <c r="AA8" s="19">
        <f t="shared" si="3"/>
        <v>0</v>
      </c>
      <c r="AB8" s="157" t="e">
        <f t="shared" si="4"/>
        <v>#DIV/0!</v>
      </c>
      <c r="AC8" s="176" t="e">
        <f t="shared" si="5"/>
        <v>#DIV/0!</v>
      </c>
      <c r="AD8" s="177" t="e">
        <f>AB8*PRODUCT(AC5:AC7)*PRODUCT(AC9:AC19)</f>
        <v>#DIV/0!</v>
      </c>
      <c r="AE8" s="177" t="e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#DIV/0!</v>
      </c>
      <c r="BH8">
        <v>0</v>
      </c>
      <c r="BI8">
        <v>5</v>
      </c>
      <c r="BJ8" s="107" t="e">
        <f t="shared" si="0"/>
        <v>#DIV/0!</v>
      </c>
      <c r="BL8">
        <f>BH31+1</f>
        <v>4</v>
      </c>
      <c r="BM8">
        <v>4</v>
      </c>
      <c r="BN8" s="107" t="e">
        <f>$H$29*H43</f>
        <v>#DIV/0!</v>
      </c>
      <c r="BP8">
        <f>BP6+1</f>
        <v>3</v>
      </c>
      <c r="BQ8">
        <v>1</v>
      </c>
      <c r="BR8" s="107" t="e">
        <f>$H$28*H40</f>
        <v>#DIV/0!</v>
      </c>
    </row>
    <row r="9" spans="1:70" x14ac:dyDescent="0.25">
      <c r="A9" s="5" t="s">
        <v>4</v>
      </c>
      <c r="B9" s="168"/>
      <c r="C9" s="169"/>
      <c r="E9" s="192" t="s">
        <v>18</v>
      </c>
      <c r="F9" s="167"/>
      <c r="G9" s="167"/>
      <c r="H9" s="10"/>
      <c r="I9" s="10"/>
      <c r="J9" s="166"/>
      <c r="K9" s="166"/>
      <c r="L9" s="10"/>
      <c r="M9" s="10"/>
      <c r="O9" s="67">
        <f>COUNTIF(J6:J13,"IMP")*0.025</f>
        <v>0</v>
      </c>
      <c r="P9" s="144">
        <v>0.5</v>
      </c>
      <c r="Q9" s="16">
        <f t="shared" si="1"/>
        <v>0</v>
      </c>
      <c r="R9" s="157" t="e">
        <f t="shared" si="6"/>
        <v>#DIV/0!</v>
      </c>
      <c r="S9" s="176" t="e">
        <f t="shared" si="2"/>
        <v>#DIV/0!</v>
      </c>
      <c r="T9" s="177" t="e">
        <f>R9*PRODUCT(S5:S8)*PRODUCT(S10:S19)</f>
        <v>#DIV/0!</v>
      </c>
      <c r="U9" s="177" t="e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#DIV/0!</v>
      </c>
      <c r="W9" s="187" t="s">
        <v>44</v>
      </c>
      <c r="X9" s="15" t="s">
        <v>45</v>
      </c>
      <c r="Y9" s="69">
        <f>COUNTIF(F6:F13,"IMP")*0.025</f>
        <v>0</v>
      </c>
      <c r="Z9" s="146">
        <v>0.5</v>
      </c>
      <c r="AA9" s="19">
        <f t="shared" si="3"/>
        <v>0</v>
      </c>
      <c r="AB9" s="157" t="e">
        <f t="shared" si="4"/>
        <v>#DIV/0!</v>
      </c>
      <c r="AC9" s="176" t="e">
        <f t="shared" si="5"/>
        <v>#DIV/0!</v>
      </c>
      <c r="AD9" s="177" t="e">
        <f>AB9*PRODUCT(AC5:AC8)*PRODUCT(AC10:AC19)</f>
        <v>#DIV/0!</v>
      </c>
      <c r="AE9" s="177" t="e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#DIV/0!</v>
      </c>
      <c r="BH9">
        <v>0</v>
      </c>
      <c r="BI9">
        <v>6</v>
      </c>
      <c r="BJ9" s="107" t="e">
        <f t="shared" si="0"/>
        <v>#DIV/0!</v>
      </c>
      <c r="BL9">
        <f>BH38+1</f>
        <v>5</v>
      </c>
      <c r="BM9">
        <v>5</v>
      </c>
      <c r="BN9" s="107" t="e">
        <f>$H$30*H44</f>
        <v>#DIV/0!</v>
      </c>
      <c r="BP9">
        <f>BL6+1</f>
        <v>3</v>
      </c>
      <c r="BQ9">
        <v>2</v>
      </c>
      <c r="BR9" s="107" t="e">
        <f>$H$28*H41</f>
        <v>#DIV/0!</v>
      </c>
    </row>
    <row r="10" spans="1:70" x14ac:dyDescent="0.25">
      <c r="A10" s="6" t="s">
        <v>5</v>
      </c>
      <c r="B10" s="168"/>
      <c r="C10" s="169"/>
      <c r="E10" s="192" t="s">
        <v>17</v>
      </c>
      <c r="F10" s="167"/>
      <c r="G10" s="167"/>
      <c r="H10" s="10"/>
      <c r="I10" s="10"/>
      <c r="J10" s="166"/>
      <c r="K10" s="166"/>
      <c r="L10" s="10"/>
      <c r="M10" s="10"/>
      <c r="O10" s="67">
        <f>COUNTIF(F14:F18,"RAP")*0.085</f>
        <v>0</v>
      </c>
      <c r="P10" s="16" t="str">
        <f>R3</f>
        <v>0,72</v>
      </c>
      <c r="Q10" s="16">
        <f t="shared" si="1"/>
        <v>0</v>
      </c>
      <c r="R10" s="157" t="e">
        <f t="shared" si="6"/>
        <v>#DIV/0!</v>
      </c>
      <c r="S10" s="176" t="e">
        <f t="shared" si="2"/>
        <v>#DIV/0!</v>
      </c>
      <c r="T10" s="177" t="e">
        <f>R10*PRODUCT(S5:S9)*PRODUCT(S11:S19)</f>
        <v>#DIV/0!</v>
      </c>
      <c r="U10" s="177" t="e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#DIV/0!</v>
      </c>
      <c r="W10" s="186" t="s">
        <v>46</v>
      </c>
      <c r="X10" s="15" t="s">
        <v>47</v>
      </c>
      <c r="Y10" s="69">
        <f>COUNTIF(J14:J18,"RAP")*0.085</f>
        <v>8.5000000000000006E-2</v>
      </c>
      <c r="Z10" s="146" t="str">
        <f>AB3</f>
        <v>0,72</v>
      </c>
      <c r="AA10" s="19">
        <f t="shared" si="3"/>
        <v>6.1200000000000004E-2</v>
      </c>
      <c r="AB10" s="157" t="e">
        <f t="shared" si="4"/>
        <v>#DIV/0!</v>
      </c>
      <c r="AC10" s="176" t="e">
        <f t="shared" si="5"/>
        <v>#DIV/0!</v>
      </c>
      <c r="AD10" s="177" t="e">
        <f>AB10*PRODUCT(AC5:AC9)*PRODUCT(AC11:AC19)</f>
        <v>#DIV/0!</v>
      </c>
      <c r="AE10" s="177" t="e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#DIV/0!</v>
      </c>
      <c r="BH10">
        <v>0</v>
      </c>
      <c r="BI10">
        <v>7</v>
      </c>
      <c r="BJ10" s="107" t="e">
        <f t="shared" si="0"/>
        <v>#DIV/0!</v>
      </c>
      <c r="BL10">
        <f>BH44+1</f>
        <v>6</v>
      </c>
      <c r="BM10">
        <v>6</v>
      </c>
      <c r="BN10" s="107" t="e">
        <f>$H$31*H45</f>
        <v>#DIV/0!</v>
      </c>
      <c r="BP10">
        <f>BP7+1</f>
        <v>4</v>
      </c>
      <c r="BQ10">
        <v>0</v>
      </c>
      <c r="BR10" s="107" t="e">
        <f>$H$29*H39</f>
        <v>#DIV/0!</v>
      </c>
    </row>
    <row r="11" spans="1:70" x14ac:dyDescent="0.25">
      <c r="A11" s="6" t="s">
        <v>6</v>
      </c>
      <c r="B11" s="168"/>
      <c r="C11" s="169"/>
      <c r="E11" s="192" t="s">
        <v>19</v>
      </c>
      <c r="F11" s="167"/>
      <c r="G11" s="167"/>
      <c r="H11" s="10"/>
      <c r="I11" s="10"/>
      <c r="J11" s="166"/>
      <c r="K11" s="166"/>
      <c r="L11" s="10"/>
      <c r="M11" s="10"/>
      <c r="O11" s="67">
        <f>IF(COUNTA(F16:F18)=0,0,COUNTIF(F14:F15,"RAP")*0.085)+IF(COUNTA(F17:F18)=0,0,COUNTIF(F16:F16,"RAP")*0.085)+IF(COUNTA(F16:F17)=0,0,COUNTIF(F18:F18,"RAP")*0.085)+IF(COUNTA(F16,F18)=0,0,COUNTIF(F17:F17,"RAP")*0.085)</f>
        <v>0</v>
      </c>
      <c r="P11" s="16" t="str">
        <f>R3</f>
        <v>0,72</v>
      </c>
      <c r="Q11" s="16">
        <f t="shared" si="1"/>
        <v>0</v>
      </c>
      <c r="R11" s="157" t="e">
        <f t="shared" si="6"/>
        <v>#DIV/0!</v>
      </c>
      <c r="S11" s="176" t="e">
        <f t="shared" si="2"/>
        <v>#DIV/0!</v>
      </c>
      <c r="T11" s="177" t="e">
        <f>R11*PRODUCT(S5:S10)*PRODUCT(S12:S19)</f>
        <v>#DIV/0!</v>
      </c>
      <c r="U11" s="177" t="e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#DIV/0!</v>
      </c>
      <c r="W11" s="186" t="s">
        <v>48</v>
      </c>
      <c r="X11" s="15" t="s">
        <v>49</v>
      </c>
      <c r="Y11" s="69">
        <f>IF(COUNTA(J16:J18)=0,0,COUNTIF(J14:J15,"RAP")*0.085)+IF(COUNTA(J17:J18)=0,0,COUNTIF(J16:J16,"RAP")*0.085)+IF(COUNTA(J16:J17)=0,0,COUNTIF(J18:J18,"RAP")*0.085)+IF(COUNTA(J16,J18)=0,0,COUNTIF(J17:J17,"RAP")*0.085)</f>
        <v>0</v>
      </c>
      <c r="Z11" s="146" t="str">
        <f>AB3</f>
        <v>0,72</v>
      </c>
      <c r="AA11" s="19">
        <f t="shared" si="3"/>
        <v>0</v>
      </c>
      <c r="AB11" s="157" t="e">
        <f t="shared" si="4"/>
        <v>#DIV/0!</v>
      </c>
      <c r="AC11" s="176" t="e">
        <f t="shared" si="5"/>
        <v>#DIV/0!</v>
      </c>
      <c r="AD11" s="177" t="e">
        <f>AB11*PRODUCT(AC5:AC10)*PRODUCT(AC12:AC19)</f>
        <v>#DIV/0!</v>
      </c>
      <c r="AE11" s="177" t="e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#DIV/0!</v>
      </c>
      <c r="BH11">
        <v>0</v>
      </c>
      <c r="BI11">
        <v>8</v>
      </c>
      <c r="BJ11" s="107" t="e">
        <f t="shared" si="0"/>
        <v>#DIV/0!</v>
      </c>
      <c r="BL11">
        <f>BH50+1</f>
        <v>7</v>
      </c>
      <c r="BM11">
        <v>7</v>
      </c>
      <c r="BN11" s="107" t="e">
        <f>$H$32*H46</f>
        <v>#DIV/0!</v>
      </c>
      <c r="BP11">
        <f>BP8+1</f>
        <v>4</v>
      </c>
      <c r="BQ11">
        <v>1</v>
      </c>
      <c r="BR11" s="107" t="e">
        <f>$H$29*H40</f>
        <v>#DIV/0!</v>
      </c>
    </row>
    <row r="12" spans="1:70" x14ac:dyDescent="0.25">
      <c r="A12" s="6" t="s">
        <v>7</v>
      </c>
      <c r="B12" s="168"/>
      <c r="C12" s="169"/>
      <c r="E12" s="192" t="s">
        <v>19</v>
      </c>
      <c r="F12" s="167"/>
      <c r="G12" s="167"/>
      <c r="H12" s="10"/>
      <c r="I12" s="10"/>
      <c r="J12" s="166"/>
      <c r="K12" s="166"/>
      <c r="L12" s="10"/>
      <c r="M12" s="10"/>
      <c r="O12" s="67"/>
      <c r="P12" s="144">
        <v>0.5</v>
      </c>
      <c r="Q12" s="16">
        <f t="shared" si="1"/>
        <v>0</v>
      </c>
      <c r="R12" s="157" t="e">
        <f t="shared" si="6"/>
        <v>#DIV/0!</v>
      </c>
      <c r="S12" s="176" t="e">
        <f t="shared" si="2"/>
        <v>#DIV/0!</v>
      </c>
      <c r="T12" s="177" t="e">
        <f>R12*PRODUCT(S5:S11)*PRODUCT(S13:S19)</f>
        <v>#DIV/0!</v>
      </c>
      <c r="U12" s="177" t="e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#DIV/0!</v>
      </c>
      <c r="W12" s="187" t="s">
        <v>50</v>
      </c>
      <c r="X12" s="15" t="s">
        <v>51</v>
      </c>
      <c r="Y12" s="69"/>
      <c r="Z12" s="146">
        <v>0.5</v>
      </c>
      <c r="AA12" s="19">
        <f t="shared" si="3"/>
        <v>0</v>
      </c>
      <c r="AB12" s="157" t="e">
        <f t="shared" si="4"/>
        <v>#DIV/0!</v>
      </c>
      <c r="AC12" s="176" t="e">
        <f t="shared" si="5"/>
        <v>#DIV/0!</v>
      </c>
      <c r="AD12" s="177" t="e">
        <f>AB12*PRODUCT(AC5:AC11)*PRODUCT(AC13:AC19)</f>
        <v>#DIV/0!</v>
      </c>
      <c r="AE12" s="177" t="e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#DIV/0!</v>
      </c>
      <c r="BH12">
        <v>0</v>
      </c>
      <c r="BI12">
        <v>9</v>
      </c>
      <c r="BJ12" s="107" t="e">
        <f t="shared" si="0"/>
        <v>#DIV/0!</v>
      </c>
      <c r="BL12">
        <f>BH54+1</f>
        <v>8</v>
      </c>
      <c r="BM12">
        <v>8</v>
      </c>
      <c r="BN12" s="107" t="e">
        <f>$H$33*H47</f>
        <v>#DIV/0!</v>
      </c>
      <c r="BP12">
        <f>BP9+1</f>
        <v>4</v>
      </c>
      <c r="BQ12">
        <v>2</v>
      </c>
      <c r="BR12" s="107" t="e">
        <f>$H$29*H41</f>
        <v>#DIV/0!</v>
      </c>
    </row>
    <row r="13" spans="1:70" x14ac:dyDescent="0.25">
      <c r="A13" s="7" t="s">
        <v>8</v>
      </c>
      <c r="B13" s="168">
        <v>11.75</v>
      </c>
      <c r="C13" s="169">
        <v>12.5</v>
      </c>
      <c r="E13" s="192" t="s">
        <v>19</v>
      </c>
      <c r="F13" s="167"/>
      <c r="G13" s="167"/>
      <c r="H13" s="10"/>
      <c r="I13" s="10"/>
      <c r="J13" s="166"/>
      <c r="K13" s="166"/>
      <c r="L13" s="10"/>
      <c r="M13" s="10"/>
      <c r="O13" s="67">
        <v>0.125</v>
      </c>
      <c r="P13" s="16" t="str">
        <f>P2</f>
        <v>0,4</v>
      </c>
      <c r="Q13" s="16">
        <f t="shared" si="1"/>
        <v>0.05</v>
      </c>
      <c r="R13" s="157" t="e">
        <f t="shared" si="6"/>
        <v>#DIV/0!</v>
      </c>
      <c r="S13" s="176" t="e">
        <f t="shared" si="2"/>
        <v>#DIV/0!</v>
      </c>
      <c r="T13" s="177" t="e">
        <f>R13*PRODUCT(S5:S12)*PRODUCT(S14:S19)</f>
        <v>#DIV/0!</v>
      </c>
      <c r="U13" s="177" t="e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#DIV/0!</v>
      </c>
      <c r="W13" s="186" t="s">
        <v>52</v>
      </c>
      <c r="X13" s="15" t="s">
        <v>53</v>
      </c>
      <c r="Y13" s="69">
        <v>0.125</v>
      </c>
      <c r="Z13" s="19" t="str">
        <f>Z2</f>
        <v>0,4</v>
      </c>
      <c r="AA13" s="19">
        <f t="shared" si="3"/>
        <v>0.05</v>
      </c>
      <c r="AB13" s="157" t="e">
        <f t="shared" si="4"/>
        <v>#DIV/0!</v>
      </c>
      <c r="AC13" s="176" t="e">
        <f t="shared" si="5"/>
        <v>#DIV/0!</v>
      </c>
      <c r="AD13" s="177" t="e">
        <f>AB13*PRODUCT(AC5:AC12)*PRODUCT(AC14:AC19)</f>
        <v>#DIV/0!</v>
      </c>
      <c r="AE13" s="177" t="e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#DIV/0!</v>
      </c>
      <c r="BH13">
        <v>0</v>
      </c>
      <c r="BI13">
        <v>10</v>
      </c>
      <c r="BJ13" s="107" t="e">
        <f t="shared" si="0"/>
        <v>#DIV/0!</v>
      </c>
      <c r="BL13">
        <f>BH57+1</f>
        <v>9</v>
      </c>
      <c r="BM13">
        <v>9</v>
      </c>
      <c r="BN13" s="107" t="e">
        <f>$H$34*H48</f>
        <v>#DIV/0!</v>
      </c>
      <c r="BP13">
        <f>BL7+1</f>
        <v>4</v>
      </c>
      <c r="BQ13">
        <v>3</v>
      </c>
      <c r="BR13" s="107" t="e">
        <f>$H$29*H42</f>
        <v>#DIV/0!</v>
      </c>
    </row>
    <row r="14" spans="1:70" x14ac:dyDescent="0.25">
      <c r="A14" s="7" t="s">
        <v>9</v>
      </c>
      <c r="B14" s="168">
        <v>9.25</v>
      </c>
      <c r="C14" s="169">
        <v>10.75</v>
      </c>
      <c r="E14" s="192" t="s">
        <v>20</v>
      </c>
      <c r="F14" s="167"/>
      <c r="G14" s="167"/>
      <c r="H14" s="10"/>
      <c r="I14" s="10"/>
      <c r="J14" s="166" t="s">
        <v>149</v>
      </c>
      <c r="K14" s="166"/>
      <c r="L14" s="10"/>
      <c r="M14" s="10"/>
      <c r="O14" s="67">
        <f>COUNTIF(F6:F18,"CAB")*0.095</f>
        <v>0</v>
      </c>
      <c r="P14" s="144">
        <v>0.95</v>
      </c>
      <c r="Q14" s="16">
        <f t="shared" si="1"/>
        <v>0</v>
      </c>
      <c r="R14" s="157" t="e">
        <f t="shared" si="6"/>
        <v>#DIV/0!</v>
      </c>
      <c r="S14" s="176" t="e">
        <f t="shared" si="2"/>
        <v>#DIV/0!</v>
      </c>
      <c r="T14" s="177" t="e">
        <f>R14*PRODUCT(S5:S13)*PRODUCT(S15:S19)</f>
        <v>#DIV/0!</v>
      </c>
      <c r="U14" s="177" t="e">
        <f>R14*R15*PRODUCT(S5:S13)*PRODUCT(S16:S19)+R14*R16*PRODUCT(S5:S13)*S15*PRODUCT(S17:S19)+R14*R17*PRODUCT(S5:S13)*PRODUCT(S15:S16)*PRODUCT(S18:S19)+R14*R18*PRODUCT(S5:S13)*PRODUCT(S15:S17)*PRODUCT(S19)+R14*R19*PRODUCT(S5:S13)*PRODUCT(S15:S18)</f>
        <v>#DIV/0!</v>
      </c>
      <c r="W14" s="186" t="s">
        <v>54</v>
      </c>
      <c r="X14" s="15" t="s">
        <v>55</v>
      </c>
      <c r="Y14" s="69">
        <f>COUNTIF(J6:J18,"CAB")*0.095</f>
        <v>0</v>
      </c>
      <c r="Z14" s="147">
        <v>0.95</v>
      </c>
      <c r="AA14" s="19">
        <f t="shared" si="3"/>
        <v>0</v>
      </c>
      <c r="AB14" s="157" t="e">
        <f t="shared" si="4"/>
        <v>#DIV/0!</v>
      </c>
      <c r="AC14" s="176" t="e">
        <f t="shared" si="5"/>
        <v>#DIV/0!</v>
      </c>
      <c r="AD14" s="177" t="e">
        <f>AB14*PRODUCT(AC5:AC13)*PRODUCT(AC15:AC19)</f>
        <v>#DIV/0!</v>
      </c>
      <c r="AE14" s="177" t="e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#DIV/0!</v>
      </c>
      <c r="BH14">
        <v>1</v>
      </c>
      <c r="BI14">
        <v>2</v>
      </c>
      <c r="BJ14" s="107" t="e">
        <f t="shared" ref="BJ14:BJ22" si="7">$H$26*H41</f>
        <v>#DIV/0!</v>
      </c>
      <c r="BL14">
        <f>BP39+1</f>
        <v>10</v>
      </c>
      <c r="BM14">
        <v>10</v>
      </c>
      <c r="BN14" s="107" t="e">
        <f>$H$35*H49</f>
        <v>#DIV/0!</v>
      </c>
      <c r="BP14">
        <f>BP10+1</f>
        <v>5</v>
      </c>
      <c r="BQ14">
        <v>0</v>
      </c>
      <c r="BR14" s="107" t="e">
        <f>$H$30*H39</f>
        <v>#DIV/0!</v>
      </c>
    </row>
    <row r="15" spans="1:70" x14ac:dyDescent="0.25">
      <c r="A15" s="189" t="s">
        <v>71</v>
      </c>
      <c r="B15" s="170">
        <v>7.75</v>
      </c>
      <c r="C15" s="171">
        <v>8.25</v>
      </c>
      <c r="E15" s="192" t="s">
        <v>20</v>
      </c>
      <c r="F15" s="167"/>
      <c r="G15" s="167"/>
      <c r="H15" s="10"/>
      <c r="I15" s="10"/>
      <c r="J15" s="166"/>
      <c r="K15" s="166"/>
      <c r="L15" s="10"/>
      <c r="M15" s="10"/>
      <c r="O15" s="67"/>
      <c r="P15" s="144">
        <v>0.5</v>
      </c>
      <c r="Q15" s="16">
        <f t="shared" si="1"/>
        <v>0</v>
      </c>
      <c r="R15" s="157" t="e">
        <f t="shared" si="6"/>
        <v>#DIV/0!</v>
      </c>
      <c r="S15" s="176" t="e">
        <f t="shared" si="2"/>
        <v>#DIV/0!</v>
      </c>
      <c r="T15" s="177" t="e">
        <f>R15*PRODUCT(S5:S14)*PRODUCT(S16:S19)</f>
        <v>#DIV/0!</v>
      </c>
      <c r="U15" s="177" t="e">
        <f>R15*R16*PRODUCT(S5:S14)*PRODUCT(S17:S19)+R15*R17*PRODUCT(S5:S14)*S16*PRODUCT(S18:S19)+R15*R18*PRODUCT(S5:S14)*S16*S17*S19+R15*R19*PRODUCT(S5:S14)*S16*S17*S18</f>
        <v>#DIV/0!</v>
      </c>
      <c r="W15" s="186" t="s">
        <v>56</v>
      </c>
      <c r="X15" s="15" t="s">
        <v>57</v>
      </c>
      <c r="Y15" s="69"/>
      <c r="Z15" s="146">
        <v>0.5</v>
      </c>
      <c r="AA15" s="19">
        <f t="shared" si="3"/>
        <v>0</v>
      </c>
      <c r="AB15" s="157" t="e">
        <f t="shared" si="4"/>
        <v>#DIV/0!</v>
      </c>
      <c r="AC15" s="176" t="e">
        <f t="shared" si="5"/>
        <v>#DIV/0!</v>
      </c>
      <c r="AD15" s="177" t="e">
        <f>AB15*PRODUCT(AC5:AC14)*PRODUCT(AC16:AC19)</f>
        <v>#DIV/0!</v>
      </c>
      <c r="AE15" s="177" t="e">
        <f>AB15*AB16*PRODUCT(AC5:AC14)*PRODUCT(AC17:AC19)+AB15*AB17*PRODUCT(AC5:AC14)*AC16*PRODUCT(AC18:AC19)+AB15*AB18*PRODUCT(AC5:AC14)*AC16*AC17*AC19+AB15*AB19*PRODUCT(AC5:AC14)*AC16*AC17*AC18</f>
        <v>#DIV/0!</v>
      </c>
      <c r="BH15">
        <v>1</v>
      </c>
      <c r="BI15">
        <v>3</v>
      </c>
      <c r="BJ15" s="107" t="e">
        <f t="shared" si="7"/>
        <v>#DIV/0!</v>
      </c>
      <c r="BP15">
        <f>BP11+1</f>
        <v>5</v>
      </c>
      <c r="BQ15">
        <v>1</v>
      </c>
      <c r="BR15" s="107" t="e">
        <f>$H$30*H40</f>
        <v>#DIV/0!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/>
      <c r="G16" s="167"/>
      <c r="H16" s="10"/>
      <c r="I16" s="10"/>
      <c r="J16" s="166"/>
      <c r="K16" s="166"/>
      <c r="L16" s="10"/>
      <c r="M16" s="10"/>
      <c r="O16" s="67">
        <f>COUNTA(L6:L13)*0.03</f>
        <v>0</v>
      </c>
      <c r="P16" s="144">
        <v>0.25</v>
      </c>
      <c r="Q16" s="16">
        <f t="shared" si="1"/>
        <v>0</v>
      </c>
      <c r="R16" s="157" t="e">
        <f t="shared" si="6"/>
        <v>#DIV/0!</v>
      </c>
      <c r="S16" s="176" t="e">
        <f t="shared" si="2"/>
        <v>#DIV/0!</v>
      </c>
      <c r="T16" s="177" t="e">
        <f>R16*PRODUCT(S5:S15)*PRODUCT(S17:S19)</f>
        <v>#DIV/0!</v>
      </c>
      <c r="U16" s="177" t="e">
        <f>R16*R17*PRODUCT(S5:S15)*PRODUCT(S18:S19)+R16*R18*PRODUCT(S5:S15)*S17*S19+R16*R19*PRODUCT(S5:S15)*S17*S18</f>
        <v>#DIV/0!</v>
      </c>
      <c r="W16" s="187" t="s">
        <v>58</v>
      </c>
      <c r="X16" s="15" t="s">
        <v>59</v>
      </c>
      <c r="Y16" s="69">
        <f>COUNTA(H6:H13)*0.03</f>
        <v>0</v>
      </c>
      <c r="Z16" s="146">
        <v>0.25</v>
      </c>
      <c r="AA16" s="19">
        <f t="shared" si="3"/>
        <v>0</v>
      </c>
      <c r="AB16" s="157" t="e">
        <f t="shared" si="4"/>
        <v>#DIV/0!</v>
      </c>
      <c r="AC16" s="176" t="e">
        <f t="shared" si="5"/>
        <v>#DIV/0!</v>
      </c>
      <c r="AD16" s="177" t="e">
        <f>AB16*PRODUCT(AC5:AC15)*PRODUCT(AC17:AC19)</f>
        <v>#DIV/0!</v>
      </c>
      <c r="AE16" s="177" t="e">
        <f>AB16*AB17*PRODUCT(AC5:AC15)*PRODUCT(AC18:AC19)+AB16*AB18*PRODUCT(AC5:AC15)*AC17*AC19+AB16*AB19*PRODUCT(AC5:AC15)*AC17*AC18</f>
        <v>#DIV/0!</v>
      </c>
      <c r="BH16">
        <v>1</v>
      </c>
      <c r="BI16">
        <v>4</v>
      </c>
      <c r="BJ16" s="107" t="e">
        <f t="shared" si="7"/>
        <v>#DIV/0!</v>
      </c>
      <c r="BP16">
        <f>BP12+1</f>
        <v>5</v>
      </c>
      <c r="BQ16">
        <v>2</v>
      </c>
      <c r="BR16" s="107" t="e">
        <f>$H$30*H41</f>
        <v>#DIV/0!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/>
      <c r="G17" s="167"/>
      <c r="H17" s="10"/>
      <c r="I17" s="10"/>
      <c r="J17" s="166"/>
      <c r="K17" s="166"/>
      <c r="L17" s="10"/>
      <c r="M17" s="10"/>
      <c r="O17" s="67">
        <f>(0.02*2)*IF(COUNTBLANK(F14:F15)&lt;&gt;0, (2-COUNTBLANK(F14:F15))/2,1)</f>
        <v>0</v>
      </c>
      <c r="P17" s="16" t="str">
        <f>P3</f>
        <v>0,6</v>
      </c>
      <c r="Q17" s="16">
        <f t="shared" si="1"/>
        <v>0</v>
      </c>
      <c r="R17" s="157" t="e">
        <f t="shared" si="6"/>
        <v>#DIV/0!</v>
      </c>
      <c r="S17" s="176" t="e">
        <f t="shared" si="2"/>
        <v>#DIV/0!</v>
      </c>
      <c r="T17" s="177" t="e">
        <f>R17*PRODUCT(S5:S16)*PRODUCT(S18:S19)</f>
        <v>#DIV/0!</v>
      </c>
      <c r="U17" s="177" t="e">
        <f>R17*R18*PRODUCT(S5:S16)*S19+R17*R19*PRODUCT(S5:S16)*S18</f>
        <v>#DIV/0!</v>
      </c>
      <c r="W17" s="186" t="s">
        <v>60</v>
      </c>
      <c r="X17" s="15" t="s">
        <v>61</v>
      </c>
      <c r="Y17" s="69">
        <f>(0.02*2)*IF(COUNTBLANK(J14:J15)&lt;&gt;0, (2-COUNTBLANK(J14:J15))/2,1)</f>
        <v>0.02</v>
      </c>
      <c r="Z17" s="146" t="str">
        <f>Z3</f>
        <v>0,6</v>
      </c>
      <c r="AA17" s="19">
        <f t="shared" si="3"/>
        <v>1.2E-2</v>
      </c>
      <c r="AB17" s="157" t="e">
        <f t="shared" si="4"/>
        <v>#DIV/0!</v>
      </c>
      <c r="AC17" s="176" t="e">
        <f t="shared" si="5"/>
        <v>#DIV/0!</v>
      </c>
      <c r="AD17" s="177" t="e">
        <f>AB17*PRODUCT(AC5:AC16)*PRODUCT(AC18:AC19)</f>
        <v>#DIV/0!</v>
      </c>
      <c r="AE17" s="177" t="e">
        <f>AB17*AB18*PRODUCT(AC5:AC16)*AC19+AB17*AB19*PRODUCT(AC5:AC16)*AC18</f>
        <v>#DIV/0!</v>
      </c>
      <c r="BH17">
        <v>1</v>
      </c>
      <c r="BI17">
        <v>5</v>
      </c>
      <c r="BJ17" s="107" t="e">
        <f t="shared" si="7"/>
        <v>#DIV/0!</v>
      </c>
      <c r="BP17">
        <f>BP13+1</f>
        <v>5</v>
      </c>
      <c r="BQ17">
        <v>3</v>
      </c>
      <c r="BR17" s="107" t="e">
        <f>$H$30*H42</f>
        <v>#DIV/0!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/>
      <c r="G18" s="167"/>
      <c r="H18" s="10"/>
      <c r="I18" s="10"/>
      <c r="J18" s="166"/>
      <c r="K18" s="166"/>
      <c r="L18" s="10"/>
      <c r="M18" s="10"/>
      <c r="O18" s="67">
        <v>0</v>
      </c>
      <c r="P18" s="144">
        <v>0.5</v>
      </c>
      <c r="Q18" s="16">
        <f t="shared" si="1"/>
        <v>0</v>
      </c>
      <c r="R18" s="157" t="e">
        <f t="shared" si="6"/>
        <v>#DIV/0!</v>
      </c>
      <c r="S18" s="176" t="e">
        <f t="shared" si="2"/>
        <v>#DIV/0!</v>
      </c>
      <c r="T18" s="177" t="e">
        <f>R18*PRODUCT(S5:S17)*PRODUCT(S19:S19)</f>
        <v>#DIV/0!</v>
      </c>
      <c r="U18" s="177" t="e">
        <f>R18*R19*PRODUCT(S5:S17)</f>
        <v>#DIV/0!</v>
      </c>
      <c r="W18" s="186" t="s">
        <v>62</v>
      </c>
      <c r="X18" s="15" t="s">
        <v>63</v>
      </c>
      <c r="Y18" s="69">
        <v>0</v>
      </c>
      <c r="Z18" s="146">
        <v>0.5</v>
      </c>
      <c r="AA18" s="19">
        <f t="shared" si="3"/>
        <v>0</v>
      </c>
      <c r="AB18" s="157" t="e">
        <f t="shared" si="4"/>
        <v>#DIV/0!</v>
      </c>
      <c r="AC18" s="176" t="e">
        <f t="shared" si="5"/>
        <v>#DIV/0!</v>
      </c>
      <c r="AD18" s="177" t="e">
        <f>AB18*PRODUCT(AC5:AC17)*PRODUCT(AC19:AC19)</f>
        <v>#DIV/0!</v>
      </c>
      <c r="AE18" s="177" t="e">
        <f>AB18*AB19*PRODUCT(AC5:AC17)</f>
        <v>#DIV/0!</v>
      </c>
      <c r="BH18">
        <v>1</v>
      </c>
      <c r="BI18">
        <v>6</v>
      </c>
      <c r="BJ18" s="107" t="e">
        <f t="shared" si="7"/>
        <v>#DIV/0!</v>
      </c>
      <c r="BP18">
        <f>BL8+1</f>
        <v>5</v>
      </c>
      <c r="BQ18">
        <v>4</v>
      </c>
      <c r="BR18" s="107" t="e">
        <f>$H$30*H43</f>
        <v>#DIV/0!</v>
      </c>
    </row>
    <row r="19" spans="1:70" x14ac:dyDescent="0.25">
      <c r="H19" s="13" t="s">
        <v>141</v>
      </c>
      <c r="L19" s="13" t="s">
        <v>141</v>
      </c>
      <c r="O19" s="67">
        <f>COUNTIF(F14:F18,"TEC")*0.06*IF(COUNTIF(J6:J13,"CAB")&lt;&gt;0,1,0)</f>
        <v>0</v>
      </c>
      <c r="P19" s="16" t="str">
        <f>P3</f>
        <v>0,6</v>
      </c>
      <c r="Q19" s="16">
        <f t="shared" si="1"/>
        <v>0</v>
      </c>
      <c r="R19" s="157" t="e">
        <f t="shared" si="6"/>
        <v>#DIV/0!</v>
      </c>
      <c r="S19" s="178" t="e">
        <f t="shared" si="2"/>
        <v>#DIV/0!</v>
      </c>
      <c r="T19" s="179" t="e">
        <f>R19*PRODUCT(S5:S18)</f>
        <v>#DIV/0!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COUNTIF(J14:J18,"TEC")*0.06*IF(COUNTIF(F6:F13,"CAB")&lt;&gt;0,1,0)</f>
        <v>0</v>
      </c>
      <c r="Z19" s="146" t="str">
        <f>Z3</f>
        <v>0,6</v>
      </c>
      <c r="AA19" s="19">
        <f t="shared" si="3"/>
        <v>0</v>
      </c>
      <c r="AB19" s="157" t="e">
        <f t="shared" si="4"/>
        <v>#DIV/0!</v>
      </c>
      <c r="AC19" s="178" t="e">
        <f t="shared" si="5"/>
        <v>#DIV/0!</v>
      </c>
      <c r="AD19" s="179" t="e">
        <f>AB19*PRODUCT(AC5:AC18)</f>
        <v>#DIV/0!</v>
      </c>
      <c r="AE19" s="179">
        <v>0</v>
      </c>
      <c r="AF19" s="1" t="s">
        <v>66</v>
      </c>
      <c r="BH19">
        <v>1</v>
      </c>
      <c r="BI19">
        <v>7</v>
      </c>
      <c r="BJ19" s="107" t="e">
        <f t="shared" si="7"/>
        <v>#DIV/0!</v>
      </c>
      <c r="BP19">
        <f>BP15+1</f>
        <v>6</v>
      </c>
      <c r="BQ19">
        <v>1</v>
      </c>
      <c r="BR19" s="107" t="e">
        <f>$H$31*H40</f>
        <v>#DIV/0!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 t="e">
        <f>PRODUCT(S5:S19)</f>
        <v>#DIV/0!</v>
      </c>
      <c r="T20" s="181" t="e">
        <f>SUM(T5:T19)</f>
        <v>#DIV/0!</v>
      </c>
      <c r="U20" s="181" t="e">
        <f>SUM(U5:U19)</f>
        <v>#DIV/0!</v>
      </c>
      <c r="V20" s="181" t="e">
        <f>1-S20-T20-U20</f>
        <v>#DIV/0!</v>
      </c>
      <c r="W20" s="21"/>
      <c r="X20" s="22"/>
      <c r="Y20" s="22"/>
      <c r="Z20" s="22"/>
      <c r="AA20" s="22"/>
      <c r="AB20" s="23"/>
      <c r="AC20" s="184" t="e">
        <f>PRODUCT(AC5:AC19)</f>
        <v>#DIV/0!</v>
      </c>
      <c r="AD20" s="181" t="e">
        <f>SUM(AD5:AD19)</f>
        <v>#DIV/0!</v>
      </c>
      <c r="AE20" s="181" t="e">
        <f>SUM(AE5:AE19)</f>
        <v>#DIV/0!</v>
      </c>
      <c r="AF20" s="181" t="e">
        <f>1-AC20-AD20-AE20</f>
        <v>#DIV/0!</v>
      </c>
      <c r="BH20">
        <v>1</v>
      </c>
      <c r="BI20">
        <v>8</v>
      </c>
      <c r="BJ20" s="107" t="e">
        <f t="shared" si="7"/>
        <v>#DIV/0!</v>
      </c>
      <c r="BP20">
        <f>BP16+1</f>
        <v>6</v>
      </c>
      <c r="BQ20">
        <v>2</v>
      </c>
      <c r="BR20" s="107" t="e">
        <f>$H$31*H41</f>
        <v>#DIV/0!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S21" s="182" t="e">
        <f>1-T21-U21-V21</f>
        <v>#DIV/0!</v>
      </c>
      <c r="T21" s="183" t="e">
        <f>T20*V1</f>
        <v>#DIV/0!</v>
      </c>
      <c r="U21" s="183" t="e">
        <f>U20*V1</f>
        <v>#DIV/0!</v>
      </c>
      <c r="V21" s="183" t="e">
        <f>V20*V1</f>
        <v>#DIV/0!</v>
      </c>
      <c r="W21" s="21"/>
      <c r="X21" s="22"/>
      <c r="Y21" s="22"/>
      <c r="Z21" s="22"/>
      <c r="AA21" s="22"/>
      <c r="AB21" s="23"/>
      <c r="AC21" s="185" t="e">
        <f>1-AD21-AE21-AF21</f>
        <v>#DIV/0!</v>
      </c>
      <c r="AD21" s="183" t="e">
        <f>AD20*V1</f>
        <v>#DIV/0!</v>
      </c>
      <c r="AE21" s="183" t="e">
        <f>AE20*V1</f>
        <v>#DIV/0!</v>
      </c>
      <c r="AF21" s="183" t="e">
        <f>AF20*V1</f>
        <v>#DIV/0!</v>
      </c>
      <c r="BH21" s="18">
        <v>1</v>
      </c>
      <c r="BI21">
        <v>9</v>
      </c>
      <c r="BJ21" s="107" t="e">
        <f t="shared" si="7"/>
        <v>#DIV/0!</v>
      </c>
      <c r="BP21">
        <f>BP17+1</f>
        <v>6</v>
      </c>
      <c r="BQ21">
        <v>3</v>
      </c>
      <c r="BR21" s="107" t="e">
        <f>$H$31*H42</f>
        <v>#DIV/0!</v>
      </c>
    </row>
    <row r="22" spans="1:70" x14ac:dyDescent="0.25">
      <c r="A22" s="26" t="s">
        <v>77</v>
      </c>
      <c r="B22" s="62" t="e">
        <f>(B6)/((B6)+(C6))</f>
        <v>#DIV/0!</v>
      </c>
      <c r="C22" s="63" t="e">
        <f>1-B22</f>
        <v>#DIV/0!</v>
      </c>
      <c r="D22" s="24"/>
      <c r="E22" s="24"/>
      <c r="V22" s="59" t="e">
        <f>SUM(V25:V35)</f>
        <v>#DIV/0!</v>
      </c>
      <c r="AS22" s="82" t="e">
        <f>Y23+AA23+AC23+AE23+AG23+AI23+AK23+AM23+AO23+AQ23+AS23</f>
        <v>#DIV/0!</v>
      </c>
      <c r="BH22">
        <v>1</v>
      </c>
      <c r="BI22">
        <v>10</v>
      </c>
      <c r="BJ22" s="107" t="e">
        <f t="shared" si="7"/>
        <v>#DIV/0!</v>
      </c>
      <c r="BP22">
        <f>BP18+1</f>
        <v>6</v>
      </c>
      <c r="BQ22">
        <v>4</v>
      </c>
      <c r="BR22" s="107" t="e">
        <f>$H$31*H43</f>
        <v>#DIV/0!</v>
      </c>
    </row>
    <row r="23" spans="1:70" ht="15.75" thickBot="1" x14ac:dyDescent="0.3">
      <c r="A23" s="40" t="s">
        <v>67</v>
      </c>
      <c r="B23" s="56" t="e">
        <f>((B22^2.8)/((B22^2.8)+(C22^2.8)))*B21</f>
        <v>#DIV/0!</v>
      </c>
      <c r="C23" s="57" t="e">
        <f>B21-B23</f>
        <v>#DIV/0!</v>
      </c>
      <c r="D23" s="151">
        <f>SUM(D25:D30)</f>
        <v>1</v>
      </c>
      <c r="E23" s="151">
        <f>SUM(E25:E30)</f>
        <v>1</v>
      </c>
      <c r="H23" s="59" t="e">
        <f>SUM(H25:H35)</f>
        <v>#DIV/0!</v>
      </c>
      <c r="J23" s="59" t="e">
        <f>SUM(J25:J35)</f>
        <v>#DIV/0!</v>
      </c>
      <c r="K23" s="59"/>
      <c r="L23" s="59" t="e">
        <f>SUM(L25:L35)</f>
        <v>#DIV/0!</v>
      </c>
      <c r="N23" s="59" t="e">
        <f>SUM(N25:N35)</f>
        <v>#DIV/0!</v>
      </c>
      <c r="O23" s="34"/>
      <c r="P23" s="59" t="e">
        <f>SUM(P25:P35)</f>
        <v>#DIV/0!</v>
      </c>
      <c r="R23" s="59" t="e">
        <f>SUM(R25:R35)</f>
        <v>#DIV/0!</v>
      </c>
      <c r="T23" s="59" t="e">
        <f>SUM(T25:T35)</f>
        <v>#DIV/0!</v>
      </c>
      <c r="V23" s="59" t="e">
        <f>SUM(V25:V34)</f>
        <v>#DIV/0!</v>
      </c>
      <c r="Y23" s="80" t="e">
        <f>SUM(Y25:Y35)</f>
        <v>#DIV/0!</v>
      </c>
      <c r="Z23" s="81"/>
      <c r="AA23" s="80" t="e">
        <f>SUM(AA25:AA35)</f>
        <v>#DIV/0!</v>
      </c>
      <c r="AB23" s="81"/>
      <c r="AC23" s="80" t="e">
        <f>SUM(AC25:AC35)</f>
        <v>#DIV/0!</v>
      </c>
      <c r="AD23" s="81"/>
      <c r="AE23" s="80" t="e">
        <f>SUM(AE25:AE35)</f>
        <v>#DIV/0!</v>
      </c>
      <c r="AF23" s="81"/>
      <c r="AG23" s="80" t="e">
        <f>SUM(AG25:AG35)</f>
        <v>#DIV/0!</v>
      </c>
      <c r="AH23" s="81"/>
      <c r="AI23" s="80" t="e">
        <f>SUM(AI25:AI35)</f>
        <v>#DIV/0!</v>
      </c>
      <c r="AJ23" s="81"/>
      <c r="AK23" s="80" t="e">
        <f>SUM(AK25:AK35)</f>
        <v>#DIV/0!</v>
      </c>
      <c r="AL23" s="81"/>
      <c r="AM23" s="80" t="e">
        <f>SUM(AM25:AM35)</f>
        <v>#DIV/0!</v>
      </c>
      <c r="AN23" s="81"/>
      <c r="AO23" s="80" t="e">
        <f>SUM(AO25:AO35)</f>
        <v>#DIV/0!</v>
      </c>
      <c r="AP23" s="81"/>
      <c r="AQ23" s="80" t="e">
        <f>SUM(AQ25:AQ35)</f>
        <v>#DIV/0!</v>
      </c>
      <c r="AR23" s="81"/>
      <c r="AS23" s="80" t="e">
        <f>SUM(AS25:AS35)</f>
        <v>#DIV/0!</v>
      </c>
      <c r="BH23">
        <f t="shared" ref="BH23:BH30" si="8">BH15+1</f>
        <v>2</v>
      </c>
      <c r="BI23">
        <v>3</v>
      </c>
      <c r="BJ23" s="107" t="e">
        <f t="shared" ref="BJ23:BJ30" si="9">$H$27*H42</f>
        <v>#DIV/0!</v>
      </c>
      <c r="BP23">
        <f>BL9+1</f>
        <v>6</v>
      </c>
      <c r="BQ23">
        <v>5</v>
      </c>
      <c r="BR23" s="107" t="e">
        <f>$H$31*H44</f>
        <v>#DIV/0!</v>
      </c>
    </row>
    <row r="24" spans="1:70" ht="15.75" thickBot="1" x14ac:dyDescent="0.3">
      <c r="A24" s="26" t="s">
        <v>76</v>
      </c>
      <c r="B24" s="64" t="e">
        <f>B23/B21</f>
        <v>#DIV/0!</v>
      </c>
      <c r="C24" s="65" t="e">
        <f>C23/B21</f>
        <v>#DIV/0!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 t="e">
        <f t="shared" si="9"/>
        <v>#DIV/0!</v>
      </c>
      <c r="BP24">
        <f>BH49+1</f>
        <v>7</v>
      </c>
      <c r="BQ24">
        <v>0</v>
      </c>
      <c r="BR24" s="107" t="e">
        <f t="shared" ref="BR24:BR30" si="10">$H$32*H39</f>
        <v>#DIV/0!</v>
      </c>
    </row>
    <row r="25" spans="1:70" x14ac:dyDescent="0.25">
      <c r="A25" s="26" t="s">
        <v>69</v>
      </c>
      <c r="B25" s="117" t="e">
        <f>1/(1+EXP(-3.1416*4*((B11/(B11+C8))-(3.1416/6))))</f>
        <v>#DIV/0!</v>
      </c>
      <c r="C25" s="118" t="e">
        <f>1/(1+EXP(-3.1416*4*((C11/(C11+B8))-(3.1416/6))))</f>
        <v>#DIV/0!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 t="e">
        <f>L25*J25</f>
        <v>#DIV/0!</v>
      </c>
      <c r="I25" s="97">
        <v>0</v>
      </c>
      <c r="J25" s="98" t="e">
        <f t="shared" ref="J25:J35" si="11">Y25+AA25+AC25+AE25+AG25+AI25+AK25+AM25+AO25+AQ25+AS25</f>
        <v>#DIV/0!</v>
      </c>
      <c r="K25" s="97">
        <v>0</v>
      </c>
      <c r="L25" s="98" t="e">
        <f>S21</f>
        <v>#DIV/0!</v>
      </c>
      <c r="M25" s="84">
        <v>0</v>
      </c>
      <c r="N25" s="71" t="e">
        <f>(1-$B$24)^$B$21</f>
        <v>#DIV/0!</v>
      </c>
      <c r="O25" s="70">
        <v>0</v>
      </c>
      <c r="P25" s="71" t="e">
        <f>N25</f>
        <v>#DIV/0!</v>
      </c>
      <c r="Q25" s="12">
        <v>0</v>
      </c>
      <c r="R25" s="73" t="e">
        <f>P25*N25</f>
        <v>#DIV/0!</v>
      </c>
      <c r="S25" s="70">
        <v>0</v>
      </c>
      <c r="T25" s="135" t="e">
        <f>(1-$B$33)^(INT(C23*2*(1-C31)))</f>
        <v>#DIV/0!</v>
      </c>
      <c r="U25" s="140">
        <v>0</v>
      </c>
      <c r="V25" s="86" t="e">
        <f>R25*T25</f>
        <v>#DIV/0!</v>
      </c>
      <c r="W25" s="136" t="e">
        <f>B31</f>
        <v>#DIV/0!</v>
      </c>
      <c r="X25" s="12">
        <v>0</v>
      </c>
      <c r="Y25" s="79" t="e">
        <f>V25</f>
        <v>#DIV/0!</v>
      </c>
      <c r="Z25" s="12">
        <v>0</v>
      </c>
      <c r="AA25" s="78" t="e">
        <f>((1-W25)^Z26)*V26</f>
        <v>#DIV/0!</v>
      </c>
      <c r="AB25" s="12">
        <v>0</v>
      </c>
      <c r="AC25" s="79" t="e">
        <f>(((1-$W$25)^AB27))*V27</f>
        <v>#DIV/0!</v>
      </c>
      <c r="AD25" s="12">
        <v>0</v>
      </c>
      <c r="AE25" s="79" t="e">
        <f>(((1-$W$25)^AB28))*V28</f>
        <v>#DIV/0!</v>
      </c>
      <c r="AF25" s="12">
        <v>0</v>
      </c>
      <c r="AG25" s="79" t="e">
        <f>(((1-$W$25)^AB29))*V29</f>
        <v>#DIV/0!</v>
      </c>
      <c r="AH25" s="12">
        <v>0</v>
      </c>
      <c r="AI25" s="79" t="e">
        <f>(((1-$W$25)^AB30))*V30</f>
        <v>#DIV/0!</v>
      </c>
      <c r="AJ25" s="12">
        <v>0</v>
      </c>
      <c r="AK25" s="79" t="e">
        <f>(((1-$W$25)^AB31))*V31</f>
        <v>#DIV/0!</v>
      </c>
      <c r="AL25" s="12">
        <v>0</v>
      </c>
      <c r="AM25" s="79" t="e">
        <f>(((1-$W$25)^AB32))*V32</f>
        <v>#DIV/0!</v>
      </c>
      <c r="AN25" s="12">
        <v>0</v>
      </c>
      <c r="AO25" s="79" t="e">
        <f>(((1-$W$25)^AB33))*V33</f>
        <v>#DIV/0!</v>
      </c>
      <c r="AP25" s="12">
        <v>0</v>
      </c>
      <c r="AQ25" s="79" t="e">
        <f>(((1-$W$25)^AB34))*V34</f>
        <v>#DIV/0!</v>
      </c>
      <c r="AR25" s="12">
        <v>0</v>
      </c>
      <c r="AS25" s="79" t="e">
        <f>(((1-$W$25)^AB35))*V35</f>
        <v>#DIV/0!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 t="e">
        <f t="shared" si="9"/>
        <v>#DIV/0!</v>
      </c>
      <c r="BP25">
        <f>BP19+1</f>
        <v>7</v>
      </c>
      <c r="BQ25">
        <v>1</v>
      </c>
      <c r="BR25" s="107" t="e">
        <f t="shared" si="10"/>
        <v>#DIV/0!</v>
      </c>
    </row>
    <row r="26" spans="1:70" x14ac:dyDescent="0.25">
      <c r="A26" s="40" t="s">
        <v>24</v>
      </c>
      <c r="B26" s="119" t="e">
        <f>1/(1+EXP(-3.1416*4*((B10/(B10+C9))-(3.1416/6))))</f>
        <v>#DIV/0!</v>
      </c>
      <c r="C26" s="120" t="e">
        <f>1/(1+EXP(-3.1416*4*((C10/(C10+B9))-(3.1416/6))))</f>
        <v>#DIV/0!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 t="e">
        <f>L25*J26+L26*J25</f>
        <v>#DIV/0!</v>
      </c>
      <c r="I26" s="93">
        <v>1</v>
      </c>
      <c r="J26" s="86" t="e">
        <f t="shared" si="11"/>
        <v>#DIV/0!</v>
      </c>
      <c r="K26" s="93">
        <v>1</v>
      </c>
      <c r="L26" s="86" t="e">
        <f>T21</f>
        <v>#DIV/0!</v>
      </c>
      <c r="M26" s="85">
        <v>1</v>
      </c>
      <c r="N26" s="71" t="e">
        <f>(($B$24)^M26)*((1-($B$24))^($B$21-M26))*HLOOKUP($B$21,$AV$24:$BF$34,M26+1)</f>
        <v>#DIV/0!</v>
      </c>
      <c r="O26" s="72">
        <v>1</v>
      </c>
      <c r="P26" s="71" t="e">
        <f t="shared" ref="P26:P30" si="12">N26</f>
        <v>#DIV/0!</v>
      </c>
      <c r="Q26" s="28">
        <v>1</v>
      </c>
      <c r="R26" s="37" t="e">
        <f>N26*P25+P26*N25</f>
        <v>#DIV/0!</v>
      </c>
      <c r="S26" s="72">
        <v>1</v>
      </c>
      <c r="T26" s="135" t="e">
        <f t="shared" ref="T26:T35" si="13">(($B$33)^S26)*((1-($B$33))^(INT($C$23*2*(1-$C$31))-S26))*HLOOKUP(INT($C$23*2*(1-$C$31)),$AV$24:$BF$34,S26+1)</f>
        <v>#DIV/0!</v>
      </c>
      <c r="U26" s="93">
        <v>1</v>
      </c>
      <c r="V26" s="86" t="e">
        <f>R26*T25+T26*R25</f>
        <v>#DIV/0!</v>
      </c>
      <c r="W26" s="137"/>
      <c r="X26" s="28">
        <v>1</v>
      </c>
      <c r="Y26" s="73"/>
      <c r="Z26" s="28">
        <v>1</v>
      </c>
      <c r="AA26" s="79" t="e">
        <f>(1-((1-W25)^Z26))*V26</f>
        <v>#DIV/0!</v>
      </c>
      <c r="AB26" s="28">
        <v>1</v>
      </c>
      <c r="AC26" s="79" t="e">
        <f>((($W$25)^M26)*((1-($W$25))^($U$27-M26))*HLOOKUP($U$27,$AV$24:$BF$34,M26+1))*V27</f>
        <v>#DIV/0!</v>
      </c>
      <c r="AD26" s="28">
        <v>1</v>
      </c>
      <c r="AE26" s="79" t="e">
        <f>((($W$25)^M26)*((1-($W$25))^($U$28-M26))*HLOOKUP($U$28,$AV$24:$BF$34,M26+1))*V28</f>
        <v>#DIV/0!</v>
      </c>
      <c r="AF26" s="28">
        <v>1</v>
      </c>
      <c r="AG26" s="79" t="e">
        <f>((($W$25)^M26)*((1-($W$25))^($U$29-M26))*HLOOKUP($U$29,$AV$24:$BF$34,M26+1))*V29</f>
        <v>#DIV/0!</v>
      </c>
      <c r="AH26" s="28">
        <v>1</v>
      </c>
      <c r="AI26" s="79" t="e">
        <f>((($W$25)^M26)*((1-($W$25))^($U$30-M26))*HLOOKUP($U$30,$AV$24:$BF$34,M26+1))*V30</f>
        <v>#DIV/0!</v>
      </c>
      <c r="AJ26" s="28">
        <v>1</v>
      </c>
      <c r="AK26" s="79" t="e">
        <f>((($W$25)^M26)*((1-($W$25))^($U$31-M26))*HLOOKUP($U$31,$AV$24:$BF$34,M26+1))*V31</f>
        <v>#DIV/0!</v>
      </c>
      <c r="AL26" s="28">
        <v>1</v>
      </c>
      <c r="AM26" s="79" t="e">
        <f>((($W$25)^Q26)*((1-($W$25))^($U$32-Q26))*HLOOKUP($U$32,$AV$24:$BF$34,Q26+1))*V32</f>
        <v>#DIV/0!</v>
      </c>
      <c r="AN26" s="28">
        <v>1</v>
      </c>
      <c r="AO26" s="79" t="e">
        <f>((($W$25)^Q26)*((1-($W$25))^($U$33-Q26))*HLOOKUP($U$33,$AV$24:$BF$34,Q26+1))*V33</f>
        <v>#DIV/0!</v>
      </c>
      <c r="AP26" s="28">
        <v>1</v>
      </c>
      <c r="AQ26" s="79" t="e">
        <f>((($W$25)^Q26)*((1-($W$25))^($U$34-Q26))*HLOOKUP($U$34,$AV$24:$BF$34,Q26+1))*V34</f>
        <v>#DIV/0!</v>
      </c>
      <c r="AR26" s="28">
        <v>1</v>
      </c>
      <c r="AS26" s="79" t="e">
        <f>((($W$25)^Q26)*((1-($W$25))^($U$35-Q26))*HLOOKUP($U$35,$AV$24:$BF$34,Q26+1))*V35</f>
        <v>#DIV/0!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 t="e">
        <f t="shared" si="9"/>
        <v>#DIV/0!</v>
      </c>
      <c r="BP26">
        <f>BP20+1</f>
        <v>7</v>
      </c>
      <c r="BQ26">
        <v>2</v>
      </c>
      <c r="BR26" s="107" t="e">
        <f t="shared" si="10"/>
        <v>#DIV/0!</v>
      </c>
    </row>
    <row r="27" spans="1:70" x14ac:dyDescent="0.25">
      <c r="A27" s="26" t="s">
        <v>25</v>
      </c>
      <c r="B27" s="119" t="e">
        <f>1/(1+EXP(-3.1416*4*((B12/(B12+C7))-(3.1416/6))))</f>
        <v>#DIV/0!</v>
      </c>
      <c r="C27" s="120" t="e">
        <f>1/(1+EXP(-3.1416*4*((C12/(C12+B7))-(3.1416/6))))</f>
        <v>#DIV/0!</v>
      </c>
      <c r="D27" s="153">
        <f>D26</f>
        <v>0.25700000000000001</v>
      </c>
      <c r="E27" s="153">
        <f>E26</f>
        <v>0.25700000000000001</v>
      </c>
      <c r="G27" s="87">
        <v>2</v>
      </c>
      <c r="H27" s="128" t="e">
        <f>L25*J27+J26*L26+J25*L27</f>
        <v>#DIV/0!</v>
      </c>
      <c r="I27" s="93">
        <v>2</v>
      </c>
      <c r="J27" s="86" t="e">
        <f t="shared" si="11"/>
        <v>#DIV/0!</v>
      </c>
      <c r="K27" s="93">
        <v>2</v>
      </c>
      <c r="L27" s="86" t="e">
        <f>U21</f>
        <v>#DIV/0!</v>
      </c>
      <c r="M27" s="85">
        <v>2</v>
      </c>
      <c r="N27" s="71" t="e">
        <f>(($B$24)^M27)*((1-($B$24))^($B$21-M27))*HLOOKUP($B$21,$AV$24:$BF$34,M27+1)</f>
        <v>#DIV/0!</v>
      </c>
      <c r="O27" s="72">
        <v>2</v>
      </c>
      <c r="P27" s="71" t="e">
        <f t="shared" si="12"/>
        <v>#DIV/0!</v>
      </c>
      <c r="Q27" s="28">
        <v>2</v>
      </c>
      <c r="R27" s="37" t="e">
        <f>P25*N27+P26*N26+P27*N25</f>
        <v>#DIV/0!</v>
      </c>
      <c r="S27" s="72">
        <v>2</v>
      </c>
      <c r="T27" s="135" t="e">
        <f t="shared" si="13"/>
        <v>#DIV/0!</v>
      </c>
      <c r="U27" s="93">
        <v>2</v>
      </c>
      <c r="V27" s="86" t="e">
        <f>R27*T25+T26*R26+R25*T27</f>
        <v>#DIV/0!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 t="e">
        <f>((($W$25)^M27)*((1-($W$25))^($U$27-M27))*HLOOKUP($U$27,$AV$24:$BF$34,M27+1))*V27</f>
        <v>#DIV/0!</v>
      </c>
      <c r="AD27" s="28">
        <v>2</v>
      </c>
      <c r="AE27" s="79" t="e">
        <f>((($W$25)^M27)*((1-($W$25))^($U$28-M27))*HLOOKUP($U$28,$AV$24:$BF$34,M27+1))*V28</f>
        <v>#DIV/0!</v>
      </c>
      <c r="AF27" s="28">
        <v>2</v>
      </c>
      <c r="AG27" s="79" t="e">
        <f>((($W$25)^M27)*((1-($W$25))^($U$29-M27))*HLOOKUP($U$29,$AV$24:$BF$34,M27+1))*V29</f>
        <v>#DIV/0!</v>
      </c>
      <c r="AH27" s="28">
        <v>2</v>
      </c>
      <c r="AI27" s="79" t="e">
        <f>((($W$25)^M27)*((1-($W$25))^($U$30-M27))*HLOOKUP($U$30,$AV$24:$BF$34,M27+1))*V30</f>
        <v>#DIV/0!</v>
      </c>
      <c r="AJ27" s="28">
        <v>2</v>
      </c>
      <c r="AK27" s="79" t="e">
        <f>((($W$25)^M27)*((1-($W$25))^($U$31-M27))*HLOOKUP($U$31,$AV$24:$BF$34,M27+1))*V31</f>
        <v>#DIV/0!</v>
      </c>
      <c r="AL27" s="28">
        <v>2</v>
      </c>
      <c r="AM27" s="79" t="e">
        <f>((($W$25)^Q27)*((1-($W$25))^($U$32-Q27))*HLOOKUP($U$32,$AV$24:$BF$34,Q27+1))*V32</f>
        <v>#DIV/0!</v>
      </c>
      <c r="AN27" s="28">
        <v>2</v>
      </c>
      <c r="AO27" s="79" t="e">
        <f>((($W$25)^Q27)*((1-($W$25))^($U$33-Q27))*HLOOKUP($U$33,$AV$24:$BF$34,Q27+1))*V33</f>
        <v>#DIV/0!</v>
      </c>
      <c r="AP27" s="28">
        <v>2</v>
      </c>
      <c r="AQ27" s="79" t="e">
        <f>((($W$25)^Q27)*((1-($W$25))^($U$34-Q27))*HLOOKUP($U$34,$AV$24:$BF$34,Q27+1))*V34</f>
        <v>#DIV/0!</v>
      </c>
      <c r="AR27" s="28">
        <v>2</v>
      </c>
      <c r="AS27" s="79" t="e">
        <f>((($W$25)^Q27)*((1-($W$25))^($U$35-Q27))*HLOOKUP($U$35,$AV$24:$BF$34,Q27+1))*V35</f>
        <v>#DIV/0!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 t="e">
        <f t="shared" si="9"/>
        <v>#DIV/0!</v>
      </c>
      <c r="BP27">
        <f>BP21+1</f>
        <v>7</v>
      </c>
      <c r="BQ27">
        <v>3</v>
      </c>
      <c r="BR27" s="107" t="e">
        <f t="shared" si="10"/>
        <v>#DIV/0!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 t="e">
        <f>J28*L25+J27*L26+L28*J25+L27*J26</f>
        <v>#DIV/0!</v>
      </c>
      <c r="I28" s="93">
        <v>3</v>
      </c>
      <c r="J28" s="86" t="e">
        <f t="shared" si="11"/>
        <v>#DIV/0!</v>
      </c>
      <c r="K28" s="93">
        <v>3</v>
      </c>
      <c r="L28" s="86" t="e">
        <f>V21</f>
        <v>#DIV/0!</v>
      </c>
      <c r="M28" s="85">
        <v>3</v>
      </c>
      <c r="N28" s="71" t="e">
        <f>(($B$24)^M28)*((1-($B$24))^($B$21-M28))*HLOOKUP($B$21,$AV$24:$BF$34,M28+1)</f>
        <v>#DIV/0!</v>
      </c>
      <c r="O28" s="72">
        <v>3</v>
      </c>
      <c r="P28" s="71" t="e">
        <f t="shared" si="12"/>
        <v>#DIV/0!</v>
      </c>
      <c r="Q28" s="28">
        <v>3</v>
      </c>
      <c r="R28" s="37" t="e">
        <f>P25*N28+P26*N27+P27*N26+P28*N25</f>
        <v>#DIV/0!</v>
      </c>
      <c r="S28" s="72">
        <v>3</v>
      </c>
      <c r="T28" s="135" t="e">
        <f t="shared" si="13"/>
        <v>#DIV/0!</v>
      </c>
      <c r="U28" s="93">
        <v>3</v>
      </c>
      <c r="V28" s="86" t="e">
        <f>R28*T25+R27*T26+R26*T27+R25*T28</f>
        <v>#DIV/0!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 t="e">
        <f>((($W$25)^M28)*((1-($W$25))^($U$28-M28))*HLOOKUP($U$28,$AV$24:$BF$34,M28+1))*V28</f>
        <v>#DIV/0!</v>
      </c>
      <c r="AF28" s="28">
        <v>3</v>
      </c>
      <c r="AG28" s="79" t="e">
        <f>((($W$25)^M28)*((1-($W$25))^($U$29-M28))*HLOOKUP($U$29,$AV$24:$BF$34,M28+1))*V29</f>
        <v>#DIV/0!</v>
      </c>
      <c r="AH28" s="28">
        <v>3</v>
      </c>
      <c r="AI28" s="79" t="e">
        <f>((($W$25)^M28)*((1-($W$25))^($U$30-M28))*HLOOKUP($U$30,$AV$24:$BF$34,M28+1))*V30</f>
        <v>#DIV/0!</v>
      </c>
      <c r="AJ28" s="28">
        <v>3</v>
      </c>
      <c r="AK28" s="79" t="e">
        <f>((($W$25)^M28)*((1-($W$25))^($U$31-M28))*HLOOKUP($U$31,$AV$24:$BF$34,M28+1))*V31</f>
        <v>#DIV/0!</v>
      </c>
      <c r="AL28" s="28">
        <v>3</v>
      </c>
      <c r="AM28" s="79" t="e">
        <f>((($W$25)^Q28)*((1-($W$25))^($U$32-Q28))*HLOOKUP($U$32,$AV$24:$BF$34,Q28+1))*V32</f>
        <v>#DIV/0!</v>
      </c>
      <c r="AN28" s="28">
        <v>3</v>
      </c>
      <c r="AO28" s="79" t="e">
        <f>((($W$25)^Q28)*((1-($W$25))^($U$33-Q28))*HLOOKUP($U$33,$AV$24:$BF$34,Q28+1))*V33</f>
        <v>#DIV/0!</v>
      </c>
      <c r="AP28" s="28">
        <v>3</v>
      </c>
      <c r="AQ28" s="79" t="e">
        <f>((($W$25)^Q28)*((1-($W$25))^($U$34-Q28))*HLOOKUP($U$34,$AV$24:$BF$34,Q28+1))*V34</f>
        <v>#DIV/0!</v>
      </c>
      <c r="AR28" s="28">
        <v>3</v>
      </c>
      <c r="AS28" s="79" t="e">
        <f>((($W$25)^Q28)*((1-($W$25))^($U$35-Q28))*HLOOKUP($U$35,$AV$24:$BF$34,Q28+1))*V35</f>
        <v>#DIV/0!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8"/>
        <v>2</v>
      </c>
      <c r="BI28">
        <v>8</v>
      </c>
      <c r="BJ28" s="107" t="e">
        <f t="shared" si="9"/>
        <v>#DIV/0!</v>
      </c>
      <c r="BP28">
        <f>BP22+1</f>
        <v>7</v>
      </c>
      <c r="BQ28">
        <v>4</v>
      </c>
      <c r="BR28" s="107" t="e">
        <f t="shared" si="10"/>
        <v>#DIV/0!</v>
      </c>
    </row>
    <row r="29" spans="1:70" x14ac:dyDescent="0.25">
      <c r="A29" s="26" t="s">
        <v>27</v>
      </c>
      <c r="B29" s="123">
        <f>1/(1+EXP(-3.1416*4*((B14/(B14+C13))-(3.1416/6))))</f>
        <v>0.22523141403777475</v>
      </c>
      <c r="C29" s="118">
        <f>1/(1+EXP(-3.1416*4*((C14/(C14+B13))-(3.1416/6))))</f>
        <v>0.35989489168508015</v>
      </c>
      <c r="D29" s="153">
        <v>0.04</v>
      </c>
      <c r="E29" s="153">
        <v>0.04</v>
      </c>
      <c r="G29" s="87">
        <v>4</v>
      </c>
      <c r="H29" s="128" t="e">
        <f>J29*L25+J28*L26+J27*L27+J26*L28</f>
        <v>#DIV/0!</v>
      </c>
      <c r="I29" s="93">
        <v>4</v>
      </c>
      <c r="J29" s="86" t="e">
        <f t="shared" si="11"/>
        <v>#DIV/0!</v>
      </c>
      <c r="K29" s="93">
        <v>4</v>
      </c>
      <c r="L29" s="86"/>
      <c r="M29" s="85">
        <v>4</v>
      </c>
      <c r="N29" s="71" t="e">
        <f>(($B$24)^M29)*((1-($B$24))^($B$21-M29))*HLOOKUP($B$21,$AV$24:$BF$34,M29+1)</f>
        <v>#DIV/0!</v>
      </c>
      <c r="O29" s="72">
        <v>4</v>
      </c>
      <c r="P29" s="71" t="e">
        <f t="shared" si="12"/>
        <v>#DIV/0!</v>
      </c>
      <c r="Q29" s="28">
        <v>4</v>
      </c>
      <c r="R29" s="37" t="e">
        <f>P25*N29+P26*N28+P27*N27+P28*N26+P29*N25</f>
        <v>#DIV/0!</v>
      </c>
      <c r="S29" s="72">
        <v>4</v>
      </c>
      <c r="T29" s="135" t="e">
        <f t="shared" si="13"/>
        <v>#DIV/0!</v>
      </c>
      <c r="U29" s="93">
        <v>4</v>
      </c>
      <c r="V29" s="86" t="e">
        <f>T29*R25+T28*R26+T27*R27+T26*R28+T25*R29</f>
        <v>#DIV/0!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 t="e">
        <f>((($W$25)^M29)*((1-($W$25))^($U$29-M29))*HLOOKUP($U$29,$AV$24:$BF$34,M29+1))*V29</f>
        <v>#DIV/0!</v>
      </c>
      <c r="AH29" s="28">
        <v>4</v>
      </c>
      <c r="AI29" s="79" t="e">
        <f>((($W$25)^M29)*((1-($W$25))^($U$30-M29))*HLOOKUP($U$30,$AV$24:$BF$34,M29+1))*V30</f>
        <v>#DIV/0!</v>
      </c>
      <c r="AJ29" s="28">
        <v>4</v>
      </c>
      <c r="AK29" s="79" t="e">
        <f>((($W$25)^M29)*((1-($W$25))^($U$31-M29))*HLOOKUP($U$31,$AV$24:$BF$34,M29+1))*V31</f>
        <v>#DIV/0!</v>
      </c>
      <c r="AL29" s="28">
        <v>4</v>
      </c>
      <c r="AM29" s="79" t="e">
        <f>((($W$25)^Q29)*((1-($W$25))^($U$32-Q29))*HLOOKUP($U$32,$AV$24:$BF$34,Q29+1))*V32</f>
        <v>#DIV/0!</v>
      </c>
      <c r="AN29" s="28">
        <v>4</v>
      </c>
      <c r="AO29" s="79" t="e">
        <f>((($W$25)^Q29)*((1-($W$25))^($U$33-Q29))*HLOOKUP($U$33,$AV$24:$BF$34,Q29+1))*V33</f>
        <v>#DIV/0!</v>
      </c>
      <c r="AP29" s="28">
        <v>4</v>
      </c>
      <c r="AQ29" s="79" t="e">
        <f>((($W$25)^Q29)*((1-($W$25))^($U$34-Q29))*HLOOKUP($U$34,$AV$24:$BF$34,Q29+1))*V34</f>
        <v>#DIV/0!</v>
      </c>
      <c r="AR29" s="28">
        <v>4</v>
      </c>
      <c r="AS29" s="79" t="e">
        <f>((($W$25)^Q29)*((1-($W$25))^($U$35-Q29))*HLOOKUP($U$35,$AV$24:$BF$34,Q29+1))*V35</f>
        <v>#DIV/0!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4">BE28+BE29</f>
        <v>252</v>
      </c>
      <c r="BH29">
        <f t="shared" si="8"/>
        <v>2</v>
      </c>
      <c r="BI29">
        <v>9</v>
      </c>
      <c r="BJ29" s="107" t="e">
        <f t="shared" si="9"/>
        <v>#DIV/0!</v>
      </c>
      <c r="BP29">
        <f>BP23+1</f>
        <v>7</v>
      </c>
      <c r="BQ29">
        <v>5</v>
      </c>
      <c r="BR29" s="107" t="e">
        <f t="shared" si="10"/>
        <v>#DIV/0!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 t="e">
        <f>J30*L25+J29*L26+J28*L27+J27*L28</f>
        <v>#DIV/0!</v>
      </c>
      <c r="I30" s="93">
        <v>5</v>
      </c>
      <c r="J30" s="86" t="e">
        <f t="shared" si="11"/>
        <v>#DIV/0!</v>
      </c>
      <c r="K30" s="93">
        <v>5</v>
      </c>
      <c r="L30" s="86"/>
      <c r="M30" s="85">
        <v>5</v>
      </c>
      <c r="N30" s="71" t="e">
        <f>(($B$24)^M30)*((1-($B$24))^($B$21-M30))*HLOOKUP($B$21,$AV$24:$BF$34,M30+1)</f>
        <v>#DIV/0!</v>
      </c>
      <c r="O30" s="72">
        <v>5</v>
      </c>
      <c r="P30" s="71" t="e">
        <f t="shared" si="12"/>
        <v>#DIV/0!</v>
      </c>
      <c r="Q30" s="28">
        <v>5</v>
      </c>
      <c r="R30" s="37" t="e">
        <f>P25*N30+P26*N29+P27*N28+P28*N27+P29*N26+P30*N25</f>
        <v>#DIV/0!</v>
      </c>
      <c r="S30" s="72">
        <v>5</v>
      </c>
      <c r="T30" s="135" t="e">
        <f t="shared" si="13"/>
        <v>#DIV/0!</v>
      </c>
      <c r="U30" s="93">
        <v>5</v>
      </c>
      <c r="V30" s="86" t="e">
        <f>T30*R25+T29*R26+T28*R27+T27*R28+T26*R29+T25*R30</f>
        <v>#DIV/0!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 t="e">
        <f>((($W$25)^M30)*((1-($W$25))^($U$30-M30))*HLOOKUP($U$30,$AV$24:$BF$34,M30+1))*V30</f>
        <v>#DIV/0!</v>
      </c>
      <c r="AJ30" s="28">
        <v>5</v>
      </c>
      <c r="AK30" s="79" t="e">
        <f>((($W$25)^M30)*((1-($W$25))^($U$31-M30))*HLOOKUP($U$31,$AV$24:$BF$34,M30+1))*V31</f>
        <v>#DIV/0!</v>
      </c>
      <c r="AL30" s="28">
        <v>5</v>
      </c>
      <c r="AM30" s="79" t="e">
        <f>((($W$25)^Q30)*((1-($W$25))^($U$32-Q30))*HLOOKUP($U$32,$AV$24:$BF$34,Q30+1))*V32</f>
        <v>#DIV/0!</v>
      </c>
      <c r="AN30" s="28">
        <v>5</v>
      </c>
      <c r="AO30" s="79" t="e">
        <f>((($W$25)^Q30)*((1-($W$25))^($U$33-Q30))*HLOOKUP($U$33,$AV$24:$BF$34,Q30+1))*V33</f>
        <v>#DIV/0!</v>
      </c>
      <c r="AP30" s="28">
        <v>5</v>
      </c>
      <c r="AQ30" s="79" t="e">
        <f>((($W$25)^Q30)*((1-($W$25))^($U$34-Q30))*HLOOKUP($U$34,$AV$24:$BF$34,Q30+1))*V34</f>
        <v>#DIV/0!</v>
      </c>
      <c r="AR30" s="28">
        <v>5</v>
      </c>
      <c r="AS30" s="79" t="e">
        <f>((($W$25)^Q30)*((1-($W$25))^($U$35-Q30))*HLOOKUP($U$35,$AV$24:$BF$34,Q30+1))*V35</f>
        <v>#DIV/0!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 t="e">
        <f t="shared" si="9"/>
        <v>#DIV/0!</v>
      </c>
      <c r="BP30">
        <f>BL10+1</f>
        <v>7</v>
      </c>
      <c r="BQ30">
        <v>6</v>
      </c>
      <c r="BR30" s="107" t="e">
        <f t="shared" si="10"/>
        <v>#DIV/0!</v>
      </c>
    </row>
    <row r="31" spans="1:70" x14ac:dyDescent="0.25">
      <c r="A31" s="189" t="s">
        <v>68</v>
      </c>
      <c r="B31" s="60" t="e">
        <f>(B25*D25)+(B26*D26)+(B27*D27)+(B28*D28)+(B29*D29)+(B30*D30)/(B25+B26+B27+B28+B29+B30)</f>
        <v>#DIV/0!</v>
      </c>
      <c r="C31" s="61" t="e">
        <f>(C25*E25)+(C26*E26)+(C27*E27)+(C28*E28)+(C29*E29)+(C30*E30)/(C25+C26+C27+C28+C29+C30)</f>
        <v>#DIV/0!</v>
      </c>
      <c r="G31" s="87">
        <v>6</v>
      </c>
      <c r="H31" s="128" t="e">
        <f>J31*L25+J30*L26+J29*L27+J28*L28</f>
        <v>#DIV/0!</v>
      </c>
      <c r="I31" s="93">
        <v>6</v>
      </c>
      <c r="J31" s="86" t="e">
        <f t="shared" si="11"/>
        <v>#DIV/0!</v>
      </c>
      <c r="K31" s="93">
        <v>6</v>
      </c>
      <c r="L31" s="86"/>
      <c r="M31" s="85"/>
      <c r="N31" s="73"/>
      <c r="O31" s="37"/>
      <c r="P31" s="37"/>
      <c r="Q31" s="28">
        <v>6</v>
      </c>
      <c r="R31" s="37" t="e">
        <f>P26*N30+P27*N29+P28*N28+P29*N27+P30*N26</f>
        <v>#DIV/0!</v>
      </c>
      <c r="S31" s="70">
        <v>6</v>
      </c>
      <c r="T31" s="135" t="e">
        <f t="shared" si="13"/>
        <v>#DIV/0!</v>
      </c>
      <c r="U31" s="93">
        <v>6</v>
      </c>
      <c r="V31" s="86" t="e">
        <f>T31*R25+T30*R26+T29*R27+T28*R28+T27*R29+T26*R30+T25*R31</f>
        <v>#DIV/0!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 t="e">
        <f>((($W$25)^Q31)*((1-($W$25))^($U$31-Q31))*HLOOKUP($U$31,$AV$24:$BF$34,Q31+1))*V31</f>
        <v>#DIV/0!</v>
      </c>
      <c r="AL31" s="28">
        <v>6</v>
      </c>
      <c r="AM31" s="79" t="e">
        <f>((($W$25)^Q31)*((1-($W$25))^($U$32-Q31))*HLOOKUP($U$32,$AV$24:$BF$34,Q31+1))*V32</f>
        <v>#DIV/0!</v>
      </c>
      <c r="AN31" s="28">
        <v>6</v>
      </c>
      <c r="AO31" s="79" t="e">
        <f>((($W$25)^Q31)*((1-($W$25))^($U$33-Q31))*HLOOKUP($U$33,$AV$24:$BF$34,Q31+1))*V33</f>
        <v>#DIV/0!</v>
      </c>
      <c r="AP31" s="28">
        <v>6</v>
      </c>
      <c r="AQ31" s="79" t="e">
        <f>((($W$25)^Q31)*((1-($W$25))^($U$34-Q31))*HLOOKUP($U$34,$AV$24:$BF$34,Q31+1))*V34</f>
        <v>#DIV/0!</v>
      </c>
      <c r="AR31" s="28">
        <v>6</v>
      </c>
      <c r="AS31" s="79" t="e">
        <f>((($W$25)^Q31)*((1-($W$25))^($U$35-Q31))*HLOOKUP($U$35,$AV$24:$BF$34,Q31+1))*V35</f>
        <v>#DIV/0!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 t="e">
        <f t="shared" ref="BJ31:BJ37" si="16">$H$28*H43</f>
        <v>#DIV/0!</v>
      </c>
      <c r="BP31">
        <f t="shared" ref="BP31:BP37" si="17">BP24+1</f>
        <v>8</v>
      </c>
      <c r="BQ31">
        <v>0</v>
      </c>
      <c r="BR31" s="107" t="e">
        <f t="shared" ref="BR31:BR38" si="18">$H$33*H39</f>
        <v>#DIV/0!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 t="e">
        <f>J32*L25+J31*L26+J30*L27+J29*L28</f>
        <v>#DIV/0!</v>
      </c>
      <c r="I32" s="93">
        <v>7</v>
      </c>
      <c r="J32" s="86" t="e">
        <f t="shared" si="11"/>
        <v>#DIV/0!</v>
      </c>
      <c r="K32" s="93">
        <v>7</v>
      </c>
      <c r="L32" s="86"/>
      <c r="M32" s="85"/>
      <c r="N32" s="73"/>
      <c r="O32" s="37"/>
      <c r="P32" s="37"/>
      <c r="Q32" s="28">
        <v>7</v>
      </c>
      <c r="R32" s="37" t="e">
        <f>P27*N30+P28*N29+P29*N28+P30*N27</f>
        <v>#DIV/0!</v>
      </c>
      <c r="S32" s="72">
        <v>7</v>
      </c>
      <c r="T32" s="135" t="e">
        <f t="shared" si="13"/>
        <v>#DIV/0!</v>
      </c>
      <c r="U32" s="93">
        <v>7</v>
      </c>
      <c r="V32" s="86" t="e">
        <f>T32*R25+T31*R26+T30*R27+T29*R28+T28*R29+T27*R30+T26*R31+T25*R32</f>
        <v>#DIV/0!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 t="e">
        <f>((($W$25)^Q32)*((1-($W$25))^($U$32-Q32))*HLOOKUP($U$32,$AV$24:$BF$34,Q32+1))*V32</f>
        <v>#DIV/0!</v>
      </c>
      <c r="AN32" s="28">
        <v>7</v>
      </c>
      <c r="AO32" s="79" t="e">
        <f>((($W$25)^Q32)*((1-($W$25))^($U$33-Q32))*HLOOKUP($U$33,$AV$24:$BF$34,Q32+1))*V33</f>
        <v>#DIV/0!</v>
      </c>
      <c r="AP32" s="28">
        <v>7</v>
      </c>
      <c r="AQ32" s="79" t="e">
        <f>((($W$25)^Q32)*((1-($W$25))^($U$34-Q32))*HLOOKUP($U$34,$AV$24:$BF$34,Q32+1))*V34</f>
        <v>#DIV/0!</v>
      </c>
      <c r="AR32" s="28">
        <v>7</v>
      </c>
      <c r="AS32" s="79" t="e">
        <f>((($W$25)^Q32)*((1-($W$25))^($U$35-Q32))*HLOOKUP($U$35,$AV$24:$BF$34,Q32+1))*V35</f>
        <v>#DIV/0!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 t="e">
        <f t="shared" si="16"/>
        <v>#DIV/0!</v>
      </c>
      <c r="BP32">
        <f t="shared" si="17"/>
        <v>8</v>
      </c>
      <c r="BQ32">
        <v>1</v>
      </c>
      <c r="BR32" s="107" t="e">
        <f t="shared" si="18"/>
        <v>#DIV/0!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 t="e">
        <f>J33*L25+J32*L26+J31*L27+J30*L28</f>
        <v>#DIV/0!</v>
      </c>
      <c r="I33" s="93">
        <v>8</v>
      </c>
      <c r="J33" s="86" t="e">
        <f t="shared" si="11"/>
        <v>#DIV/0!</v>
      </c>
      <c r="K33" s="93">
        <v>8</v>
      </c>
      <c r="L33" s="86"/>
      <c r="M33" s="85"/>
      <c r="N33" s="73"/>
      <c r="O33" s="37"/>
      <c r="P33" s="37"/>
      <c r="Q33" s="28">
        <v>8</v>
      </c>
      <c r="R33" s="37" t="e">
        <f>P28*N30+P29*N29+P30*N28</f>
        <v>#DIV/0!</v>
      </c>
      <c r="S33" s="72">
        <v>8</v>
      </c>
      <c r="T33" s="135" t="e">
        <f t="shared" si="13"/>
        <v>#DIV/0!</v>
      </c>
      <c r="U33" s="93">
        <v>8</v>
      </c>
      <c r="V33" s="86" t="e">
        <f>T33*R25+T32*R26+T31*R27+T30*R28+T29*R29+T28*R30+T27*R31+T26*R32+T25*R33</f>
        <v>#DIV/0!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 t="e">
        <f>((($W$25)^Q33)*((1-($W$25))^($U$33-Q33))*HLOOKUP($U$33,$AV$24:$BF$34,Q33+1))*V33</f>
        <v>#DIV/0!</v>
      </c>
      <c r="AP33" s="28">
        <v>8</v>
      </c>
      <c r="AQ33" s="79" t="e">
        <f>((($W$25)^Q33)*((1-($W$25))^($U$34-Q33))*HLOOKUP($U$34,$AV$24:$BF$34,Q33+1))*V34</f>
        <v>#DIV/0!</v>
      </c>
      <c r="AR33" s="28">
        <v>8</v>
      </c>
      <c r="AS33" s="79" t="e">
        <f>((($W$25)^Q33)*((1-($W$25))^($U$35-Q33))*HLOOKUP($U$35,$AV$24:$BF$34,Q33+1))*V35</f>
        <v>#DIV/0!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 t="e">
        <f t="shared" si="16"/>
        <v>#DIV/0!</v>
      </c>
      <c r="BP33">
        <f t="shared" si="17"/>
        <v>8</v>
      </c>
      <c r="BQ33">
        <v>2</v>
      </c>
      <c r="BR33" s="107" t="e">
        <f t="shared" si="18"/>
        <v>#DIV/0!</v>
      </c>
    </row>
    <row r="34" spans="1:70" x14ac:dyDescent="0.25">
      <c r="A34" s="40" t="s">
        <v>86</v>
      </c>
      <c r="B34" s="56" t="e">
        <f>B23*2</f>
        <v>#DIV/0!</v>
      </c>
      <c r="C34" s="57" t="e">
        <f>C23*2</f>
        <v>#DIV/0!</v>
      </c>
      <c r="G34" s="87">
        <v>9</v>
      </c>
      <c r="H34" s="128" t="e">
        <f>J34*L25+J33*L26+J32*L27+J31*L28</f>
        <v>#DIV/0!</v>
      </c>
      <c r="I34" s="93">
        <v>9</v>
      </c>
      <c r="J34" s="86" t="e">
        <f t="shared" si="11"/>
        <v>#DIV/0!</v>
      </c>
      <c r="K34" s="93">
        <v>9</v>
      </c>
      <c r="L34" s="86"/>
      <c r="M34" s="85"/>
      <c r="N34" s="73"/>
      <c r="O34" s="37"/>
      <c r="P34" s="37"/>
      <c r="Q34" s="28">
        <v>9</v>
      </c>
      <c r="R34" s="37" t="e">
        <f>P29*N30+P30*N29</f>
        <v>#DIV/0!</v>
      </c>
      <c r="S34" s="72">
        <v>9</v>
      </c>
      <c r="T34" s="135" t="e">
        <f t="shared" si="13"/>
        <v>#DIV/0!</v>
      </c>
      <c r="U34" s="93">
        <v>9</v>
      </c>
      <c r="V34" s="86" t="e">
        <f>T34*R25+T33*R26+T32*R27+T31*R28+T30*R29+T29*R30+T28*R31+T27*R32+T26*R33+T25*R34</f>
        <v>#DIV/0!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 t="e">
        <f>((($W$25)^Q34)*((1-($W$25))^($U$34-Q34))*HLOOKUP($U$34,$AV$24:$BF$34,Q34+1))*V34</f>
        <v>#DIV/0!</v>
      </c>
      <c r="AR34" s="28">
        <v>9</v>
      </c>
      <c r="AS34" s="79" t="e">
        <f>((($W$25)^Q34)*((1-($W$25))^($U$35-Q34))*HLOOKUP($U$35,$AV$24:$BF$34,Q34+1))*V35</f>
        <v>#DIV/0!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 t="e">
        <f t="shared" si="16"/>
        <v>#DIV/0!</v>
      </c>
      <c r="BP34">
        <f t="shared" si="17"/>
        <v>8</v>
      </c>
      <c r="BQ34">
        <v>3</v>
      </c>
      <c r="BR34" s="107" t="e">
        <f t="shared" si="18"/>
        <v>#DIV/0!</v>
      </c>
    </row>
    <row r="35" spans="1:70" ht="15.75" thickBot="1" x14ac:dyDescent="0.3">
      <c r="G35" s="88">
        <v>10</v>
      </c>
      <c r="H35" s="129" t="e">
        <f>J35*L25+J34*L26+J33*L27+J32*L28</f>
        <v>#DIV/0!</v>
      </c>
      <c r="I35" s="94">
        <v>10</v>
      </c>
      <c r="J35" s="89" t="e">
        <f t="shared" si="11"/>
        <v>#DIV/0!</v>
      </c>
      <c r="K35" s="94">
        <v>10</v>
      </c>
      <c r="L35" s="89"/>
      <c r="M35" s="85"/>
      <c r="N35" s="73"/>
      <c r="O35" s="37"/>
      <c r="P35" s="37"/>
      <c r="Q35" s="28">
        <v>10</v>
      </c>
      <c r="R35" s="37" t="e">
        <f>P30*N30</f>
        <v>#DIV/0!</v>
      </c>
      <c r="S35" s="72">
        <v>10</v>
      </c>
      <c r="T35" s="135" t="e">
        <f t="shared" si="13"/>
        <v>#DIV/0!</v>
      </c>
      <c r="U35" s="94">
        <v>10</v>
      </c>
      <c r="V35" s="89" t="e">
        <f>IF(((T35*R25+T34*R26+T33*R27+T32*R28+T31*R29+T30*R30+T29*R31+T28*R32+T27*R33+T26*R34+T25*R35)+V23)&lt;&gt;1,1-V23,(T35*R25+T34*R26+T33*R27+T32*R28+T31*R29+T30*R30+T29*R31+T28*R32+T27*R33+T26*R34+T25*R35))</f>
        <v>#DIV/0!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 t="e">
        <f>((($W$25)^Q35)*((1-($W$25))^($U$35-Q35))*HLOOKUP($U$35,$AV$24:$BF$34,Q35+1))*V35</f>
        <v>#DIV/0!</v>
      </c>
      <c r="BH35">
        <f t="shared" si="15"/>
        <v>3</v>
      </c>
      <c r="BI35">
        <v>8</v>
      </c>
      <c r="BJ35" s="107" t="e">
        <f t="shared" si="16"/>
        <v>#DIV/0!</v>
      </c>
      <c r="BP35">
        <f t="shared" si="17"/>
        <v>8</v>
      </c>
      <c r="BQ35">
        <v>4</v>
      </c>
      <c r="BR35" s="107" t="e">
        <f t="shared" si="18"/>
        <v>#DIV/0!</v>
      </c>
    </row>
    <row r="36" spans="1:70" x14ac:dyDescent="0.25">
      <c r="A36" s="1"/>
      <c r="B36" s="108" t="e">
        <f>SUM(B37:B39)</f>
        <v>#DIV/0!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 t="e">
        <f>SUM(V39:V49)</f>
        <v>#DIV/0!</v>
      </c>
      <c r="W36" s="13"/>
      <c r="X36" s="13"/>
      <c r="AS36" s="82" t="e">
        <f>Y37+AA37+AC37+AE37+AG37+AI37+AK37+AM37+AO37+AQ37+AS37</f>
        <v>#DIV/0!</v>
      </c>
      <c r="BH36">
        <f t="shared" si="15"/>
        <v>3</v>
      </c>
      <c r="BI36">
        <v>9</v>
      </c>
      <c r="BJ36" s="107" t="e">
        <f t="shared" si="16"/>
        <v>#DIV/0!</v>
      </c>
      <c r="BP36">
        <f t="shared" si="17"/>
        <v>8</v>
      </c>
      <c r="BQ36">
        <v>5</v>
      </c>
      <c r="BR36" s="107" t="e">
        <f t="shared" si="18"/>
        <v>#DIV/0!</v>
      </c>
    </row>
    <row r="37" spans="1:70" ht="15.75" thickBot="1" x14ac:dyDescent="0.3">
      <c r="A37" s="109" t="s">
        <v>104</v>
      </c>
      <c r="B37" s="107" t="e">
        <f>SUM(BN4:BN14)</f>
        <v>#DIV/0!</v>
      </c>
      <c r="G37" s="13"/>
      <c r="H37" s="59" t="e">
        <f>SUM(H39:H49)</f>
        <v>#DIV/0!</v>
      </c>
      <c r="I37" s="13"/>
      <c r="J37" s="59" t="e">
        <f>SUM(J39:J49)</f>
        <v>#DIV/0!</v>
      </c>
      <c r="K37" s="59"/>
      <c r="L37" s="59" t="e">
        <f>SUM(L39:L49)</f>
        <v>#DIV/0!</v>
      </c>
      <c r="M37" s="13"/>
      <c r="N37" s="74" t="e">
        <f>SUM(N39:N49)</f>
        <v>#DIV/0!</v>
      </c>
      <c r="O37" s="13"/>
      <c r="P37" s="74" t="e">
        <f>SUM(P39:P49)</f>
        <v>#DIV/0!</v>
      </c>
      <c r="Q37" s="13"/>
      <c r="R37" s="59" t="e">
        <f>SUM(R39:R49)</f>
        <v>#DIV/0!</v>
      </c>
      <c r="S37" s="13"/>
      <c r="T37" s="59" t="e">
        <f>SUM(T39:T49)</f>
        <v>#DIV/0!</v>
      </c>
      <c r="U37" s="13"/>
      <c r="V37" s="59" t="e">
        <f>SUM(V39:V48)</f>
        <v>#DIV/0!</v>
      </c>
      <c r="W37" s="13"/>
      <c r="X37" s="13"/>
      <c r="Y37" s="80" t="e">
        <f>SUM(Y39:Y49)</f>
        <v>#DIV/0!</v>
      </c>
      <c r="Z37" s="81"/>
      <c r="AA37" s="80" t="e">
        <f>SUM(AA39:AA49)</f>
        <v>#DIV/0!</v>
      </c>
      <c r="AB37" s="81"/>
      <c r="AC37" s="80" t="e">
        <f>SUM(AC39:AC49)</f>
        <v>#DIV/0!</v>
      </c>
      <c r="AD37" s="81"/>
      <c r="AE37" s="80" t="e">
        <f>SUM(AE39:AE49)</f>
        <v>#DIV/0!</v>
      </c>
      <c r="AF37" s="81"/>
      <c r="AG37" s="80" t="e">
        <f>SUM(AG39:AG49)</f>
        <v>#DIV/0!</v>
      </c>
      <c r="AH37" s="81"/>
      <c r="AI37" s="80" t="e">
        <f>SUM(AI39:AI49)</f>
        <v>#DIV/0!</v>
      </c>
      <c r="AJ37" s="81"/>
      <c r="AK37" s="80" t="e">
        <f>SUM(AK39:AK49)</f>
        <v>#DIV/0!</v>
      </c>
      <c r="AL37" s="81"/>
      <c r="AM37" s="80" t="e">
        <f>SUM(AM39:AM49)</f>
        <v>#DIV/0!</v>
      </c>
      <c r="AN37" s="81"/>
      <c r="AO37" s="80" t="e">
        <f>SUM(AO39:AO49)</f>
        <v>#DIV/0!</v>
      </c>
      <c r="AP37" s="81"/>
      <c r="AQ37" s="80" t="e">
        <f>SUM(AQ39:AQ49)</f>
        <v>#DIV/0!</v>
      </c>
      <c r="AR37" s="81"/>
      <c r="AS37" s="80" t="e">
        <f>SUM(AS39:AS49)</f>
        <v>#DIV/0!</v>
      </c>
      <c r="BH37">
        <f t="shared" si="15"/>
        <v>3</v>
      </c>
      <c r="BI37">
        <v>10</v>
      </c>
      <c r="BJ37" s="107" t="e">
        <f t="shared" si="16"/>
        <v>#DIV/0!</v>
      </c>
      <c r="BP37">
        <f t="shared" si="17"/>
        <v>8</v>
      </c>
      <c r="BQ37">
        <v>6</v>
      </c>
      <c r="BR37" s="107" t="e">
        <f t="shared" si="18"/>
        <v>#DIV/0!</v>
      </c>
    </row>
    <row r="38" spans="1:70" ht="15.75" thickBot="1" x14ac:dyDescent="0.3">
      <c r="A38" s="110" t="s">
        <v>105</v>
      </c>
      <c r="B38" s="107" t="e">
        <f>SUM(BJ4:BJ59)</f>
        <v>#DIV/0!</v>
      </c>
      <c r="G38" s="103" t="str">
        <f t="shared" ref="G38:T38" si="19">G24</f>
        <v>G</v>
      </c>
      <c r="H38" s="104" t="str">
        <f t="shared" si="19"/>
        <v>p</v>
      </c>
      <c r="I38" s="103" t="str">
        <f t="shared" si="19"/>
        <v>GT</v>
      </c>
      <c r="J38" s="105" t="str">
        <f t="shared" si="19"/>
        <v>p(x)</v>
      </c>
      <c r="K38" s="106" t="str">
        <f t="shared" si="19"/>
        <v>EE(x)</v>
      </c>
      <c r="L38" s="105" t="str">
        <f t="shared" si="19"/>
        <v>p</v>
      </c>
      <c r="M38" s="90" t="str">
        <f t="shared" si="19"/>
        <v>OcaS</v>
      </c>
      <c r="N38" s="30" t="str">
        <f t="shared" si="19"/>
        <v>P</v>
      </c>
      <c r="O38" s="30" t="str">
        <f t="shared" si="19"/>
        <v>O_CA</v>
      </c>
      <c r="P38" s="30" t="str">
        <f t="shared" si="19"/>
        <v>p</v>
      </c>
      <c r="Q38" s="30" t="str">
        <f t="shared" si="19"/>
        <v>TotalN</v>
      </c>
      <c r="R38" s="30" t="str">
        <f t="shared" si="19"/>
        <v>p</v>
      </c>
      <c r="S38" s="30" t="str">
        <f t="shared" si="19"/>
        <v>OcaCA</v>
      </c>
      <c r="T38" s="141" t="str">
        <f t="shared" si="19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0">X24</f>
        <v>G0</v>
      </c>
      <c r="Y38" s="30" t="str">
        <f>Y24</f>
        <v>p</v>
      </c>
      <c r="Z38" s="30" t="str">
        <f t="shared" ref="Z38" si="21">Z24</f>
        <v>G1</v>
      </c>
      <c r="AA38" s="30" t="str">
        <f>AA24</f>
        <v>p</v>
      </c>
      <c r="AB38" s="30" t="str">
        <f t="shared" ref="AB38" si="22">AB24</f>
        <v>G2</v>
      </c>
      <c r="AC38" s="30" t="str">
        <f>AC24</f>
        <v>p</v>
      </c>
      <c r="AD38" s="30" t="str">
        <f t="shared" ref="AD38" si="23">AD24</f>
        <v>G3</v>
      </c>
      <c r="AE38" s="30" t="str">
        <f>AE24</f>
        <v>p</v>
      </c>
      <c r="AF38" s="30" t="str">
        <f t="shared" ref="AF38" si="24">AF24</f>
        <v>G4</v>
      </c>
      <c r="AG38" s="30" t="str">
        <f>AG24</f>
        <v>p</v>
      </c>
      <c r="AH38" s="30" t="str">
        <f t="shared" ref="AH38" si="25">AH24</f>
        <v>G5</v>
      </c>
      <c r="AI38" s="30" t="str">
        <f>AI24</f>
        <v>p</v>
      </c>
      <c r="AJ38" s="30" t="str">
        <f t="shared" ref="AJ38" si="26">AJ24</f>
        <v>G6</v>
      </c>
      <c r="AK38" s="30" t="str">
        <f>AK24</f>
        <v>p</v>
      </c>
      <c r="AL38" s="30" t="str">
        <f t="shared" ref="AL38" si="27">AL24</f>
        <v>G7</v>
      </c>
      <c r="AM38" s="30" t="str">
        <f>AM24</f>
        <v>p</v>
      </c>
      <c r="AN38" s="30" t="str">
        <f t="shared" ref="AN38" si="28">AN24</f>
        <v>G8</v>
      </c>
      <c r="AO38" s="30" t="str">
        <f>AO24</f>
        <v>p</v>
      </c>
      <c r="AP38" s="30" t="str">
        <f t="shared" ref="AP38" si="29">AP24</f>
        <v>G9</v>
      </c>
      <c r="AQ38" s="30" t="str">
        <f>AQ24</f>
        <v>p</v>
      </c>
      <c r="AR38" s="30" t="str">
        <f t="shared" ref="AR38" si="30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1">BH32+1</f>
        <v>4</v>
      </c>
      <c r="BI38">
        <v>5</v>
      </c>
      <c r="BJ38" s="107" t="e">
        <f t="shared" ref="BJ38:BJ43" si="32">$H$29*H44</f>
        <v>#DIV/0!</v>
      </c>
      <c r="BP38">
        <f>BL11+1</f>
        <v>8</v>
      </c>
      <c r="BQ38">
        <v>7</v>
      </c>
      <c r="BR38" s="107" t="e">
        <f t="shared" si="18"/>
        <v>#DIV/0!</v>
      </c>
    </row>
    <row r="39" spans="1:70" x14ac:dyDescent="0.25">
      <c r="A39" s="111" t="s">
        <v>0</v>
      </c>
      <c r="B39" s="107" t="e">
        <f>SUM(BR4:BR47)</f>
        <v>#DIV/0!</v>
      </c>
      <c r="G39" s="130">
        <v>0</v>
      </c>
      <c r="H39" s="131" t="e">
        <f>L39*J39</f>
        <v>#DIV/0!</v>
      </c>
      <c r="I39" s="97">
        <v>0</v>
      </c>
      <c r="J39" s="98" t="e">
        <f t="shared" ref="J39:J49" si="33">Y39+AA39+AC39+AE39+AG39+AI39+AK39+AM39+AO39+AQ39+AS39</f>
        <v>#DIV/0!</v>
      </c>
      <c r="K39" s="102">
        <v>0</v>
      </c>
      <c r="L39" s="98" t="e">
        <f>AC21</f>
        <v>#DIV/0!</v>
      </c>
      <c r="M39" s="84">
        <v>0</v>
      </c>
      <c r="N39" s="71" t="e">
        <f>(1-$C$24)^$B$21</f>
        <v>#DIV/0!</v>
      </c>
      <c r="O39" s="70">
        <v>0</v>
      </c>
      <c r="P39" s="71" t="e">
        <f>N39</f>
        <v>#DIV/0!</v>
      </c>
      <c r="Q39" s="12">
        <v>0</v>
      </c>
      <c r="R39" s="73" t="e">
        <f>P39*N39</f>
        <v>#DIV/0!</v>
      </c>
      <c r="S39" s="70">
        <v>0</v>
      </c>
      <c r="T39" s="135" t="e">
        <f>(1-$C$33)^(INT(B23*2*(1-B31)))</f>
        <v>#DIV/0!</v>
      </c>
      <c r="U39" s="140">
        <v>0</v>
      </c>
      <c r="V39" s="86" t="e">
        <f>R39*T39</f>
        <v>#DIV/0!</v>
      </c>
      <c r="W39" s="136" t="e">
        <f>C31</f>
        <v>#DIV/0!</v>
      </c>
      <c r="X39" s="12">
        <v>0</v>
      </c>
      <c r="Y39" s="79" t="e">
        <f>V39</f>
        <v>#DIV/0!</v>
      </c>
      <c r="Z39" s="12">
        <v>0</v>
      </c>
      <c r="AA39" s="78" t="e">
        <f>((1-W39)^Z40)*V40</f>
        <v>#DIV/0!</v>
      </c>
      <c r="AB39" s="12">
        <v>0</v>
      </c>
      <c r="AC39" s="79" t="e">
        <f>(((1-$W$39)^AB41))*V41</f>
        <v>#DIV/0!</v>
      </c>
      <c r="AD39" s="12">
        <v>0</v>
      </c>
      <c r="AE39" s="79" t="e">
        <f>(((1-$W$39)^AB42))*V42</f>
        <v>#DIV/0!</v>
      </c>
      <c r="AF39" s="12">
        <v>0</v>
      </c>
      <c r="AG39" s="79" t="e">
        <f>(((1-$W$39)^AB43))*V43</f>
        <v>#DIV/0!</v>
      </c>
      <c r="AH39" s="12">
        <v>0</v>
      </c>
      <c r="AI39" s="79" t="e">
        <f>(((1-$W$39)^AB44))*V44</f>
        <v>#DIV/0!</v>
      </c>
      <c r="AJ39" s="12">
        <v>0</v>
      </c>
      <c r="AK39" s="79" t="e">
        <f>(((1-$W$39)^AB45))*V45</f>
        <v>#DIV/0!</v>
      </c>
      <c r="AL39" s="12">
        <v>0</v>
      </c>
      <c r="AM39" s="79" t="e">
        <f>(((1-$W$39)^AB46))*V46</f>
        <v>#DIV/0!</v>
      </c>
      <c r="AN39" s="12">
        <v>0</v>
      </c>
      <c r="AO39" s="79" t="e">
        <f>(((1-$W$39)^AB47))*V47</f>
        <v>#DIV/0!</v>
      </c>
      <c r="AP39" s="12">
        <v>0</v>
      </c>
      <c r="AQ39" s="79" t="e">
        <f>(((1-$W$39)^AB48))*V48</f>
        <v>#DIV/0!</v>
      </c>
      <c r="AR39" s="12">
        <v>0</v>
      </c>
      <c r="AS39" s="79" t="e">
        <f>(((1-$W$39)^AB49))*V49</f>
        <v>#DIV/0!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1"/>
        <v>4</v>
      </c>
      <c r="BI39">
        <v>6</v>
      </c>
      <c r="BJ39" s="107" t="e">
        <f t="shared" si="32"/>
        <v>#DIV/0!</v>
      </c>
      <c r="BP39">
        <f t="shared" ref="BP39:BP46" si="34">BP31+1</f>
        <v>9</v>
      </c>
      <c r="BQ39">
        <v>0</v>
      </c>
      <c r="BR39" s="107" t="e">
        <f t="shared" ref="BR39:BR47" si="35">$H$34*H39</f>
        <v>#DIV/0!</v>
      </c>
    </row>
    <row r="40" spans="1:70" x14ac:dyDescent="0.25">
      <c r="G40" s="91">
        <v>1</v>
      </c>
      <c r="H40" s="132" t="e">
        <f>L39*J40+L40*J39</f>
        <v>#DIV/0!</v>
      </c>
      <c r="I40" s="93">
        <v>1</v>
      </c>
      <c r="J40" s="86" t="e">
        <f t="shared" si="33"/>
        <v>#DIV/0!</v>
      </c>
      <c r="K40" s="95">
        <v>1</v>
      </c>
      <c r="L40" s="86" t="e">
        <f>AD21</f>
        <v>#DIV/0!</v>
      </c>
      <c r="M40" s="85">
        <v>1</v>
      </c>
      <c r="N40" s="71" t="e">
        <f>(($C$24)^M26)*((1-($C$24))^($B$21-M26))*HLOOKUP($B$21,$AV$24:$BF$34,M26+1)</f>
        <v>#DIV/0!</v>
      </c>
      <c r="O40" s="72">
        <v>1</v>
      </c>
      <c r="P40" s="71" t="e">
        <f t="shared" ref="P40:P44" si="36">N40</f>
        <v>#DIV/0!</v>
      </c>
      <c r="Q40" s="28">
        <v>1</v>
      </c>
      <c r="R40" s="37" t="e">
        <f>P40*N39+P39*N40</f>
        <v>#DIV/0!</v>
      </c>
      <c r="S40" s="72">
        <v>1</v>
      </c>
      <c r="T40" s="135" t="e">
        <f t="shared" ref="T40:T49" si="37">(($C$33)^S40)*((1-($C$33))^(INT($B$23*2*(1-$B$31))-S40))*HLOOKUP(INT($B$23*2*(1-$B$31)),$AV$24:$BF$34,S40+1)</f>
        <v>#DIV/0!</v>
      </c>
      <c r="U40" s="93">
        <v>1</v>
      </c>
      <c r="V40" s="86" t="e">
        <f>R40*T39+T40*R39</f>
        <v>#DIV/0!</v>
      </c>
      <c r="W40" s="137"/>
      <c r="X40" s="28">
        <v>1</v>
      </c>
      <c r="Y40" s="73"/>
      <c r="Z40" s="28">
        <v>1</v>
      </c>
      <c r="AA40" s="79" t="e">
        <f>(1-((1-W39)^Z40))*V40</f>
        <v>#DIV/0!</v>
      </c>
      <c r="AB40" s="28">
        <v>1</v>
      </c>
      <c r="AC40" s="79" t="e">
        <f>((($W$39)^M40)*((1-($W$39))^($U$27-M40))*HLOOKUP($U$27,$AV$24:$BF$34,M40+1))*V41</f>
        <v>#DIV/0!</v>
      </c>
      <c r="AD40" s="28">
        <v>1</v>
      </c>
      <c r="AE40" s="79" t="e">
        <f>((($W$39)^M40)*((1-($W$39))^($U$28-M40))*HLOOKUP($U$28,$AV$24:$BF$34,M40+1))*V42</f>
        <v>#DIV/0!</v>
      </c>
      <c r="AF40" s="28">
        <v>1</v>
      </c>
      <c r="AG40" s="79" t="e">
        <f>((($W$39)^M40)*((1-($W$39))^($U$29-M40))*HLOOKUP($U$29,$AV$24:$BF$34,M40+1))*V43</f>
        <v>#DIV/0!</v>
      </c>
      <c r="AH40" s="28">
        <v>1</v>
      </c>
      <c r="AI40" s="79" t="e">
        <f>((($W$39)^M40)*((1-($W$39))^($U$30-M40))*HLOOKUP($U$30,$AV$24:$BF$34,M40+1))*V44</f>
        <v>#DIV/0!</v>
      </c>
      <c r="AJ40" s="28">
        <v>1</v>
      </c>
      <c r="AK40" s="79" t="e">
        <f>((($W$39)^M40)*((1-($W$39))^($U$31-M40))*HLOOKUP($U$31,$AV$24:$BF$34,M40+1))*V45</f>
        <v>#DIV/0!</v>
      </c>
      <c r="AL40" s="28">
        <v>1</v>
      </c>
      <c r="AM40" s="79" t="e">
        <f>((($W$39)^Q40)*((1-($W$39))^($U$32-Q40))*HLOOKUP($U$32,$AV$24:$BF$34,Q40+1))*V46</f>
        <v>#DIV/0!</v>
      </c>
      <c r="AN40" s="28">
        <v>1</v>
      </c>
      <c r="AO40" s="79" t="e">
        <f>((($W$39)^Q40)*((1-($W$39))^($U$33-Q40))*HLOOKUP($U$33,$AV$24:$BF$34,Q40+1))*V47</f>
        <v>#DIV/0!</v>
      </c>
      <c r="AP40" s="28">
        <v>1</v>
      </c>
      <c r="AQ40" s="79" t="e">
        <f>((($W$39)^Q40)*((1-($W$39))^($U$34-Q40))*HLOOKUP($U$34,$AV$24:$BF$34,Q40+1))*V48</f>
        <v>#DIV/0!</v>
      </c>
      <c r="AR40" s="28">
        <v>1</v>
      </c>
      <c r="AS40" s="79" t="e">
        <f>((($W$39)^Q40)*((1-($W$39))^($U$35-Q40))*HLOOKUP($U$35,$AV$24:$BF$34,Q40+1))*V49</f>
        <v>#DIV/0!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1"/>
        <v>4</v>
      </c>
      <c r="BI40">
        <v>7</v>
      </c>
      <c r="BJ40" s="107" t="e">
        <f t="shared" si="32"/>
        <v>#DIV/0!</v>
      </c>
      <c r="BP40">
        <f t="shared" si="34"/>
        <v>9</v>
      </c>
      <c r="BQ40">
        <v>1</v>
      </c>
      <c r="BR40" s="107" t="e">
        <f t="shared" si="35"/>
        <v>#DIV/0!</v>
      </c>
    </row>
    <row r="41" spans="1:70" x14ac:dyDescent="0.25">
      <c r="G41" s="91">
        <v>2</v>
      </c>
      <c r="H41" s="132" t="e">
        <f>L39*J41+J40*L40+J39*L41</f>
        <v>#DIV/0!</v>
      </c>
      <c r="I41" s="93">
        <v>2</v>
      </c>
      <c r="J41" s="86" t="e">
        <f t="shared" si="33"/>
        <v>#DIV/0!</v>
      </c>
      <c r="K41" s="95">
        <v>2</v>
      </c>
      <c r="L41" s="86" t="e">
        <f>AE21</f>
        <v>#DIV/0!</v>
      </c>
      <c r="M41" s="85">
        <v>2</v>
      </c>
      <c r="N41" s="71" t="e">
        <f>(($C$24)^M27)*((1-($C$24))^($B$21-M27))*HLOOKUP($B$21,$AV$24:$BF$34,M27+1)</f>
        <v>#DIV/0!</v>
      </c>
      <c r="O41" s="72">
        <v>2</v>
      </c>
      <c r="P41" s="71" t="e">
        <f t="shared" si="36"/>
        <v>#DIV/0!</v>
      </c>
      <c r="Q41" s="28">
        <v>2</v>
      </c>
      <c r="R41" s="37" t="e">
        <f>P41*N39+P40*N40+P39*N41</f>
        <v>#DIV/0!</v>
      </c>
      <c r="S41" s="72">
        <v>2</v>
      </c>
      <c r="T41" s="135" t="e">
        <f t="shared" si="37"/>
        <v>#DIV/0!</v>
      </c>
      <c r="U41" s="93">
        <v>2</v>
      </c>
      <c r="V41" s="86" t="e">
        <f>R41*T39+T40*R40+R39*T41</f>
        <v>#DIV/0!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 t="e">
        <f>((($W$39)^M41)*((1-($W$39))^($U$27-M41))*HLOOKUP($U$27,$AV$24:$BF$34,M41+1))*V41</f>
        <v>#DIV/0!</v>
      </c>
      <c r="AD41" s="28">
        <v>2</v>
      </c>
      <c r="AE41" s="79" t="e">
        <f>((($W$39)^M41)*((1-($W$39))^($U$28-M41))*HLOOKUP($U$28,$AV$24:$BF$34,M41+1))*V42</f>
        <v>#DIV/0!</v>
      </c>
      <c r="AF41" s="28">
        <v>2</v>
      </c>
      <c r="AG41" s="79" t="e">
        <f>((($W$39)^M41)*((1-($W$39))^($U$29-M41))*HLOOKUP($U$29,$AV$24:$BF$34,M41+1))*V43</f>
        <v>#DIV/0!</v>
      </c>
      <c r="AH41" s="28">
        <v>2</v>
      </c>
      <c r="AI41" s="79" t="e">
        <f>((($W$39)^M41)*((1-($W$39))^($U$30-M41))*HLOOKUP($U$30,$AV$24:$BF$34,M41+1))*V44</f>
        <v>#DIV/0!</v>
      </c>
      <c r="AJ41" s="28">
        <v>2</v>
      </c>
      <c r="AK41" s="79" t="e">
        <f>((($W$39)^M41)*((1-($W$39))^($U$31-M41))*HLOOKUP($U$31,$AV$24:$BF$34,M41+1))*V45</f>
        <v>#DIV/0!</v>
      </c>
      <c r="AL41" s="28">
        <v>2</v>
      </c>
      <c r="AM41" s="79" t="e">
        <f>((($W$39)^Q41)*((1-($W$39))^($U$32-Q41))*HLOOKUP($U$32,$AV$24:$BF$34,Q41+1))*V46</f>
        <v>#DIV/0!</v>
      </c>
      <c r="AN41" s="28">
        <v>2</v>
      </c>
      <c r="AO41" s="79" t="e">
        <f>((($W$39)^Q41)*((1-($W$39))^($U$33-Q41))*HLOOKUP($U$33,$AV$24:$BF$34,Q41+1))*V47</f>
        <v>#DIV/0!</v>
      </c>
      <c r="AP41" s="28">
        <v>2</v>
      </c>
      <c r="AQ41" s="79" t="e">
        <f>((($W$39)^Q41)*((1-($W$39))^($U$34-Q41))*HLOOKUP($U$34,$AV$24:$BF$34,Q41+1))*V48</f>
        <v>#DIV/0!</v>
      </c>
      <c r="AR41" s="28">
        <v>2</v>
      </c>
      <c r="AS41" s="79" t="e">
        <f>((($W$39)^Q41)*((1-($W$39))^($U$35-Q41))*HLOOKUP($U$35,$AV$24:$BF$34,Q41+1))*V49</f>
        <v>#DIV/0!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1"/>
        <v>4</v>
      </c>
      <c r="BI41">
        <v>8</v>
      </c>
      <c r="BJ41" s="107" t="e">
        <f t="shared" si="32"/>
        <v>#DIV/0!</v>
      </c>
      <c r="BP41">
        <f t="shared" si="34"/>
        <v>9</v>
      </c>
      <c r="BQ41">
        <v>2</v>
      </c>
      <c r="BR41" s="107" t="e">
        <f t="shared" si="35"/>
        <v>#DIV/0!</v>
      </c>
    </row>
    <row r="42" spans="1:70" ht="15" customHeight="1" x14ac:dyDescent="0.25">
      <c r="G42" s="91">
        <v>3</v>
      </c>
      <c r="H42" s="132" t="e">
        <f>J42*L39+J41*L40+L42*J39+L41*J40</f>
        <v>#DIV/0!</v>
      </c>
      <c r="I42" s="93">
        <v>3</v>
      </c>
      <c r="J42" s="86" t="e">
        <f t="shared" si="33"/>
        <v>#DIV/0!</v>
      </c>
      <c r="K42" s="95">
        <v>3</v>
      </c>
      <c r="L42" s="86" t="e">
        <f>AF21</f>
        <v>#DIV/0!</v>
      </c>
      <c r="M42" s="85">
        <v>3</v>
      </c>
      <c r="N42" s="71" t="e">
        <f>(($C$24)^M28)*((1-($C$24))^($B$21-M28))*HLOOKUP($B$21,$AV$24:$BF$34,M28+1)</f>
        <v>#DIV/0!</v>
      </c>
      <c r="O42" s="72">
        <v>3</v>
      </c>
      <c r="P42" s="71" t="e">
        <f t="shared" si="36"/>
        <v>#DIV/0!</v>
      </c>
      <c r="Q42" s="28">
        <v>3</v>
      </c>
      <c r="R42" s="37" t="e">
        <f>P42*N39+P41*N40+P40*N41+P39*N42</f>
        <v>#DIV/0!</v>
      </c>
      <c r="S42" s="72">
        <v>3</v>
      </c>
      <c r="T42" s="135" t="e">
        <f t="shared" si="37"/>
        <v>#DIV/0!</v>
      </c>
      <c r="U42" s="93">
        <v>3</v>
      </c>
      <c r="V42" s="86" t="e">
        <f>R42*T39+R41*T40+R40*T41+R39*T42</f>
        <v>#DIV/0!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 t="e">
        <f>((($W$39)^M42)*((1-($W$39))^($U$28-M42))*HLOOKUP($U$28,$AV$24:$BF$34,M42+1))*V42</f>
        <v>#DIV/0!</v>
      </c>
      <c r="AF42" s="28">
        <v>3</v>
      </c>
      <c r="AG42" s="79" t="e">
        <f>((($W$39)^M42)*((1-($W$39))^($U$29-M42))*HLOOKUP($U$29,$AV$24:$BF$34,M42+1))*V43</f>
        <v>#DIV/0!</v>
      </c>
      <c r="AH42" s="28">
        <v>3</v>
      </c>
      <c r="AI42" s="79" t="e">
        <f>((($W$39)^M42)*((1-($W$39))^($U$30-M42))*HLOOKUP($U$30,$AV$24:$BF$34,M42+1))*V44</f>
        <v>#DIV/0!</v>
      </c>
      <c r="AJ42" s="28">
        <v>3</v>
      </c>
      <c r="AK42" s="79" t="e">
        <f>((($W$39)^M42)*((1-($W$39))^($U$31-M42))*HLOOKUP($U$31,$AV$24:$BF$34,M42+1))*V45</f>
        <v>#DIV/0!</v>
      </c>
      <c r="AL42" s="28">
        <v>3</v>
      </c>
      <c r="AM42" s="79" t="e">
        <f>((($W$39)^Q42)*((1-($W$39))^($U$32-Q42))*HLOOKUP($U$32,$AV$24:$BF$34,Q42+1))*V46</f>
        <v>#DIV/0!</v>
      </c>
      <c r="AN42" s="28">
        <v>3</v>
      </c>
      <c r="AO42" s="79" t="e">
        <f>((($W$39)^Q42)*((1-($W$39))^($U$33-Q42))*HLOOKUP($U$33,$AV$24:$BF$34,Q42+1))*V47</f>
        <v>#DIV/0!</v>
      </c>
      <c r="AP42" s="28">
        <v>3</v>
      </c>
      <c r="AQ42" s="79" t="e">
        <f>((($W$39)^Q42)*((1-($W$39))^($U$34-Q42))*HLOOKUP($U$34,$AV$24:$BF$34,Q42+1))*V48</f>
        <v>#DIV/0!</v>
      </c>
      <c r="AR42" s="28">
        <v>3</v>
      </c>
      <c r="AS42" s="79" t="e">
        <f>((($W$39)^Q42)*((1-($W$39))^($U$35-Q42))*HLOOKUP($U$35,$AV$24:$BF$34,Q42+1))*V49</f>
        <v>#DIV/0!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1"/>
        <v>4</v>
      </c>
      <c r="BI42">
        <v>9</v>
      </c>
      <c r="BJ42" s="107" t="e">
        <f t="shared" si="32"/>
        <v>#DIV/0!</v>
      </c>
      <c r="BP42">
        <f t="shared" si="34"/>
        <v>9</v>
      </c>
      <c r="BQ42">
        <v>3</v>
      </c>
      <c r="BR42" s="107" t="e">
        <f t="shared" si="35"/>
        <v>#DIV/0!</v>
      </c>
    </row>
    <row r="43" spans="1:70" ht="15" customHeight="1" x14ac:dyDescent="0.25">
      <c r="G43" s="91">
        <v>4</v>
      </c>
      <c r="H43" s="132" t="e">
        <f>J43*L39+J42*L40+J41*L41+J40*L42</f>
        <v>#DIV/0!</v>
      </c>
      <c r="I43" s="93">
        <v>4</v>
      </c>
      <c r="J43" s="86" t="e">
        <f t="shared" si="33"/>
        <v>#DIV/0!</v>
      </c>
      <c r="K43" s="95">
        <v>4</v>
      </c>
      <c r="L43" s="86"/>
      <c r="M43" s="85">
        <v>4</v>
      </c>
      <c r="N43" s="71" t="e">
        <f>(($C$24)^M29)*((1-($C$24))^($B$21-M29))*HLOOKUP($B$21,$AV$24:$BF$34,M29+1)</f>
        <v>#DIV/0!</v>
      </c>
      <c r="O43" s="72">
        <v>4</v>
      </c>
      <c r="P43" s="71" t="e">
        <f t="shared" si="36"/>
        <v>#DIV/0!</v>
      </c>
      <c r="Q43" s="28">
        <v>4</v>
      </c>
      <c r="R43" s="37" t="e">
        <f>P43*N39+P42*N40+P41*N41+P40*N42+P39*N43</f>
        <v>#DIV/0!</v>
      </c>
      <c r="S43" s="72">
        <v>4</v>
      </c>
      <c r="T43" s="135" t="e">
        <f t="shared" si="37"/>
        <v>#DIV/0!</v>
      </c>
      <c r="U43" s="93">
        <v>4</v>
      </c>
      <c r="V43" s="86" t="e">
        <f>T43*R39+T42*R40+T41*R41+T40*R42+T39*R43</f>
        <v>#DIV/0!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 t="e">
        <f>((($W$39)^M43)*((1-($W$39))^($U$29-M43))*HLOOKUP($U$29,$AV$24:$BF$34,M43+1))*V43</f>
        <v>#DIV/0!</v>
      </c>
      <c r="AH43" s="28">
        <v>4</v>
      </c>
      <c r="AI43" s="79" t="e">
        <f>((($W$39)^M43)*((1-($W$39))^($U$30-M43))*HLOOKUP($U$30,$AV$24:$BF$34,M43+1))*V44</f>
        <v>#DIV/0!</v>
      </c>
      <c r="AJ43" s="28">
        <v>4</v>
      </c>
      <c r="AK43" s="79" t="e">
        <f>((($W$39)^M43)*((1-($W$39))^($U$31-M43))*HLOOKUP($U$31,$AV$24:$BF$34,M43+1))*V45</f>
        <v>#DIV/0!</v>
      </c>
      <c r="AL43" s="28">
        <v>4</v>
      </c>
      <c r="AM43" s="79" t="e">
        <f>((($W$39)^Q43)*((1-($W$39))^($U$32-Q43))*HLOOKUP($U$32,$AV$24:$BF$34,Q43+1))*V46</f>
        <v>#DIV/0!</v>
      </c>
      <c r="AN43" s="28">
        <v>4</v>
      </c>
      <c r="AO43" s="79" t="e">
        <f>((($W$39)^Q43)*((1-($W$39))^($U$33-Q43))*HLOOKUP($U$33,$AV$24:$BF$34,Q43+1))*V47</f>
        <v>#DIV/0!</v>
      </c>
      <c r="AP43" s="28">
        <v>4</v>
      </c>
      <c r="AQ43" s="79" t="e">
        <f>((($W$39)^Q43)*((1-($W$39))^($U$34-Q43))*HLOOKUP($U$34,$AV$24:$BF$34,Q43+1))*V48</f>
        <v>#DIV/0!</v>
      </c>
      <c r="AR43" s="28">
        <v>4</v>
      </c>
      <c r="AS43" s="79" t="e">
        <f>((($W$39)^Q43)*((1-($W$39))^($U$35-Q43))*HLOOKUP($U$35,$AV$24:$BF$34,Q43+1))*V49</f>
        <v>#DIV/0!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38">BE42+BE43</f>
        <v>252</v>
      </c>
      <c r="BH43">
        <f t="shared" si="31"/>
        <v>4</v>
      </c>
      <c r="BI43">
        <v>10</v>
      </c>
      <c r="BJ43" s="107" t="e">
        <f t="shared" si="32"/>
        <v>#DIV/0!</v>
      </c>
      <c r="BP43">
        <f t="shared" si="34"/>
        <v>9</v>
      </c>
      <c r="BQ43">
        <v>4</v>
      </c>
      <c r="BR43" s="107" t="e">
        <f t="shared" si="35"/>
        <v>#DIV/0!</v>
      </c>
    </row>
    <row r="44" spans="1:70" ht="15" customHeight="1" thickBot="1" x14ac:dyDescent="0.3">
      <c r="G44" s="91">
        <v>5</v>
      </c>
      <c r="H44" s="132" t="e">
        <f>J44*L39+J43*L40+J42*L41+J41*L42</f>
        <v>#DIV/0!</v>
      </c>
      <c r="I44" s="93">
        <v>5</v>
      </c>
      <c r="J44" s="86" t="e">
        <f t="shared" si="33"/>
        <v>#DIV/0!</v>
      </c>
      <c r="K44" s="95">
        <v>5</v>
      </c>
      <c r="L44" s="86"/>
      <c r="M44" s="85">
        <v>5</v>
      </c>
      <c r="N44" s="71" t="e">
        <f>(($C$24)^M30)*((1-($C$24))^($B$21-M30))*HLOOKUP($B$21,$AV$24:$BF$34,M30+1)</f>
        <v>#DIV/0!</v>
      </c>
      <c r="O44" s="72">
        <v>5</v>
      </c>
      <c r="P44" s="71" t="e">
        <f t="shared" si="36"/>
        <v>#DIV/0!</v>
      </c>
      <c r="Q44" s="28">
        <v>5</v>
      </c>
      <c r="R44" s="37" t="e">
        <f>P44*N39+P43*N40+P42*N41+P41*N42+P40*N43+P39*N44</f>
        <v>#DIV/0!</v>
      </c>
      <c r="S44" s="72">
        <v>5</v>
      </c>
      <c r="T44" s="135" t="e">
        <f t="shared" si="37"/>
        <v>#DIV/0!</v>
      </c>
      <c r="U44" s="93">
        <v>5</v>
      </c>
      <c r="V44" s="86" t="e">
        <f>T44*R39+T43*R40+T42*R41+T41*R42+T40*R43+T39*R44</f>
        <v>#DIV/0!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 t="e">
        <f>((($W$39)^M44)*((1-($W$39))^($U$30-M44))*HLOOKUP($U$30,$AV$24:$BF$34,M44+1))*V44</f>
        <v>#DIV/0!</v>
      </c>
      <c r="AJ44" s="28">
        <v>5</v>
      </c>
      <c r="AK44" s="79" t="e">
        <f>((($W$39)^M44)*((1-($W$39))^($U$31-M44))*HLOOKUP($U$31,$AV$24:$BF$34,M44+1))*V45</f>
        <v>#DIV/0!</v>
      </c>
      <c r="AL44" s="28">
        <v>5</v>
      </c>
      <c r="AM44" s="79" t="e">
        <f>((($W$39)^Q44)*((1-($W$39))^($U$32-Q44))*HLOOKUP($U$32,$AV$24:$BF$34,Q44+1))*V46</f>
        <v>#DIV/0!</v>
      </c>
      <c r="AN44" s="28">
        <v>5</v>
      </c>
      <c r="AO44" s="79" t="e">
        <f>((($W$39)^Q44)*((1-($W$39))^($U$33-Q44))*HLOOKUP($U$33,$AV$24:$BF$34,Q44+1))*V47</f>
        <v>#DIV/0!</v>
      </c>
      <c r="AP44" s="28">
        <v>5</v>
      </c>
      <c r="AQ44" s="79" t="e">
        <f>((($W$39)^Q44)*((1-($W$39))^($U$34-Q44))*HLOOKUP($U$34,$AV$24:$BF$34,Q44+1))*V48</f>
        <v>#DIV/0!</v>
      </c>
      <c r="AR44" s="28">
        <v>5</v>
      </c>
      <c r="AS44" s="79" t="e">
        <f>((($W$39)^Q44)*((1-($W$39))^($U$35-Q44))*HLOOKUP($U$35,$AV$24:$BF$34,Q44+1))*V49</f>
        <v>#DIV/0!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8"/>
        <v>210</v>
      </c>
      <c r="BH44">
        <f>BH39+1</f>
        <v>5</v>
      </c>
      <c r="BI44">
        <v>6</v>
      </c>
      <c r="BJ44" s="107" t="e">
        <f>$H$30*H45</f>
        <v>#DIV/0!</v>
      </c>
      <c r="BP44">
        <f t="shared" si="34"/>
        <v>9</v>
      </c>
      <c r="BQ44">
        <v>5</v>
      </c>
      <c r="BR44" s="107" t="e">
        <f t="shared" si="35"/>
        <v>#DIV/0!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 t="e">
        <f>J45*L39+J44*L40+J43*L41+J42*L42</f>
        <v>#DIV/0!</v>
      </c>
      <c r="I45" s="93">
        <v>6</v>
      </c>
      <c r="J45" s="86" t="e">
        <f t="shared" si="33"/>
        <v>#DIV/0!</v>
      </c>
      <c r="K45" s="95">
        <v>6</v>
      </c>
      <c r="L45" s="86"/>
      <c r="M45" s="85"/>
      <c r="N45" s="37"/>
      <c r="O45" s="37"/>
      <c r="P45" s="37"/>
      <c r="Q45" s="28">
        <v>6</v>
      </c>
      <c r="R45" s="37" t="e">
        <f>P44*N40+P43*N41+P42*N42+P41*N43+P40*N44</f>
        <v>#DIV/0!</v>
      </c>
      <c r="S45" s="70">
        <v>6</v>
      </c>
      <c r="T45" s="135" t="e">
        <f t="shared" si="37"/>
        <v>#DIV/0!</v>
      </c>
      <c r="U45" s="93">
        <v>6</v>
      </c>
      <c r="V45" s="86" t="e">
        <f>T45*R39+T44*R40+T43*R41+T42*R42+T41*R43+T40*R44+T39*R45</f>
        <v>#DIV/0!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 t="e">
        <f>((($W$39)^Q45)*((1-($W$39))^($U$31-Q45))*HLOOKUP($U$31,$AV$24:$BF$34,Q45+1))*V45</f>
        <v>#DIV/0!</v>
      </c>
      <c r="AL45" s="28">
        <v>6</v>
      </c>
      <c r="AM45" s="79" t="e">
        <f>((($W$39)^Q45)*((1-($W$39))^($U$32-Q45))*HLOOKUP($U$32,$AV$24:$BF$34,Q45+1))*V46</f>
        <v>#DIV/0!</v>
      </c>
      <c r="AN45" s="28">
        <v>6</v>
      </c>
      <c r="AO45" s="79" t="e">
        <f>((($W$39)^Q45)*((1-($W$39))^($U$33-Q45))*HLOOKUP($U$33,$AV$24:$BF$34,Q45+1))*V47</f>
        <v>#DIV/0!</v>
      </c>
      <c r="AP45" s="28">
        <v>6</v>
      </c>
      <c r="AQ45" s="79" t="e">
        <f>((($W$39)^Q45)*((1-($W$39))^($U$34-Q45))*HLOOKUP($U$34,$AV$24:$BF$34,Q45+1))*V48</f>
        <v>#DIV/0!</v>
      </c>
      <c r="AR45" s="28">
        <v>6</v>
      </c>
      <c r="AS45" s="79" t="e">
        <f>((($W$39)^Q45)*((1-($W$39))^($U$35-Q45))*HLOOKUP($U$35,$AV$24:$BF$34,Q45+1))*V49</f>
        <v>#DIV/0!</v>
      </c>
      <c r="AV45" s="14">
        <v>7</v>
      </c>
      <c r="BC45">
        <v>1</v>
      </c>
      <c r="BD45">
        <v>8</v>
      </c>
      <c r="BE45">
        <f>28+8</f>
        <v>36</v>
      </c>
      <c r="BF45">
        <f t="shared" si="38"/>
        <v>120</v>
      </c>
      <c r="BH45">
        <f>BH40+1</f>
        <v>5</v>
      </c>
      <c r="BI45">
        <v>7</v>
      </c>
      <c r="BJ45" s="107" t="e">
        <f>$H$30*H46</f>
        <v>#DIV/0!</v>
      </c>
      <c r="BP45">
        <f t="shared" si="34"/>
        <v>9</v>
      </c>
      <c r="BQ45">
        <v>6</v>
      </c>
      <c r="BR45" s="107" t="e">
        <f t="shared" si="35"/>
        <v>#DIV/0!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 t="e">
        <f>J46*L39+J45*L40+J44*L41+J43*L42</f>
        <v>#DIV/0!</v>
      </c>
      <c r="I46" s="93">
        <v>7</v>
      </c>
      <c r="J46" s="86" t="e">
        <f t="shared" si="33"/>
        <v>#DIV/0!</v>
      </c>
      <c r="K46" s="95">
        <v>7</v>
      </c>
      <c r="L46" s="86"/>
      <c r="M46" s="85"/>
      <c r="N46" s="37"/>
      <c r="O46" s="37"/>
      <c r="P46" s="37"/>
      <c r="Q46" s="28">
        <v>7</v>
      </c>
      <c r="R46" s="37" t="e">
        <f>P44*N41+P43*N42+P42*N43+P41*N44</f>
        <v>#DIV/0!</v>
      </c>
      <c r="S46" s="72">
        <v>7</v>
      </c>
      <c r="T46" s="135" t="e">
        <f t="shared" si="37"/>
        <v>#DIV/0!</v>
      </c>
      <c r="U46" s="93">
        <v>7</v>
      </c>
      <c r="V46" s="86" t="e">
        <f>T46*R39+T45*R40+T44*R41+T43*R42+T42*R43+T41*R44+T40*R45+T39*R46</f>
        <v>#DIV/0!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 t="e">
        <f>((($W$39)^Q46)*((1-($W$39))^($U$32-Q46))*HLOOKUP($U$32,$AV$24:$BF$34,Q46+1))*V46</f>
        <v>#DIV/0!</v>
      </c>
      <c r="AN46" s="28">
        <v>7</v>
      </c>
      <c r="AO46" s="79" t="e">
        <f>((($W$39)^Q46)*((1-($W$39))^($U$33-Q46))*HLOOKUP($U$33,$AV$24:$BF$34,Q46+1))*V47</f>
        <v>#DIV/0!</v>
      </c>
      <c r="AP46" s="28">
        <v>7</v>
      </c>
      <c r="AQ46" s="79" t="e">
        <f>((($W$39)^Q46)*((1-($W$39))^($U$34-Q46))*HLOOKUP($U$34,$AV$24:$BF$34,Q46+1))*V48</f>
        <v>#DIV/0!</v>
      </c>
      <c r="AR46" s="28">
        <v>7</v>
      </c>
      <c r="AS46" s="79" t="e">
        <f>((($W$39)^Q46)*((1-($W$39))^($U$35-Q46))*HLOOKUP($U$35,$AV$24:$BF$34,Q46+1))*V49</f>
        <v>#DIV/0!</v>
      </c>
      <c r="AV46" s="14">
        <v>8</v>
      </c>
      <c r="BD46">
        <v>1</v>
      </c>
      <c r="BE46">
        <v>9</v>
      </c>
      <c r="BF46">
        <f t="shared" si="38"/>
        <v>45</v>
      </c>
      <c r="BH46">
        <f>BH41+1</f>
        <v>5</v>
      </c>
      <c r="BI46">
        <v>8</v>
      </c>
      <c r="BJ46" s="107" t="e">
        <f>$H$30*H47</f>
        <v>#DIV/0!</v>
      </c>
      <c r="BP46">
        <f t="shared" si="34"/>
        <v>9</v>
      </c>
      <c r="BQ46">
        <v>7</v>
      </c>
      <c r="BR46" s="107" t="e">
        <f t="shared" si="35"/>
        <v>#DIV/0!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 t="e">
        <f>J47*L39+J46*L40+J45*L41+J44*L42</f>
        <v>#DIV/0!</v>
      </c>
      <c r="I47" s="93">
        <v>8</v>
      </c>
      <c r="J47" s="86" t="e">
        <f t="shared" si="33"/>
        <v>#DIV/0!</v>
      </c>
      <c r="K47" s="95">
        <v>8</v>
      </c>
      <c r="L47" s="86"/>
      <c r="M47" s="85"/>
      <c r="N47" s="37"/>
      <c r="O47" s="37"/>
      <c r="P47" s="37"/>
      <c r="Q47" s="28">
        <v>8</v>
      </c>
      <c r="R47" s="37" t="e">
        <f>P44*N42+P43*N43+P42*N44</f>
        <v>#DIV/0!</v>
      </c>
      <c r="S47" s="72">
        <v>8</v>
      </c>
      <c r="T47" s="135" t="e">
        <f t="shared" si="37"/>
        <v>#DIV/0!</v>
      </c>
      <c r="U47" s="93">
        <v>8</v>
      </c>
      <c r="V47" s="86" t="e">
        <f>T47*R39+T46*R40+T45*R41+T44*R42+T43*R43+T42*R44+T41*R45+T40*R46+T39*R47</f>
        <v>#DIV/0!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 t="e">
        <f>((($W$39)^Q47)*((1-($W$39))^($U$33-Q47))*HLOOKUP($U$33,$AV$24:$BF$34,Q47+1))*V47</f>
        <v>#DIV/0!</v>
      </c>
      <c r="AP47" s="28">
        <v>8</v>
      </c>
      <c r="AQ47" s="79" t="e">
        <f>((($W$39)^Q47)*((1-($W$39))^($U$34-Q47))*HLOOKUP($U$34,$AV$24:$BF$34,Q47+1))*V48</f>
        <v>#DIV/0!</v>
      </c>
      <c r="AR47" s="28">
        <v>8</v>
      </c>
      <c r="AS47" s="79" t="e">
        <f>((($W$39)^Q47)*((1-($W$39))^($U$35-Q47))*HLOOKUP($U$35,$AV$24:$BF$34,Q47+1))*V49</f>
        <v>#DIV/0!</v>
      </c>
      <c r="AV47" s="29">
        <v>9</v>
      </c>
      <c r="BE47">
        <v>1</v>
      </c>
      <c r="BF47">
        <f t="shared" si="38"/>
        <v>10</v>
      </c>
      <c r="BH47">
        <f>BH42+1</f>
        <v>5</v>
      </c>
      <c r="BI47">
        <v>9</v>
      </c>
      <c r="BJ47" s="107" t="e">
        <f>$H$30*H48</f>
        <v>#DIV/0!</v>
      </c>
      <c r="BP47">
        <f>BL12+1</f>
        <v>9</v>
      </c>
      <c r="BQ47">
        <v>8</v>
      </c>
      <c r="BR47" s="107" t="e">
        <f t="shared" si="35"/>
        <v>#DIV/0!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 t="e">
        <f>J48*L39+J47*L40+J46*L41+J45*L42</f>
        <v>#DIV/0!</v>
      </c>
      <c r="I48" s="93">
        <v>9</v>
      </c>
      <c r="J48" s="86" t="e">
        <f t="shared" si="33"/>
        <v>#DIV/0!</v>
      </c>
      <c r="K48" s="95">
        <v>9</v>
      </c>
      <c r="L48" s="86"/>
      <c r="M48" s="85"/>
      <c r="N48" s="37"/>
      <c r="O48" s="37"/>
      <c r="P48" s="37"/>
      <c r="Q48" s="28">
        <v>9</v>
      </c>
      <c r="R48" s="37" t="e">
        <f>P44*N43+P43*N44</f>
        <v>#DIV/0!</v>
      </c>
      <c r="S48" s="72">
        <v>9</v>
      </c>
      <c r="T48" s="135" t="e">
        <f t="shared" si="37"/>
        <v>#DIV/0!</v>
      </c>
      <c r="U48" s="93">
        <v>9</v>
      </c>
      <c r="V48" s="86" t="e">
        <f>T48*R39+T47*R40+T46*R41+T45*R42+T44*R43+T43*R44+T42*R45+T41*R46+T40*R47+T39*R48</f>
        <v>#DIV/0!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 t="e">
        <f>((($W$39)^Q48)*((1-($W$39))^($U$34-Q48))*HLOOKUP($U$34,$AV$24:$BF$34,Q48+1))*V48</f>
        <v>#DIV/0!</v>
      </c>
      <c r="AR48" s="28">
        <v>9</v>
      </c>
      <c r="AS48" s="79" t="e">
        <f>((($W$39)^Q48)*((1-($W$39))^($U$35-Q48))*HLOOKUP($U$35,$AV$24:$BF$34,Q48+1))*V49</f>
        <v>#DIV/0!</v>
      </c>
      <c r="AV48" s="14">
        <v>10</v>
      </c>
      <c r="BF48">
        <f t="shared" si="38"/>
        <v>1</v>
      </c>
      <c r="BH48">
        <f>BH43+1</f>
        <v>5</v>
      </c>
      <c r="BI48">
        <v>10</v>
      </c>
      <c r="BJ48" s="107" t="e">
        <f>$H$30*H49</f>
        <v>#DIV/0!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 t="e">
        <f>J49*L39+J48*L40+J47*L41+J46*L42</f>
        <v>#DIV/0!</v>
      </c>
      <c r="I49" s="94">
        <v>10</v>
      </c>
      <c r="J49" s="89" t="e">
        <f t="shared" si="33"/>
        <v>#DIV/0!</v>
      </c>
      <c r="K49" s="96">
        <v>10</v>
      </c>
      <c r="L49" s="89"/>
      <c r="M49" s="85"/>
      <c r="N49" s="37"/>
      <c r="O49" s="37"/>
      <c r="P49" s="37"/>
      <c r="Q49" s="28">
        <v>10</v>
      </c>
      <c r="R49" s="37" t="e">
        <f>P44*N44</f>
        <v>#DIV/0!</v>
      </c>
      <c r="S49" s="72">
        <v>10</v>
      </c>
      <c r="T49" s="135" t="e">
        <f t="shared" si="37"/>
        <v>#DIV/0!</v>
      </c>
      <c r="U49" s="94">
        <v>10</v>
      </c>
      <c r="V49" s="89" t="e">
        <f>IF(((T49*R39+T48*R40+T47*R41+T46*R42+T45*R43+T44*R44+T43*R45+T42*R46+T41*R47+T40*R48+T39*R49)+V37)&lt;&gt;1,1-V37,(T49*R39+T48*R40+T47*R41+T46*R42+T45*R43+T44*R44+T43*R45+T42*R46+T41*R47+T40*R48+T39*R49))</f>
        <v>#DIV/0!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 t="e">
        <f>((($W$39)^Q49)*((1-($W$39))^($U$35-Q49))*HLOOKUP($U$35,$AV$24:$BF$34,Q49+1))*V49</f>
        <v>#DIV/0!</v>
      </c>
      <c r="BH49">
        <f>BP14+1</f>
        <v>6</v>
      </c>
      <c r="BI49">
        <v>0</v>
      </c>
      <c r="BJ49" s="107" t="e">
        <f>$H$31*H39</f>
        <v>#DIV/0!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 t="e">
        <f>$H$31*H46</f>
        <v>#DIV/0!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 t="e">
        <f>$H$31*H47</f>
        <v>#DIV/0!</v>
      </c>
    </row>
    <row r="52" spans="1:62" x14ac:dyDescent="0.25">
      <c r="H52" s="107"/>
      <c r="BH52">
        <f>BH47+1</f>
        <v>6</v>
      </c>
      <c r="BI52">
        <v>9</v>
      </c>
      <c r="BJ52" s="107" t="e">
        <f>$H$31*H48</f>
        <v>#DIV/0!</v>
      </c>
    </row>
    <row r="53" spans="1:62" x14ac:dyDescent="0.25">
      <c r="BH53">
        <f>BH48+1</f>
        <v>6</v>
      </c>
      <c r="BI53">
        <v>10</v>
      </c>
      <c r="BJ53" s="107" t="e">
        <f>$H$31*H49</f>
        <v>#DIV/0!</v>
      </c>
    </row>
    <row r="54" spans="1:62" x14ac:dyDescent="0.25">
      <c r="BH54">
        <f>BH51+1</f>
        <v>7</v>
      </c>
      <c r="BI54">
        <v>8</v>
      </c>
      <c r="BJ54" s="107" t="e">
        <f>$H$32*H47</f>
        <v>#DIV/0!</v>
      </c>
    </row>
    <row r="55" spans="1:62" x14ac:dyDescent="0.25">
      <c r="BH55">
        <f>BH52+1</f>
        <v>7</v>
      </c>
      <c r="BI55">
        <v>9</v>
      </c>
      <c r="BJ55" s="107" t="e">
        <f>$H$32*H48</f>
        <v>#DIV/0!</v>
      </c>
    </row>
    <row r="56" spans="1:62" x14ac:dyDescent="0.25">
      <c r="BH56">
        <f>BH53+1</f>
        <v>7</v>
      </c>
      <c r="BI56">
        <v>10</v>
      </c>
      <c r="BJ56" s="107" t="e">
        <f>$H$32*H49</f>
        <v>#DIV/0!</v>
      </c>
    </row>
    <row r="57" spans="1:62" x14ac:dyDescent="0.25">
      <c r="BH57">
        <f>BH55+1</f>
        <v>8</v>
      </c>
      <c r="BI57">
        <v>9</v>
      </c>
      <c r="BJ57" s="107" t="e">
        <f>$H$33*H48</f>
        <v>#DIV/0!</v>
      </c>
    </row>
    <row r="58" spans="1:62" x14ac:dyDescent="0.25">
      <c r="BH58">
        <f>BH56+1</f>
        <v>8</v>
      </c>
      <c r="BI58">
        <v>10</v>
      </c>
      <c r="BJ58" s="107" t="e">
        <f>$H$33*H49</f>
        <v>#DIV/0!</v>
      </c>
    </row>
    <row r="59" spans="1:62" x14ac:dyDescent="0.25">
      <c r="BH59">
        <f t="shared" ref="BH59" si="39">BH58+1</f>
        <v>9</v>
      </c>
      <c r="BI59">
        <v>10</v>
      </c>
      <c r="BJ59" s="107" t="e">
        <f>$H$34*H49</f>
        <v>#DIV/0!</v>
      </c>
    </row>
  </sheetData>
  <mergeCells count="2">
    <mergeCell ref="P1:Q1"/>
    <mergeCell ref="B3:C3"/>
  </mergeCells>
  <conditionalFormatting sqref="V25:V35 V39:V49">
    <cfRule type="cellIs" dxfId="27" priority="14" operator="greaterThan">
      <formula>0.15</formula>
    </cfRule>
  </conditionalFormatting>
  <conditionalFormatting sqref="V35">
    <cfRule type="cellIs" dxfId="26" priority="13" operator="greaterThan">
      <formula>0.15</formula>
    </cfRule>
  </conditionalFormatting>
  <conditionalFormatting sqref="V49">
    <cfRule type="cellIs" dxfId="25" priority="12" operator="greaterThan">
      <formula>0.15</formula>
    </cfRule>
  </conditionalFormatting>
  <conditionalFormatting sqref="V25:V35 V39:V49">
    <cfRule type="cellIs" dxfId="24" priority="11" operator="greaterThan">
      <formula>0.15</formula>
    </cfRule>
  </conditionalFormatting>
  <conditionalFormatting sqref="V35">
    <cfRule type="cellIs" dxfId="23" priority="10" operator="greaterThan">
      <formula>0.15</formula>
    </cfRule>
  </conditionalFormatting>
  <conditionalFormatting sqref="V49">
    <cfRule type="cellIs" dxfId="22" priority="9" operator="greaterThan">
      <formula>0.15</formula>
    </cfRule>
  </conditionalFormatting>
  <conditionalFormatting sqref="H25:H35">
    <cfRule type="cellIs" dxfId="21" priority="8" operator="greaterThan">
      <formula>0.15</formula>
    </cfRule>
  </conditionalFormatting>
  <conditionalFormatting sqref="H35">
    <cfRule type="cellIs" dxfId="20" priority="7" operator="greaterThan">
      <formula>0.15</formula>
    </cfRule>
  </conditionalFormatting>
  <conditionalFormatting sqref="H25:H35">
    <cfRule type="cellIs" dxfId="19" priority="6" operator="greaterThan">
      <formula>0.15</formula>
    </cfRule>
  </conditionalFormatting>
  <conditionalFormatting sqref="H35">
    <cfRule type="cellIs" dxfId="18" priority="5" operator="greaterThan">
      <formula>0.15</formula>
    </cfRule>
  </conditionalFormatting>
  <conditionalFormatting sqref="H39:H49">
    <cfRule type="cellIs" dxfId="17" priority="4" operator="greaterThan">
      <formula>0.15</formula>
    </cfRule>
  </conditionalFormatting>
  <conditionalFormatting sqref="H49">
    <cfRule type="cellIs" dxfId="16" priority="3" operator="greaterThan">
      <formula>0.15</formula>
    </cfRule>
  </conditionalFormatting>
  <conditionalFormatting sqref="H39:H49">
    <cfRule type="cellIs" dxfId="15" priority="2" operator="greaterThan">
      <formula>0.15</formula>
    </cfRule>
  </conditionalFormatting>
  <conditionalFormatting sqref="H49">
    <cfRule type="cellIs" dxfId="14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BR59"/>
  <sheetViews>
    <sheetView topLeftCell="A4" zoomScale="80" zoomScaleNormal="80" workbookViewId="0">
      <selection activeCell="C5" sqref="C5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7.140625" bestFit="1" customWidth="1"/>
    <col min="16" max="16" width="9.140625" bestFit="1" customWidth="1"/>
    <col min="17" max="17" width="8.85546875" bestFit="1" customWidth="1"/>
    <col min="18" max="18" width="9.140625" bestFit="1" customWidth="1"/>
    <col min="19" max="19" width="7.7109375" bestFit="1" customWidth="1"/>
    <col min="20" max="20" width="9.140625" bestFit="1" customWidth="1"/>
    <col min="21" max="21" width="7.14062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9.1406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7.14062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155" t="s">
        <v>142</v>
      </c>
      <c r="F1" s="10" t="s">
        <v>123</v>
      </c>
      <c r="G1" s="70">
        <f>IF(D3="SI",COUNTIF($F$6:$F$18,"RAP"),0)</f>
        <v>0</v>
      </c>
      <c r="H1" s="70">
        <f>G1+G2+G3</f>
        <v>0</v>
      </c>
      <c r="J1" s="11" t="s">
        <v>123</v>
      </c>
      <c r="K1" s="70">
        <f>IF(D3="SI",COUNTIF($J$6:$J$18,"RAP"),0)</f>
        <v>0</v>
      </c>
      <c r="L1" s="70">
        <f>K1+K2+K3</f>
        <v>0</v>
      </c>
      <c r="M1" s="150">
        <f>L1+H1</f>
        <v>0</v>
      </c>
      <c r="P1" s="207" t="s">
        <v>135</v>
      </c>
      <c r="Q1" s="207"/>
      <c r="R1" s="152">
        <v>-0.12364059050405629</v>
      </c>
      <c r="S1" s="153">
        <f>1+R1</f>
        <v>0.87635940949594371</v>
      </c>
      <c r="AF1">
        <f>COUNTA(J16:J18)</f>
        <v>0</v>
      </c>
    </row>
    <row r="2" spans="1:70" x14ac:dyDescent="0.25">
      <c r="A2" s="155" t="s">
        <v>143</v>
      </c>
      <c r="F2" s="10" t="s">
        <v>21</v>
      </c>
      <c r="G2" s="70">
        <f>IF(D3="SI",COUNTIF($F$6:$F$18,"TEC"),0)</f>
        <v>0</v>
      </c>
      <c r="H2" s="13"/>
      <c r="J2" s="11" t="s">
        <v>21</v>
      </c>
      <c r="K2" s="70">
        <f>IF(D3="SI",COUNTIF($J$6:$J$18,"TEC"),0)</f>
        <v>0</v>
      </c>
      <c r="L2" s="13" t="s">
        <v>134</v>
      </c>
      <c r="M2" s="149" t="str">
        <f>IF(M1&lt;&gt;0,"SI","NO")</f>
        <v>NO</v>
      </c>
      <c r="R2" s="152">
        <v>7.3959748117051513E-2</v>
      </c>
      <c r="S2" s="153">
        <f>1+R2</f>
        <v>1.0739597481170515</v>
      </c>
    </row>
    <row r="3" spans="1:70" x14ac:dyDescent="0.25">
      <c r="A3" s="148" t="s">
        <v>108</v>
      </c>
      <c r="B3" s="210" t="s">
        <v>130</v>
      </c>
      <c r="C3" s="210"/>
      <c r="D3" t="str">
        <f>IF(B3="Sol","SI",IF(B3="Lluvia","SI","NO"))</f>
        <v>NO</v>
      </c>
      <c r="F3" s="10" t="s">
        <v>131</v>
      </c>
      <c r="G3" s="70">
        <f>IF(D3="SI",COUNTIF($F$6:$F$18,"POT"),0)</f>
        <v>0</v>
      </c>
      <c r="H3" s="13"/>
      <c r="J3" s="11" t="s">
        <v>131</v>
      </c>
      <c r="K3" s="70">
        <f>IF(D3="SI",COUNTIF($J$6:$J$18,"POT"),0)</f>
        <v>0</v>
      </c>
      <c r="L3" s="13"/>
      <c r="O3" t="s">
        <v>132</v>
      </c>
      <c r="P3" s="16" t="s">
        <v>138</v>
      </c>
      <c r="Q3" t="s">
        <v>133</v>
      </c>
      <c r="R3" s="16" t="s">
        <v>139</v>
      </c>
      <c r="Y3" t="s">
        <v>132</v>
      </c>
      <c r="Z3" s="19" t="s">
        <v>138</v>
      </c>
      <c r="AA3" t="s">
        <v>133</v>
      </c>
      <c r="AB3" s="19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30</v>
      </c>
      <c r="R4" s="8" t="s">
        <v>70</v>
      </c>
      <c r="S4" s="8" t="s">
        <v>31</v>
      </c>
      <c r="T4" s="8" t="s">
        <v>32</v>
      </c>
      <c r="U4" s="8" t="s">
        <v>33</v>
      </c>
      <c r="V4" s="155"/>
      <c r="W4" s="125"/>
      <c r="X4" s="12" t="s">
        <v>72</v>
      </c>
      <c r="Y4" s="9" t="s">
        <v>28</v>
      </c>
      <c r="Z4" s="9" t="s">
        <v>29</v>
      </c>
      <c r="AA4" s="9" t="s">
        <v>34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BH4">
        <v>0</v>
      </c>
      <c r="BI4">
        <v>1</v>
      </c>
      <c r="BJ4" s="107" t="e">
        <f t="shared" ref="BJ4:BJ13" si="0">$H$24*H39</f>
        <v>#DIV/0!</v>
      </c>
      <c r="BL4">
        <v>0</v>
      </c>
      <c r="BM4">
        <v>0</v>
      </c>
      <c r="BN4" s="107" t="e">
        <f>H24*H38</f>
        <v>#DIV/0!</v>
      </c>
      <c r="BP4">
        <v>1</v>
      </c>
      <c r="BQ4">
        <v>0</v>
      </c>
      <c r="BR4" s="107" t="e">
        <f>$H$25*H38</f>
        <v>#DIV/0!</v>
      </c>
    </row>
    <row r="5" spans="1:70" x14ac:dyDescent="0.25">
      <c r="A5" s="25" t="s">
        <v>140</v>
      </c>
      <c r="B5" s="156">
        <v>352</v>
      </c>
      <c r="C5" s="156">
        <v>352</v>
      </c>
      <c r="E5" s="50" t="s">
        <v>15</v>
      </c>
      <c r="F5" s="10" t="s">
        <v>16</v>
      </c>
      <c r="G5" s="10">
        <v>12</v>
      </c>
      <c r="H5" s="10"/>
      <c r="I5" s="10"/>
      <c r="J5" s="11" t="s">
        <v>16</v>
      </c>
      <c r="K5" s="11">
        <v>12</v>
      </c>
      <c r="L5" s="10"/>
      <c r="M5" s="10"/>
      <c r="O5" s="66">
        <f>COUNTIF(F5:F18,"IMP")*0.017</f>
        <v>0</v>
      </c>
      <c r="P5" s="16" t="str">
        <f>P3</f>
        <v>0,6</v>
      </c>
      <c r="Q5" s="17">
        <f>P5*O5</f>
        <v>0</v>
      </c>
      <c r="R5" s="157" t="e">
        <f>IF($M$2="SI",Q5*$B$22/0.5*$S$1,Q5*$B$22/0.5*$S$2)</f>
        <v>#DIV/0!</v>
      </c>
      <c r="S5" s="41" t="e">
        <f>(1-R5)</f>
        <v>#DIV/0!</v>
      </c>
      <c r="T5" s="42" t="e">
        <f>R5*PRODUCT(S6:S19)</f>
        <v>#DIV/0!</v>
      </c>
      <c r="U5" s="42" t="e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#DIV/0!</v>
      </c>
      <c r="V5" s="18"/>
      <c r="W5" s="48" t="s">
        <v>36</v>
      </c>
      <c r="X5" s="15" t="s">
        <v>37</v>
      </c>
      <c r="Y5" s="68">
        <f>COUNTIF(J5:J18,"IMP")*0.017</f>
        <v>0</v>
      </c>
      <c r="Z5" s="146" t="str">
        <f>Z3</f>
        <v>0,6</v>
      </c>
      <c r="AA5" s="20">
        <f>Z5*Y5</f>
        <v>0</v>
      </c>
      <c r="AB5" s="157" t="e">
        <f>IF($M$2="SI",AA5*$C$22/0.5*$S$1,AA5*$C$22/0.5*$S$2)</f>
        <v>#DIV/0!</v>
      </c>
      <c r="AC5" s="41" t="e">
        <f>(1-AB5)</f>
        <v>#DIV/0!</v>
      </c>
      <c r="AD5" s="42" t="e">
        <f>AB5*PRODUCT(AC6:AC19)</f>
        <v>#DIV/0!</v>
      </c>
      <c r="AE5" s="42" t="e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#DIV/0!</v>
      </c>
      <c r="AF5" s="18"/>
      <c r="BH5">
        <v>0</v>
      </c>
      <c r="BI5">
        <v>2</v>
      </c>
      <c r="BJ5" s="107" t="e">
        <f t="shared" si="0"/>
        <v>#DIV/0!</v>
      </c>
      <c r="BL5">
        <v>1</v>
      </c>
      <c r="BM5">
        <v>1</v>
      </c>
      <c r="BN5" s="107" t="e">
        <f>$H$25*H39</f>
        <v>#DIV/0!</v>
      </c>
      <c r="BP5">
        <f>BP4+1</f>
        <v>2</v>
      </c>
      <c r="BQ5">
        <v>0</v>
      </c>
      <c r="BR5" s="107" t="e">
        <f>$H$26*H38</f>
        <v>#DIV/0!</v>
      </c>
    </row>
    <row r="6" spans="1:70" x14ac:dyDescent="0.25">
      <c r="A6" s="2" t="s">
        <v>1</v>
      </c>
      <c r="B6" s="3"/>
      <c r="C6" s="4"/>
      <c r="E6" s="50" t="s">
        <v>17</v>
      </c>
      <c r="F6" s="10"/>
      <c r="G6" s="10"/>
      <c r="H6" s="154"/>
      <c r="I6" s="10"/>
      <c r="J6" s="11"/>
      <c r="K6" s="11"/>
      <c r="L6" s="154"/>
      <c r="M6" s="10"/>
      <c r="O6" s="66">
        <f>COUNTIF(F14:F18,"IMP")*0.017</f>
        <v>0</v>
      </c>
      <c r="P6" s="16" t="str">
        <f>P3</f>
        <v>0,6</v>
      </c>
      <c r="Q6" s="17">
        <f t="shared" ref="Q6:Q19" si="1">P6*O6</f>
        <v>0</v>
      </c>
      <c r="R6" s="157" t="e">
        <f>IF($M$2="SI",Q6*$B$22/0.5*$S$1,Q6*$B$22/0.5*$S$2)</f>
        <v>#DIV/0!</v>
      </c>
      <c r="S6" s="41" t="e">
        <f t="shared" ref="S6:S19" si="2">(1-R6)</f>
        <v>#DIV/0!</v>
      </c>
      <c r="T6" s="42" t="e">
        <f>R6*S5*PRODUCT(S7:S19)</f>
        <v>#DIV/0!</v>
      </c>
      <c r="U6" s="42" t="e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#DIV/0!</v>
      </c>
      <c r="V6" s="18"/>
      <c r="W6" s="48" t="s">
        <v>38</v>
      </c>
      <c r="X6" s="15" t="s">
        <v>39</v>
      </c>
      <c r="Y6" s="68">
        <f>COUNTIF(J14:J18,"IMP")*0.017</f>
        <v>0</v>
      </c>
      <c r="Z6" s="146" t="str">
        <f>Z3</f>
        <v>0,6</v>
      </c>
      <c r="AA6" s="20">
        <f t="shared" ref="AA6:AA19" si="3">Z6*Y6</f>
        <v>0</v>
      </c>
      <c r="AB6" s="157" t="e">
        <f t="shared" ref="AB6:AB19" si="4">IF($M$2="SI",AA6*$C$22/0.5*$S$1,AA6*$C$22/0.5*$S$2)</f>
        <v>#DIV/0!</v>
      </c>
      <c r="AC6" s="41" t="e">
        <f t="shared" ref="AC6:AC19" si="5">(1-AB6)</f>
        <v>#DIV/0!</v>
      </c>
      <c r="AD6" s="42" t="e">
        <f>AB6*AC5*PRODUCT(AC7:AC19)</f>
        <v>#DIV/0!</v>
      </c>
      <c r="AE6" s="42" t="e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#DIV/0!</v>
      </c>
      <c r="AF6" s="18"/>
      <c r="BH6">
        <v>0</v>
      </c>
      <c r="BI6">
        <v>3</v>
      </c>
      <c r="BJ6" s="107" t="e">
        <f t="shared" si="0"/>
        <v>#DIV/0!</v>
      </c>
      <c r="BL6">
        <f>BH14+1</f>
        <v>2</v>
      </c>
      <c r="BM6">
        <v>2</v>
      </c>
      <c r="BN6" s="107" t="e">
        <f>$H$26*H40</f>
        <v>#DIV/0!</v>
      </c>
      <c r="BP6">
        <f>BL5+1</f>
        <v>2</v>
      </c>
      <c r="BQ6">
        <v>1</v>
      </c>
      <c r="BR6" s="107" t="e">
        <f>$H$26*H39</f>
        <v>#DIV/0!</v>
      </c>
    </row>
    <row r="7" spans="1:70" x14ac:dyDescent="0.25">
      <c r="A7" s="5" t="s">
        <v>2</v>
      </c>
      <c r="B7" s="3"/>
      <c r="C7" s="4"/>
      <c r="E7" s="50" t="s">
        <v>18</v>
      </c>
      <c r="F7" s="10"/>
      <c r="G7" s="10"/>
      <c r="H7" s="154"/>
      <c r="I7" s="10"/>
      <c r="J7" s="11"/>
      <c r="K7" s="11"/>
      <c r="L7" s="154"/>
      <c r="M7" s="10"/>
      <c r="O7" s="66">
        <v>0</v>
      </c>
      <c r="P7" s="144">
        <v>0.5</v>
      </c>
      <c r="Q7" s="17">
        <f t="shared" si="1"/>
        <v>0</v>
      </c>
      <c r="R7" s="157" t="e">
        <f t="shared" ref="R7:R19" si="6">IF($M$2="SI",Q7*$B$22/0.5*$S$1,Q7*$B$22/0.5*$S$2)</f>
        <v>#DIV/0!</v>
      </c>
      <c r="S7" s="41" t="e">
        <f t="shared" si="2"/>
        <v>#DIV/0!</v>
      </c>
      <c r="T7" s="42" t="e">
        <f>R7*PRODUCT(S5:S6)*PRODUCT(S8:S19)</f>
        <v>#DIV/0!</v>
      </c>
      <c r="U7" s="42" t="e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#DIV/0!</v>
      </c>
      <c r="W7" s="48" t="s">
        <v>40</v>
      </c>
      <c r="X7" s="15" t="s">
        <v>41</v>
      </c>
      <c r="Y7" s="68">
        <v>0</v>
      </c>
      <c r="Z7" s="146">
        <v>0.5</v>
      </c>
      <c r="AA7" s="20">
        <f t="shared" si="3"/>
        <v>0</v>
      </c>
      <c r="AB7" s="157" t="e">
        <f t="shared" si="4"/>
        <v>#DIV/0!</v>
      </c>
      <c r="AC7" s="41" t="e">
        <f t="shared" si="5"/>
        <v>#DIV/0!</v>
      </c>
      <c r="AD7" s="42" t="e">
        <f>AB7*PRODUCT(AC5:AC6)*PRODUCT(AC8:AC19)</f>
        <v>#DIV/0!</v>
      </c>
      <c r="AE7" s="42" t="e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#DIV/0!</v>
      </c>
      <c r="BH7">
        <v>0</v>
      </c>
      <c r="BI7">
        <v>4</v>
      </c>
      <c r="BJ7" s="107" t="e">
        <f t="shared" si="0"/>
        <v>#DIV/0!</v>
      </c>
      <c r="BL7">
        <f>BH23+1</f>
        <v>3</v>
      </c>
      <c r="BM7">
        <v>3</v>
      </c>
      <c r="BN7" s="107" t="e">
        <f>$H$27*H41</f>
        <v>#DIV/0!</v>
      </c>
      <c r="BP7">
        <f>BP5+1</f>
        <v>3</v>
      </c>
      <c r="BQ7">
        <v>0</v>
      </c>
      <c r="BR7" s="107" t="e">
        <f>$H$27*H38</f>
        <v>#DIV/0!</v>
      </c>
    </row>
    <row r="8" spans="1:70" x14ac:dyDescent="0.25">
      <c r="A8" s="5" t="s">
        <v>3</v>
      </c>
      <c r="B8" s="3"/>
      <c r="C8" s="4"/>
      <c r="E8" s="50" t="s">
        <v>18</v>
      </c>
      <c r="F8" s="10"/>
      <c r="G8" s="10"/>
      <c r="H8" s="154"/>
      <c r="I8" s="10"/>
      <c r="J8" s="11"/>
      <c r="K8" s="11"/>
      <c r="L8" s="154"/>
      <c r="M8" s="10"/>
      <c r="O8" s="66">
        <f>COUNTIF(F6:F18,"IMP")*0.01</f>
        <v>0</v>
      </c>
      <c r="P8" s="16" t="str">
        <f>P3</f>
        <v>0,6</v>
      </c>
      <c r="Q8" s="17">
        <f t="shared" si="1"/>
        <v>0</v>
      </c>
      <c r="R8" s="157" t="e">
        <f t="shared" si="6"/>
        <v>#DIV/0!</v>
      </c>
      <c r="S8" s="41" t="e">
        <f t="shared" si="2"/>
        <v>#DIV/0!</v>
      </c>
      <c r="T8" s="42" t="e">
        <f>R8*PRODUCT(S5:S7)*PRODUCT(S9:S19)</f>
        <v>#DIV/0!</v>
      </c>
      <c r="U8" s="42" t="e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#DIV/0!</v>
      </c>
      <c r="W8" s="48" t="s">
        <v>42</v>
      </c>
      <c r="X8" s="15" t="s">
        <v>43</v>
      </c>
      <c r="Y8" s="68">
        <f>COUNTIF(J6:J18,"IMP")*0.01</f>
        <v>0</v>
      </c>
      <c r="Z8" s="146" t="str">
        <f>Z3</f>
        <v>0,6</v>
      </c>
      <c r="AA8" s="20">
        <f t="shared" si="3"/>
        <v>0</v>
      </c>
      <c r="AB8" s="157" t="e">
        <f t="shared" si="4"/>
        <v>#DIV/0!</v>
      </c>
      <c r="AC8" s="41" t="e">
        <f t="shared" si="5"/>
        <v>#DIV/0!</v>
      </c>
      <c r="AD8" s="42" t="e">
        <f>AB8*PRODUCT(AC5:AC7)*PRODUCT(AC9:AC19)</f>
        <v>#DIV/0!</v>
      </c>
      <c r="AE8" s="42" t="e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#DIV/0!</v>
      </c>
      <c r="BH8">
        <v>0</v>
      </c>
      <c r="BI8">
        <v>5</v>
      </c>
      <c r="BJ8" s="107" t="e">
        <f t="shared" si="0"/>
        <v>#DIV/0!</v>
      </c>
      <c r="BL8">
        <f>BH31+1</f>
        <v>4</v>
      </c>
      <c r="BM8">
        <v>4</v>
      </c>
      <c r="BN8" s="107" t="e">
        <f>$H$28*H42</f>
        <v>#DIV/0!</v>
      </c>
      <c r="BP8">
        <f>BP6+1</f>
        <v>3</v>
      </c>
      <c r="BQ8">
        <v>1</v>
      </c>
      <c r="BR8" s="107" t="e">
        <f>$H$27*H39</f>
        <v>#DIV/0!</v>
      </c>
    </row>
    <row r="9" spans="1:70" x14ac:dyDescent="0.25">
      <c r="A9" s="5" t="s">
        <v>4</v>
      </c>
      <c r="B9" s="3"/>
      <c r="C9" s="4"/>
      <c r="E9" s="50" t="s">
        <v>18</v>
      </c>
      <c r="F9" s="10"/>
      <c r="G9" s="10"/>
      <c r="H9" s="154"/>
      <c r="I9" s="10"/>
      <c r="J9" s="11"/>
      <c r="K9" s="11"/>
      <c r="L9" s="154"/>
      <c r="M9" s="10"/>
      <c r="O9" s="66">
        <f>COUNTIF(J6:J13,"IMP")*0.025</f>
        <v>0</v>
      </c>
      <c r="P9" s="144">
        <v>0.5</v>
      </c>
      <c r="Q9" s="17">
        <f t="shared" si="1"/>
        <v>0</v>
      </c>
      <c r="R9" s="157" t="e">
        <f t="shared" si="6"/>
        <v>#DIV/0!</v>
      </c>
      <c r="S9" s="41" t="e">
        <f t="shared" si="2"/>
        <v>#DIV/0!</v>
      </c>
      <c r="T9" s="42" t="e">
        <f>R9*PRODUCT(S5:S8)*PRODUCT(S10:S19)</f>
        <v>#DIV/0!</v>
      </c>
      <c r="U9" s="42" t="e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#DIV/0!</v>
      </c>
      <c r="W9" s="49" t="s">
        <v>44</v>
      </c>
      <c r="X9" s="15" t="s">
        <v>45</v>
      </c>
      <c r="Y9" s="68">
        <f>COUNTIF(F6:F13,"IMP")*0.025</f>
        <v>0</v>
      </c>
      <c r="Z9" s="146">
        <v>0.5</v>
      </c>
      <c r="AA9" s="20">
        <f t="shared" si="3"/>
        <v>0</v>
      </c>
      <c r="AB9" s="157" t="e">
        <f t="shared" si="4"/>
        <v>#DIV/0!</v>
      </c>
      <c r="AC9" s="41" t="e">
        <f t="shared" si="5"/>
        <v>#DIV/0!</v>
      </c>
      <c r="AD9" s="42" t="e">
        <f>AB9*PRODUCT(AC5:AC8)*PRODUCT(AC10:AC19)</f>
        <v>#DIV/0!</v>
      </c>
      <c r="AE9" s="42" t="e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#DIV/0!</v>
      </c>
      <c r="BH9">
        <v>0</v>
      </c>
      <c r="BI9">
        <v>6</v>
      </c>
      <c r="BJ9" s="107" t="e">
        <f t="shared" si="0"/>
        <v>#DIV/0!</v>
      </c>
      <c r="BL9">
        <f>BH38+1</f>
        <v>5</v>
      </c>
      <c r="BM9">
        <v>5</v>
      </c>
      <c r="BN9" s="107" t="e">
        <f>$H$29*H43</f>
        <v>#DIV/0!</v>
      </c>
      <c r="BP9">
        <f>BL6+1</f>
        <v>3</v>
      </c>
      <c r="BQ9">
        <v>2</v>
      </c>
      <c r="BR9" s="107" t="e">
        <f>$H$27*H40</f>
        <v>#DIV/0!</v>
      </c>
    </row>
    <row r="10" spans="1:70" x14ac:dyDescent="0.25">
      <c r="A10" s="6" t="s">
        <v>5</v>
      </c>
      <c r="B10" s="3"/>
      <c r="C10" s="4"/>
      <c r="E10" s="50" t="s">
        <v>17</v>
      </c>
      <c r="F10" s="10"/>
      <c r="G10" s="10"/>
      <c r="H10" s="154"/>
      <c r="I10" s="10"/>
      <c r="J10" s="11"/>
      <c r="K10" s="11"/>
      <c r="L10" s="154"/>
      <c r="M10" s="10"/>
      <c r="O10" s="66">
        <f>COUNTIF(F14:F18,"RAP")*0.0785</f>
        <v>0</v>
      </c>
      <c r="P10" s="16" t="str">
        <f>R3</f>
        <v>0,72</v>
      </c>
      <c r="Q10" s="17">
        <f t="shared" si="1"/>
        <v>0</v>
      </c>
      <c r="R10" s="157" t="e">
        <f t="shared" si="6"/>
        <v>#DIV/0!</v>
      </c>
      <c r="S10" s="41" t="e">
        <f t="shared" si="2"/>
        <v>#DIV/0!</v>
      </c>
      <c r="T10" s="42" t="e">
        <f>R10*PRODUCT(S5:S9)*PRODUCT(S11:S19)</f>
        <v>#DIV/0!</v>
      </c>
      <c r="U10" s="42" t="e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#DIV/0!</v>
      </c>
      <c r="W10" s="48" t="s">
        <v>46</v>
      </c>
      <c r="X10" s="15" t="s">
        <v>47</v>
      </c>
      <c r="Y10" s="68">
        <f>COUNTIF(J14:J18,"RAP")*0.0785</f>
        <v>0</v>
      </c>
      <c r="Z10" s="146" t="str">
        <f>AB3</f>
        <v>0,72</v>
      </c>
      <c r="AA10" s="20">
        <f t="shared" si="3"/>
        <v>0</v>
      </c>
      <c r="AB10" s="157" t="e">
        <f t="shared" si="4"/>
        <v>#DIV/0!</v>
      </c>
      <c r="AC10" s="41" t="e">
        <f t="shared" si="5"/>
        <v>#DIV/0!</v>
      </c>
      <c r="AD10" s="42" t="e">
        <f>AB10*PRODUCT(AC5:AC9)*PRODUCT(AC11:AC19)</f>
        <v>#DIV/0!</v>
      </c>
      <c r="AE10" s="42" t="e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#DIV/0!</v>
      </c>
      <c r="BH10">
        <v>0</v>
      </c>
      <c r="BI10">
        <v>7</v>
      </c>
      <c r="BJ10" s="107" t="e">
        <f t="shared" si="0"/>
        <v>#DIV/0!</v>
      </c>
      <c r="BL10">
        <f>BH44+1</f>
        <v>6</v>
      </c>
      <c r="BM10">
        <v>6</v>
      </c>
      <c r="BN10" s="107" t="e">
        <f>$H$30*H44</f>
        <v>#DIV/0!</v>
      </c>
      <c r="BP10">
        <f>BP7+1</f>
        <v>4</v>
      </c>
      <c r="BQ10">
        <v>0</v>
      </c>
      <c r="BR10" s="107" t="e">
        <f>$H$28*H38</f>
        <v>#DIV/0!</v>
      </c>
    </row>
    <row r="11" spans="1:70" x14ac:dyDescent="0.25">
      <c r="A11" s="6" t="s">
        <v>6</v>
      </c>
      <c r="B11" s="3"/>
      <c r="C11" s="4"/>
      <c r="E11" s="50" t="s">
        <v>19</v>
      </c>
      <c r="F11" s="10"/>
      <c r="G11" s="10"/>
      <c r="H11" s="154"/>
      <c r="I11" s="10"/>
      <c r="J11" s="11"/>
      <c r="K11" s="11"/>
      <c r="L11" s="154"/>
      <c r="M11" s="10"/>
      <c r="O11" s="66">
        <f>IF(COUNTA(F16:F18)=0,0,COUNTIF(F14:F15,"RAP")*0.035)+IF(COUNTA(F17:F18)=0,0,COUNTIF(F16:F16,"RAP")*0.035)+IF(COUNTA(F16:F17)=0,0,COUNTIF(F18:F18,"RAP")*0.035)+IF(COUNTA(F16,F18)=0,0,COUNTIF(F17:F17,"RAP")*0.035)</f>
        <v>0</v>
      </c>
      <c r="P11" s="16" t="str">
        <f>R3</f>
        <v>0,72</v>
      </c>
      <c r="Q11" s="17">
        <f t="shared" si="1"/>
        <v>0</v>
      </c>
      <c r="R11" s="157" t="e">
        <f t="shared" si="6"/>
        <v>#DIV/0!</v>
      </c>
      <c r="S11" s="41" t="e">
        <f t="shared" si="2"/>
        <v>#DIV/0!</v>
      </c>
      <c r="T11" s="42" t="e">
        <f>R11*PRODUCT(S5:S10)*PRODUCT(S12:S19)</f>
        <v>#DIV/0!</v>
      </c>
      <c r="U11" s="42" t="e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#DIV/0!</v>
      </c>
      <c r="W11" s="48" t="s">
        <v>48</v>
      </c>
      <c r="X11" s="15" t="s">
        <v>49</v>
      </c>
      <c r="Y11" s="68">
        <f>IF(COUNTA(J16:J18)=0,0,COUNTIF(J14:J15,"RAP")*0.035)+IF(COUNTA(J17:J18)=0,0,COUNTIF(J16:J16,"RAP")*0.035)+IF(COUNTA(J16:J17)=0,0,COUNTIF(J18:J18,"RAP")*0.035)+IF(COUNTA(J16,J18)=0,0,COUNTIF(J17:J17,"RAP")*0.035)</f>
        <v>0</v>
      </c>
      <c r="Z11" s="146" t="str">
        <f>AB3</f>
        <v>0,72</v>
      </c>
      <c r="AA11" s="20">
        <f t="shared" si="3"/>
        <v>0</v>
      </c>
      <c r="AB11" s="157" t="e">
        <f t="shared" si="4"/>
        <v>#DIV/0!</v>
      </c>
      <c r="AC11" s="41" t="e">
        <f t="shared" si="5"/>
        <v>#DIV/0!</v>
      </c>
      <c r="AD11" s="42" t="e">
        <f>AB11*PRODUCT(AC5:AC10)*PRODUCT(AC12:AC19)</f>
        <v>#DIV/0!</v>
      </c>
      <c r="AE11" s="42" t="e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#DIV/0!</v>
      </c>
      <c r="BH11">
        <v>0</v>
      </c>
      <c r="BI11">
        <v>8</v>
      </c>
      <c r="BJ11" s="107" t="e">
        <f t="shared" si="0"/>
        <v>#DIV/0!</v>
      </c>
      <c r="BL11">
        <f>BH50+1</f>
        <v>7</v>
      </c>
      <c r="BM11">
        <v>7</v>
      </c>
      <c r="BN11" s="107" t="e">
        <f>$H$31*H45</f>
        <v>#DIV/0!</v>
      </c>
      <c r="BP11">
        <f>BP8+1</f>
        <v>4</v>
      </c>
      <c r="BQ11">
        <v>1</v>
      </c>
      <c r="BR11" s="107" t="e">
        <f>$H$28*H39</f>
        <v>#DIV/0!</v>
      </c>
    </row>
    <row r="12" spans="1:70" x14ac:dyDescent="0.25">
      <c r="A12" s="6" t="s">
        <v>7</v>
      </c>
      <c r="B12" s="3"/>
      <c r="C12" s="4"/>
      <c r="E12" s="50" t="s">
        <v>19</v>
      </c>
      <c r="F12" s="10"/>
      <c r="G12" s="10"/>
      <c r="H12" s="154"/>
      <c r="I12" s="10"/>
      <c r="J12" s="11"/>
      <c r="K12" s="11"/>
      <c r="L12" s="154"/>
      <c r="M12" s="10"/>
      <c r="O12" s="67"/>
      <c r="P12" s="144">
        <v>0.5</v>
      </c>
      <c r="Q12" s="17">
        <f t="shared" si="1"/>
        <v>0</v>
      </c>
      <c r="R12" s="157" t="e">
        <f t="shared" si="6"/>
        <v>#DIV/0!</v>
      </c>
      <c r="S12" s="41" t="e">
        <f t="shared" si="2"/>
        <v>#DIV/0!</v>
      </c>
      <c r="T12" s="42" t="e">
        <f>R12*PRODUCT(S5:S11)*PRODUCT(S13:S19)</f>
        <v>#DIV/0!</v>
      </c>
      <c r="U12" s="42" t="e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#DIV/0!</v>
      </c>
      <c r="W12" s="49" t="s">
        <v>50</v>
      </c>
      <c r="X12" s="15" t="s">
        <v>51</v>
      </c>
      <c r="Y12" s="69"/>
      <c r="Z12" s="146">
        <v>0.5</v>
      </c>
      <c r="AA12" s="20">
        <f t="shared" si="3"/>
        <v>0</v>
      </c>
      <c r="AB12" s="157" t="e">
        <f t="shared" si="4"/>
        <v>#DIV/0!</v>
      </c>
      <c r="AC12" s="41" t="e">
        <f t="shared" si="5"/>
        <v>#DIV/0!</v>
      </c>
      <c r="AD12" s="42" t="e">
        <f>AB12*PRODUCT(AC5:AC11)*PRODUCT(AC13:AC19)</f>
        <v>#DIV/0!</v>
      </c>
      <c r="AE12" s="42" t="e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#DIV/0!</v>
      </c>
      <c r="BH12">
        <v>0</v>
      </c>
      <c r="BI12">
        <v>9</v>
      </c>
      <c r="BJ12" s="107" t="e">
        <f t="shared" si="0"/>
        <v>#DIV/0!</v>
      </c>
      <c r="BL12">
        <f>BH54+1</f>
        <v>8</v>
      </c>
      <c r="BM12">
        <v>8</v>
      </c>
      <c r="BN12" s="107" t="e">
        <f>$H$32*H46</f>
        <v>#DIV/0!</v>
      </c>
      <c r="BP12">
        <f>BP9+1</f>
        <v>4</v>
      </c>
      <c r="BQ12">
        <v>2</v>
      </c>
      <c r="BR12" s="107" t="e">
        <f>$H$28*H40</f>
        <v>#DIV/0!</v>
      </c>
    </row>
    <row r="13" spans="1:70" x14ac:dyDescent="0.25">
      <c r="A13" s="7" t="s">
        <v>8</v>
      </c>
      <c r="B13" s="3">
        <v>8.25</v>
      </c>
      <c r="C13" s="4">
        <v>11</v>
      </c>
      <c r="E13" s="50" t="s">
        <v>19</v>
      </c>
      <c r="F13" s="10"/>
      <c r="G13" s="10"/>
      <c r="H13" s="154"/>
      <c r="I13" s="10"/>
      <c r="J13" s="11"/>
      <c r="K13" s="11"/>
      <c r="L13" s="154"/>
      <c r="M13" s="10"/>
      <c r="O13" s="66">
        <v>9.7500000000000003E-2</v>
      </c>
      <c r="P13" s="16" t="str">
        <f>P3</f>
        <v>0,6</v>
      </c>
      <c r="Q13" s="17">
        <f t="shared" si="1"/>
        <v>5.8499999999999996E-2</v>
      </c>
      <c r="R13" s="157" t="e">
        <f t="shared" si="6"/>
        <v>#DIV/0!</v>
      </c>
      <c r="S13" s="41" t="e">
        <f t="shared" si="2"/>
        <v>#DIV/0!</v>
      </c>
      <c r="T13" s="42" t="e">
        <f>R13*PRODUCT(S5:S12)*PRODUCT(S14:S19)</f>
        <v>#DIV/0!</v>
      </c>
      <c r="U13" s="42" t="e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#DIV/0!</v>
      </c>
      <c r="W13" s="48" t="s">
        <v>52</v>
      </c>
      <c r="X13" s="15" t="s">
        <v>53</v>
      </c>
      <c r="Y13" s="68">
        <v>9.7500000000000003E-2</v>
      </c>
      <c r="Z13" s="146" t="str">
        <f>Z3</f>
        <v>0,6</v>
      </c>
      <c r="AA13" s="20">
        <f t="shared" si="3"/>
        <v>5.8499999999999996E-2</v>
      </c>
      <c r="AB13" s="157" t="e">
        <f t="shared" si="4"/>
        <v>#DIV/0!</v>
      </c>
      <c r="AC13" s="41" t="e">
        <f t="shared" si="5"/>
        <v>#DIV/0!</v>
      </c>
      <c r="AD13" s="42" t="e">
        <f>AB13*PRODUCT(AC5:AC12)*PRODUCT(AC14:AC19)</f>
        <v>#DIV/0!</v>
      </c>
      <c r="AE13" s="42" t="e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#DIV/0!</v>
      </c>
      <c r="BH13">
        <v>0</v>
      </c>
      <c r="BI13">
        <v>10</v>
      </c>
      <c r="BJ13" s="107" t="e">
        <f t="shared" si="0"/>
        <v>#DIV/0!</v>
      </c>
      <c r="BL13">
        <f>BH57+1</f>
        <v>9</v>
      </c>
      <c r="BM13">
        <v>9</v>
      </c>
      <c r="BN13" s="107" t="e">
        <f>$H$33*H47</f>
        <v>#DIV/0!</v>
      </c>
      <c r="BP13">
        <f>BL7+1</f>
        <v>4</v>
      </c>
      <c r="BQ13">
        <v>3</v>
      </c>
      <c r="BR13" s="107" t="e">
        <f>$H$28*H41</f>
        <v>#DIV/0!</v>
      </c>
    </row>
    <row r="14" spans="1:70" x14ac:dyDescent="0.25">
      <c r="A14" s="7" t="s">
        <v>9</v>
      </c>
      <c r="B14" s="3">
        <v>7.75</v>
      </c>
      <c r="C14" s="4">
        <v>10</v>
      </c>
      <c r="E14" s="50" t="s">
        <v>20</v>
      </c>
      <c r="F14" s="10"/>
      <c r="G14" s="10"/>
      <c r="H14" s="10"/>
      <c r="I14" s="10"/>
      <c r="J14" s="11"/>
      <c r="K14" s="11"/>
      <c r="L14" s="10"/>
      <c r="M14" s="10"/>
      <c r="O14" s="66">
        <f>COUNTIF(F6:F18,"CAB")*0.071</f>
        <v>0</v>
      </c>
      <c r="P14" s="145">
        <v>0.95</v>
      </c>
      <c r="Q14" s="17">
        <f t="shared" si="1"/>
        <v>0</v>
      </c>
      <c r="R14" s="157" t="e">
        <f t="shared" si="6"/>
        <v>#DIV/0!</v>
      </c>
      <c r="S14" s="41" t="e">
        <f t="shared" si="2"/>
        <v>#DIV/0!</v>
      </c>
      <c r="T14" s="42" t="e">
        <f>R14*PRODUCT(S5:S13)*PRODUCT(S15:S19)</f>
        <v>#DIV/0!</v>
      </c>
      <c r="U14" s="42" t="e">
        <f>R14*R15*PRODUCT(S5:S13)*PRODUCT(S16:S19)+R14*R16*PRODUCT(S5:S13)*S15*PRODUCT(S17:S19)+R14*R17*PRODUCT(S5:S13)*PRODUCT(S15:S16)*PRODUCT(S18:S19)+R14*R18*PRODUCT(S5:S13)*PRODUCT(S15:S17)*PRODUCT(S19)+R14*R19*PRODUCT(S5:S13)*PRODUCT(S15:S18)</f>
        <v>#DIV/0!</v>
      </c>
      <c r="W14" s="48" t="s">
        <v>54</v>
      </c>
      <c r="X14" s="15" t="s">
        <v>55</v>
      </c>
      <c r="Y14" s="68">
        <f>COUNTIF(J6:J18,"CAB")*0.071</f>
        <v>0</v>
      </c>
      <c r="Z14" s="147">
        <v>0.95</v>
      </c>
      <c r="AA14" s="20">
        <f t="shared" si="3"/>
        <v>0</v>
      </c>
      <c r="AB14" s="157" t="e">
        <f t="shared" si="4"/>
        <v>#DIV/0!</v>
      </c>
      <c r="AC14" s="41" t="e">
        <f t="shared" si="5"/>
        <v>#DIV/0!</v>
      </c>
      <c r="AD14" s="42" t="e">
        <f>AB14*PRODUCT(AC5:AC13)*PRODUCT(AC15:AC19)</f>
        <v>#DIV/0!</v>
      </c>
      <c r="AE14" s="42" t="e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#DIV/0!</v>
      </c>
      <c r="BH14">
        <v>1</v>
      </c>
      <c r="BI14">
        <v>2</v>
      </c>
      <c r="BJ14" s="107" t="e">
        <f t="shared" ref="BJ14:BJ22" si="7">$H$25*H40</f>
        <v>#DIV/0!</v>
      </c>
      <c r="BL14">
        <f>BP39+1</f>
        <v>10</v>
      </c>
      <c r="BM14">
        <v>10</v>
      </c>
      <c r="BN14" s="107" t="e">
        <f>$H$34*H48</f>
        <v>#DIV/0!</v>
      </c>
      <c r="BP14">
        <f>BP10+1</f>
        <v>5</v>
      </c>
      <c r="BQ14">
        <v>0</v>
      </c>
      <c r="BR14" s="107" t="e">
        <f>$H$29*H38</f>
        <v>#DIV/0!</v>
      </c>
    </row>
    <row r="15" spans="1:70" x14ac:dyDescent="0.25">
      <c r="A15" s="51" t="s">
        <v>71</v>
      </c>
      <c r="B15" s="52"/>
      <c r="C15" s="54"/>
      <c r="E15" s="50" t="s">
        <v>20</v>
      </c>
      <c r="F15" s="10"/>
      <c r="G15" s="10"/>
      <c r="H15" s="10"/>
      <c r="I15" s="10"/>
      <c r="J15" s="11"/>
      <c r="K15" s="11"/>
      <c r="L15" s="10"/>
      <c r="M15" s="10"/>
      <c r="O15" s="67"/>
      <c r="P15" s="144">
        <v>0.5</v>
      </c>
      <c r="Q15" s="17">
        <f t="shared" si="1"/>
        <v>0</v>
      </c>
      <c r="R15" s="157" t="e">
        <f t="shared" si="6"/>
        <v>#DIV/0!</v>
      </c>
      <c r="S15" s="41" t="e">
        <f t="shared" si="2"/>
        <v>#DIV/0!</v>
      </c>
      <c r="T15" s="42" t="e">
        <f>R15*PRODUCT(S5:S14)*PRODUCT(S16:S19)</f>
        <v>#DIV/0!</v>
      </c>
      <c r="U15" s="42" t="e">
        <f>R15*R16*PRODUCT(S5:S14)*PRODUCT(S17:S19)+R15*R17*PRODUCT(S5:S14)*S16*PRODUCT(S18:S19)+R15*R18*PRODUCT(S5:S14)*S16*S17*S19+R15*R19*PRODUCT(S5:S14)*S16*S17*S18</f>
        <v>#DIV/0!</v>
      </c>
      <c r="W15" s="48" t="s">
        <v>56</v>
      </c>
      <c r="X15" s="15" t="s">
        <v>57</v>
      </c>
      <c r="Y15" s="69"/>
      <c r="Z15" s="146">
        <v>0.5</v>
      </c>
      <c r="AA15" s="20">
        <f t="shared" si="3"/>
        <v>0</v>
      </c>
      <c r="AB15" s="157" t="e">
        <f t="shared" si="4"/>
        <v>#DIV/0!</v>
      </c>
      <c r="AC15" s="41" t="e">
        <f t="shared" si="5"/>
        <v>#DIV/0!</v>
      </c>
      <c r="AD15" s="42" t="e">
        <f>AB15*PRODUCT(AC5:AC14)*PRODUCT(AC16:AC19)</f>
        <v>#DIV/0!</v>
      </c>
      <c r="AE15" s="42" t="e">
        <f>AB15*AB16*PRODUCT(AC5:AC14)*PRODUCT(AC17:AC19)+AB15*AB17*PRODUCT(AC5:AC14)*AC16*PRODUCT(AC18:AC19)+AB15*AB18*PRODUCT(AC5:AC14)*AC16*AC17*AC19+AB15*AB19*PRODUCT(AC5:AC14)*AC16*AC17*AC18</f>
        <v>#DIV/0!</v>
      </c>
      <c r="BH15">
        <v>1</v>
      </c>
      <c r="BI15">
        <v>3</v>
      </c>
      <c r="BJ15" s="107" t="e">
        <f t="shared" si="7"/>
        <v>#DIV/0!</v>
      </c>
      <c r="BP15">
        <f>BP11+1</f>
        <v>5</v>
      </c>
      <c r="BQ15">
        <v>1</v>
      </c>
      <c r="BR15" s="107" t="e">
        <f>$H$29*H39</f>
        <v>#DIV/0!</v>
      </c>
    </row>
    <row r="16" spans="1:70" x14ac:dyDescent="0.25">
      <c r="A16" s="51" t="s">
        <v>82</v>
      </c>
      <c r="B16" s="52">
        <f>AVERAGE(G5:G18)</f>
        <v>12</v>
      </c>
      <c r="C16" s="54">
        <f>AVERAGE(K5:K18)</f>
        <v>12</v>
      </c>
      <c r="E16" s="50" t="s">
        <v>22</v>
      </c>
      <c r="F16" s="10"/>
      <c r="G16" s="10"/>
      <c r="H16" s="10"/>
      <c r="I16" s="10"/>
      <c r="J16" s="11"/>
      <c r="K16" s="11"/>
      <c r="L16" s="10"/>
      <c r="M16" s="10"/>
      <c r="O16" s="66">
        <f>COUNTA(L6:L13)*0.03</f>
        <v>0</v>
      </c>
      <c r="P16" s="144">
        <v>0.25</v>
      </c>
      <c r="Q16" s="17">
        <f t="shared" si="1"/>
        <v>0</v>
      </c>
      <c r="R16" s="157" t="e">
        <f t="shared" si="6"/>
        <v>#DIV/0!</v>
      </c>
      <c r="S16" s="41" t="e">
        <f t="shared" si="2"/>
        <v>#DIV/0!</v>
      </c>
      <c r="T16" s="42" t="e">
        <f>R16*PRODUCT(S5:S15)*PRODUCT(S17:S19)</f>
        <v>#DIV/0!</v>
      </c>
      <c r="U16" s="42" t="e">
        <f>R16*R17*PRODUCT(S5:S15)*PRODUCT(S18:S19)+R16*R18*PRODUCT(S5:S15)*S17*S19+R16*R19*PRODUCT(S5:S15)*S17*S18</f>
        <v>#DIV/0!</v>
      </c>
      <c r="W16" s="49" t="s">
        <v>58</v>
      </c>
      <c r="X16" s="15" t="s">
        <v>59</v>
      </c>
      <c r="Y16" s="68">
        <f>COUNTA(H6:H13)*0.03</f>
        <v>0</v>
      </c>
      <c r="Z16" s="146">
        <v>0.25</v>
      </c>
      <c r="AA16" s="20">
        <f t="shared" si="3"/>
        <v>0</v>
      </c>
      <c r="AB16" s="157" t="e">
        <f t="shared" si="4"/>
        <v>#DIV/0!</v>
      </c>
      <c r="AC16" s="41" t="e">
        <f t="shared" si="5"/>
        <v>#DIV/0!</v>
      </c>
      <c r="AD16" s="42" t="e">
        <f>AB16*PRODUCT(AC5:AC15)*PRODUCT(AC17:AC19)</f>
        <v>#DIV/0!</v>
      </c>
      <c r="AE16" s="42" t="e">
        <f>AB16*AB17*PRODUCT(AC5:AC15)*PRODUCT(AC18:AC19)+AB16*AB18*PRODUCT(AC5:AC15)*AC17*AC19+AB16*AB19*PRODUCT(AC5:AC15)*AC17*AC18</f>
        <v>#DIV/0!</v>
      </c>
      <c r="BH16">
        <v>1</v>
      </c>
      <c r="BI16">
        <v>4</v>
      </c>
      <c r="BJ16" s="107" t="e">
        <f t="shared" si="7"/>
        <v>#DIV/0!</v>
      </c>
      <c r="BP16">
        <f>BP12+1</f>
        <v>5</v>
      </c>
      <c r="BQ16">
        <v>2</v>
      </c>
      <c r="BR16" s="107" t="e">
        <f>$H$29*H40</f>
        <v>#DIV/0!</v>
      </c>
    </row>
    <row r="17" spans="1:70" x14ac:dyDescent="0.25">
      <c r="A17" s="25" t="s">
        <v>10</v>
      </c>
      <c r="B17" s="53" t="s">
        <v>11</v>
      </c>
      <c r="C17" s="55" t="s">
        <v>11</v>
      </c>
      <c r="E17" s="50" t="s">
        <v>22</v>
      </c>
      <c r="F17" s="10"/>
      <c r="G17" s="10"/>
      <c r="H17" s="10"/>
      <c r="I17" s="10"/>
      <c r="J17" s="11"/>
      <c r="K17" s="11"/>
      <c r="L17" s="10"/>
      <c r="M17" s="10"/>
      <c r="O17" s="66">
        <f>(0.02*2)*IF(COUNTBLANK(F14:F15)&lt;&gt;0, (2-COUNTBLANK(F14:F15))/2,1)</f>
        <v>0</v>
      </c>
      <c r="P17" s="16" t="str">
        <f>P3</f>
        <v>0,6</v>
      </c>
      <c r="Q17" s="17">
        <f t="shared" si="1"/>
        <v>0</v>
      </c>
      <c r="R17" s="157" t="e">
        <f t="shared" si="6"/>
        <v>#DIV/0!</v>
      </c>
      <c r="S17" s="41" t="e">
        <f t="shared" si="2"/>
        <v>#DIV/0!</v>
      </c>
      <c r="T17" s="42" t="e">
        <f>R17*PRODUCT(S5:S16)*PRODUCT(S18:S19)</f>
        <v>#DIV/0!</v>
      </c>
      <c r="U17" s="42" t="e">
        <f>R17*R18*PRODUCT(S5:S16)*S19+R17*R19*PRODUCT(S5:S16)*S18</f>
        <v>#DIV/0!</v>
      </c>
      <c r="W17" s="48" t="s">
        <v>60</v>
      </c>
      <c r="X17" s="15" t="s">
        <v>61</v>
      </c>
      <c r="Y17" s="68">
        <f>(0.02*2)*IF(COUNTBLANK(J14:J15)&lt;&gt;0, (2-COUNTBLANK(J14:J15))/2,1)</f>
        <v>0</v>
      </c>
      <c r="Z17" s="146" t="str">
        <f>Z3</f>
        <v>0,6</v>
      </c>
      <c r="AA17" s="20">
        <f t="shared" si="3"/>
        <v>0</v>
      </c>
      <c r="AB17" s="157" t="e">
        <f t="shared" si="4"/>
        <v>#DIV/0!</v>
      </c>
      <c r="AC17" s="41" t="e">
        <f t="shared" si="5"/>
        <v>#DIV/0!</v>
      </c>
      <c r="AD17" s="42" t="e">
        <f>AB17*PRODUCT(AC5:AC16)*PRODUCT(AC18:AC19)</f>
        <v>#DIV/0!</v>
      </c>
      <c r="AE17" s="42" t="e">
        <f>AB17*AB18*PRODUCT(AC5:AC16)*AC19+AB17*AB19*PRODUCT(AC5:AC16)*AC18</f>
        <v>#DIV/0!</v>
      </c>
      <c r="BH17">
        <v>1</v>
      </c>
      <c r="BI17">
        <v>5</v>
      </c>
      <c r="BJ17" s="107" t="e">
        <f t="shared" si="7"/>
        <v>#DIV/0!</v>
      </c>
      <c r="BP17">
        <f>BP13+1</f>
        <v>5</v>
      </c>
      <c r="BQ17">
        <v>3</v>
      </c>
      <c r="BR17" s="107" t="e">
        <f>$H$29*H41</f>
        <v>#DIV/0!</v>
      </c>
    </row>
    <row r="18" spans="1:70" x14ac:dyDescent="0.25">
      <c r="A18" s="25" t="s">
        <v>12</v>
      </c>
      <c r="B18" s="53">
        <v>20</v>
      </c>
      <c r="C18" s="55">
        <v>20</v>
      </c>
      <c r="E18" s="50" t="s">
        <v>22</v>
      </c>
      <c r="F18" s="10"/>
      <c r="G18" s="10"/>
      <c r="H18" s="10"/>
      <c r="I18" s="10"/>
      <c r="J18" s="11"/>
      <c r="K18" s="11"/>
      <c r="L18" s="10"/>
      <c r="M18" s="10"/>
      <c r="O18" s="66">
        <v>0</v>
      </c>
      <c r="P18" s="144">
        <v>0.5</v>
      </c>
      <c r="Q18" s="17">
        <f t="shared" si="1"/>
        <v>0</v>
      </c>
      <c r="R18" s="157" t="e">
        <f t="shared" si="6"/>
        <v>#DIV/0!</v>
      </c>
      <c r="S18" s="41" t="e">
        <f t="shared" si="2"/>
        <v>#DIV/0!</v>
      </c>
      <c r="T18" s="42" t="e">
        <f>R18*PRODUCT(S5:S17)*PRODUCT(S19:S19)</f>
        <v>#DIV/0!</v>
      </c>
      <c r="U18" s="42" t="e">
        <f>R18*R19*PRODUCT(S5:S17)</f>
        <v>#DIV/0!</v>
      </c>
      <c r="W18" s="48" t="s">
        <v>62</v>
      </c>
      <c r="X18" s="15" t="s">
        <v>63</v>
      </c>
      <c r="Y18" s="68">
        <v>0</v>
      </c>
      <c r="Z18" s="146">
        <v>0.5</v>
      </c>
      <c r="AA18" s="20">
        <f t="shared" si="3"/>
        <v>0</v>
      </c>
      <c r="AB18" s="157" t="e">
        <f t="shared" si="4"/>
        <v>#DIV/0!</v>
      </c>
      <c r="AC18" s="41" t="e">
        <f t="shared" si="5"/>
        <v>#DIV/0!</v>
      </c>
      <c r="AD18" s="42" t="e">
        <f>AB18*PRODUCT(AC5:AC17)*PRODUCT(AC19:AC19)</f>
        <v>#DIV/0!</v>
      </c>
      <c r="AE18" s="42" t="e">
        <f>AB18*AB19*PRODUCT(AC5:AC17)</f>
        <v>#DIV/0!</v>
      </c>
      <c r="BH18">
        <v>1</v>
      </c>
      <c r="BI18">
        <v>6</v>
      </c>
      <c r="BJ18" s="107" t="e">
        <f t="shared" si="7"/>
        <v>#DIV/0!</v>
      </c>
      <c r="BP18">
        <f>BL8+1</f>
        <v>5</v>
      </c>
      <c r="BQ18">
        <v>4</v>
      </c>
      <c r="BR18" s="107" t="e">
        <f>$H$29*H42</f>
        <v>#DIV/0!</v>
      </c>
    </row>
    <row r="19" spans="1:70" x14ac:dyDescent="0.25">
      <c r="H19" s="13" t="s">
        <v>141</v>
      </c>
      <c r="L19" s="13" t="s">
        <v>141</v>
      </c>
      <c r="O19" s="66">
        <f>COUNTIF(F14:F18,"TEC")*0.06*IF(COUNTIF(J6:J13,"CAB")&lt;&gt;0,1,0)</f>
        <v>0</v>
      </c>
      <c r="P19" s="16" t="str">
        <f>P3</f>
        <v>0,6</v>
      </c>
      <c r="Q19" s="17">
        <f t="shared" si="1"/>
        <v>0</v>
      </c>
      <c r="R19" s="157" t="e">
        <f t="shared" si="6"/>
        <v>#DIV/0!</v>
      </c>
      <c r="S19" s="43" t="e">
        <f t="shared" si="2"/>
        <v>#DIV/0!</v>
      </c>
      <c r="T19" s="44" t="e">
        <f>R19*PRODUCT(S5:S18)</f>
        <v>#DIV/0!</v>
      </c>
      <c r="U19" s="44">
        <v>0</v>
      </c>
      <c r="V19" s="1" t="s">
        <v>66</v>
      </c>
      <c r="W19" s="48" t="s">
        <v>64</v>
      </c>
      <c r="X19" s="15" t="s">
        <v>65</v>
      </c>
      <c r="Y19" s="68">
        <f>COUNTIF(J14:J18,"TEC")*0.06*IF(COUNTIF(F6:F13,"CAB")&lt;&gt;0,1,0)</f>
        <v>0</v>
      </c>
      <c r="Z19" s="146" t="str">
        <f>Z3</f>
        <v>0,6</v>
      </c>
      <c r="AA19" s="20">
        <f t="shared" si="3"/>
        <v>0</v>
      </c>
      <c r="AB19" s="157" t="e">
        <f t="shared" si="4"/>
        <v>#DIV/0!</v>
      </c>
      <c r="AC19" s="43" t="e">
        <f t="shared" si="5"/>
        <v>#DIV/0!</v>
      </c>
      <c r="AD19" s="44" t="e">
        <f>AB19*PRODUCT(AC5:AC18)</f>
        <v>#DIV/0!</v>
      </c>
      <c r="AE19" s="44">
        <v>0</v>
      </c>
      <c r="AF19" s="1" t="s">
        <v>66</v>
      </c>
      <c r="BH19">
        <v>1</v>
      </c>
      <c r="BI19">
        <v>7</v>
      </c>
      <c r="BJ19" s="107" t="e">
        <f t="shared" si="7"/>
        <v>#DIV/0!</v>
      </c>
      <c r="BP19">
        <f>BP15+1</f>
        <v>6</v>
      </c>
      <c r="BQ19">
        <v>1</v>
      </c>
      <c r="BR19" s="107" t="e">
        <f>$H$30*H39</f>
        <v>#DIV/0!</v>
      </c>
    </row>
    <row r="20" spans="1:70" x14ac:dyDescent="0.25">
      <c r="A20" s="38" t="s">
        <v>81</v>
      </c>
      <c r="B20">
        <f>IF(B17="Pres",IF(C17="Pres",2,1),IF(C17="Pres",1,0))</f>
        <v>0</v>
      </c>
      <c r="D20" s="36"/>
      <c r="O20" s="22"/>
      <c r="P20" s="22"/>
      <c r="Q20" s="22"/>
      <c r="S20" s="45" t="e">
        <f>PRODUCT(S5:S19)</f>
        <v>#DIV/0!</v>
      </c>
      <c r="T20" s="46" t="e">
        <f>SUM(T5:T19)</f>
        <v>#DIV/0!</v>
      </c>
      <c r="U20" s="46" t="e">
        <f>SUM(U5:U19)</f>
        <v>#DIV/0!</v>
      </c>
      <c r="V20" s="46" t="e">
        <f>1-S20-T20-U20</f>
        <v>#DIV/0!</v>
      </c>
      <c r="W20" s="21"/>
      <c r="X20" s="22"/>
      <c r="Y20" s="22"/>
      <c r="Z20" s="22"/>
      <c r="AA20" s="22"/>
      <c r="AB20" s="23"/>
      <c r="AC20" s="47" t="e">
        <f>PRODUCT(AC5:AC19)</f>
        <v>#DIV/0!</v>
      </c>
      <c r="AD20" s="46" t="e">
        <f>SUM(AD5:AD19)</f>
        <v>#DIV/0!</v>
      </c>
      <c r="AE20" s="46" t="e">
        <f>SUM(AE5:AE19)</f>
        <v>#DIV/0!</v>
      </c>
      <c r="AF20" s="46" t="e">
        <f>1-AC20-AD20-AE20</f>
        <v>#DIV/0!</v>
      </c>
      <c r="BH20">
        <v>1</v>
      </c>
      <c r="BI20">
        <v>8</v>
      </c>
      <c r="BJ20" s="107" t="e">
        <f t="shared" si="7"/>
        <v>#DIV/0!</v>
      </c>
      <c r="BP20">
        <f>BP16+1</f>
        <v>6</v>
      </c>
      <c r="BQ20">
        <v>2</v>
      </c>
      <c r="BR20" s="107" t="e">
        <f>$H$30*H40</f>
        <v>#DIV/0!</v>
      </c>
    </row>
    <row r="21" spans="1:70" x14ac:dyDescent="0.25">
      <c r="A21" s="38" t="s">
        <v>78</v>
      </c>
      <c r="B21" s="39">
        <f>5-B20</f>
        <v>5</v>
      </c>
      <c r="C21" s="35"/>
      <c r="D21" s="24"/>
      <c r="E21" s="24"/>
      <c r="V21" s="59" t="e">
        <f>SUM(V24:V34)</f>
        <v>#DIV/0!</v>
      </c>
      <c r="AS21" s="82" t="e">
        <f>Y22+AA22+AC22+AE22+AG22+AI22+AK22+AM22+AO22+AQ22+AS22</f>
        <v>#DIV/0!</v>
      </c>
      <c r="BH21" s="18">
        <v>1</v>
      </c>
      <c r="BI21">
        <v>9</v>
      </c>
      <c r="BJ21" s="107" t="e">
        <f t="shared" si="7"/>
        <v>#DIV/0!</v>
      </c>
      <c r="BP21">
        <f>BP17+1</f>
        <v>6</v>
      </c>
      <c r="BQ21">
        <v>3</v>
      </c>
      <c r="BR21" s="107" t="e">
        <f>$H$30*H41</f>
        <v>#DIV/0!</v>
      </c>
    </row>
    <row r="22" spans="1:70" ht="15.75" thickBot="1" x14ac:dyDescent="0.3">
      <c r="A22" s="26" t="s">
        <v>77</v>
      </c>
      <c r="B22" s="62" t="e">
        <f>(B6)/((B6)+(C6))</f>
        <v>#DIV/0!</v>
      </c>
      <c r="C22" s="63" t="e">
        <f>1-B22</f>
        <v>#DIV/0!</v>
      </c>
      <c r="D22" s="24"/>
      <c r="E22" s="24"/>
      <c r="H22" s="59" t="e">
        <f>SUM(H24:H34)</f>
        <v>#DIV/0!</v>
      </c>
      <c r="J22" s="59" t="e">
        <f>SUM(J24:J34)</f>
        <v>#DIV/0!</v>
      </c>
      <c r="K22" s="59"/>
      <c r="L22" s="59" t="e">
        <f>SUM(L24:L34)</f>
        <v>#DIV/0!</v>
      </c>
      <c r="N22" s="59" t="e">
        <f>SUM(N24:N34)</f>
        <v>#DIV/0!</v>
      </c>
      <c r="O22" s="34"/>
      <c r="P22" s="59" t="e">
        <f>SUM(P24:P34)</f>
        <v>#DIV/0!</v>
      </c>
      <c r="R22" s="59" t="e">
        <f>SUM(R24:R34)</f>
        <v>#DIV/0!</v>
      </c>
      <c r="T22" s="59" t="e">
        <f>SUM(T24:T34)</f>
        <v>#DIV/0!</v>
      </c>
      <c r="V22" s="59" t="e">
        <f>SUM(V24:V33)</f>
        <v>#DIV/0!</v>
      </c>
      <c r="Y22" s="80" t="e">
        <f>SUM(Y24:Y34)</f>
        <v>#DIV/0!</v>
      </c>
      <c r="Z22" s="81"/>
      <c r="AA22" s="80" t="e">
        <f>SUM(AA24:AA34)</f>
        <v>#DIV/0!</v>
      </c>
      <c r="AB22" s="81"/>
      <c r="AC22" s="80" t="e">
        <f>SUM(AC24:AC34)</f>
        <v>#DIV/0!</v>
      </c>
      <c r="AD22" s="81"/>
      <c r="AE22" s="80" t="e">
        <f>SUM(AE24:AE34)</f>
        <v>#DIV/0!</v>
      </c>
      <c r="AF22" s="81"/>
      <c r="AG22" s="80" t="e">
        <f>SUM(AG24:AG34)</f>
        <v>#DIV/0!</v>
      </c>
      <c r="AH22" s="81"/>
      <c r="AI22" s="80" t="e">
        <f>SUM(AI24:AI34)</f>
        <v>#DIV/0!</v>
      </c>
      <c r="AJ22" s="81"/>
      <c r="AK22" s="80" t="e">
        <f>SUM(AK24:AK34)</f>
        <v>#DIV/0!</v>
      </c>
      <c r="AL22" s="81"/>
      <c r="AM22" s="80" t="e">
        <f>SUM(AM24:AM34)</f>
        <v>#DIV/0!</v>
      </c>
      <c r="AN22" s="81"/>
      <c r="AO22" s="80" t="e">
        <f>SUM(AO24:AO34)</f>
        <v>#DIV/0!</v>
      </c>
      <c r="AP22" s="81"/>
      <c r="AQ22" s="80" t="e">
        <f>SUM(AQ24:AQ34)</f>
        <v>#DIV/0!</v>
      </c>
      <c r="AR22" s="81"/>
      <c r="AS22" s="80" t="e">
        <f>SUM(AS24:AS34)</f>
        <v>#DIV/0!</v>
      </c>
      <c r="BH22">
        <v>1</v>
      </c>
      <c r="BI22">
        <v>10</v>
      </c>
      <c r="BJ22" s="107" t="e">
        <f t="shared" si="7"/>
        <v>#DIV/0!</v>
      </c>
      <c r="BP22">
        <f>BP18+1</f>
        <v>6</v>
      </c>
      <c r="BQ22">
        <v>4</v>
      </c>
      <c r="BR22" s="107" t="e">
        <f>$H$30*H42</f>
        <v>#DIV/0!</v>
      </c>
    </row>
    <row r="23" spans="1:70" ht="15.75" thickBot="1" x14ac:dyDescent="0.3">
      <c r="A23" s="40" t="s">
        <v>67</v>
      </c>
      <c r="B23" s="56" t="e">
        <f>((B22^2.8)/((B22^2.8)+(C22^2.8)))*B21</f>
        <v>#DIV/0!</v>
      </c>
      <c r="C23" s="57" t="e">
        <f>B21-B23</f>
        <v>#DIV/0!</v>
      </c>
      <c r="D23" s="151">
        <f>SUM(D25:D30)</f>
        <v>1</v>
      </c>
      <c r="E23" s="151">
        <f>SUM(E25:E30)</f>
        <v>1</v>
      </c>
      <c r="G23" s="99" t="s">
        <v>103</v>
      </c>
      <c r="H23" s="100" t="s">
        <v>75</v>
      </c>
      <c r="I23" s="99" t="s">
        <v>100</v>
      </c>
      <c r="J23" s="101" t="s">
        <v>101</v>
      </c>
      <c r="K23" s="99" t="s">
        <v>102</v>
      </c>
      <c r="L23" s="101" t="s">
        <v>75</v>
      </c>
      <c r="M23" s="83" t="s">
        <v>99</v>
      </c>
      <c r="N23" s="27" t="s">
        <v>74</v>
      </c>
      <c r="O23" s="27" t="s">
        <v>126</v>
      </c>
      <c r="P23" s="27" t="s">
        <v>75</v>
      </c>
      <c r="Q23" s="27" t="s">
        <v>87</v>
      </c>
      <c r="R23" s="27" t="s">
        <v>75</v>
      </c>
      <c r="S23" s="27" t="s">
        <v>83</v>
      </c>
      <c r="T23" s="134" t="s">
        <v>75</v>
      </c>
      <c r="U23" s="138" t="s">
        <v>85</v>
      </c>
      <c r="V23" s="139" t="s">
        <v>74</v>
      </c>
      <c r="W23" s="83" t="s">
        <v>73</v>
      </c>
      <c r="X23" s="27" t="s">
        <v>88</v>
      </c>
      <c r="Y23" s="27" t="s">
        <v>75</v>
      </c>
      <c r="Z23" s="27" t="s">
        <v>89</v>
      </c>
      <c r="AA23" s="27" t="s">
        <v>75</v>
      </c>
      <c r="AB23" s="27" t="s">
        <v>90</v>
      </c>
      <c r="AC23" s="27" t="s">
        <v>75</v>
      </c>
      <c r="AD23" s="27" t="s">
        <v>91</v>
      </c>
      <c r="AE23" s="27" t="s">
        <v>75</v>
      </c>
      <c r="AF23" s="27" t="s">
        <v>92</v>
      </c>
      <c r="AG23" s="27" t="s">
        <v>75</v>
      </c>
      <c r="AH23" s="27" t="s">
        <v>93</v>
      </c>
      <c r="AI23" s="27" t="s">
        <v>75</v>
      </c>
      <c r="AJ23" s="27" t="s">
        <v>94</v>
      </c>
      <c r="AK23" s="27" t="s">
        <v>75</v>
      </c>
      <c r="AL23" s="27" t="s">
        <v>95</v>
      </c>
      <c r="AM23" s="27" t="s">
        <v>75</v>
      </c>
      <c r="AN23" s="27" t="s">
        <v>96</v>
      </c>
      <c r="AO23" s="27" t="s">
        <v>75</v>
      </c>
      <c r="AP23" s="27" t="s">
        <v>97</v>
      </c>
      <c r="AQ23" s="27" t="s">
        <v>75</v>
      </c>
      <c r="AR23" s="27" t="s">
        <v>98</v>
      </c>
      <c r="AS23" s="27" t="s">
        <v>75</v>
      </c>
      <c r="BH23">
        <f t="shared" ref="BH23:BH30" si="8">BH15+1</f>
        <v>2</v>
      </c>
      <c r="BI23">
        <v>3</v>
      </c>
      <c r="BJ23" s="107" t="e">
        <f t="shared" ref="BJ23:BJ30" si="9">$H$26*H41</f>
        <v>#DIV/0!</v>
      </c>
      <c r="BP23">
        <f>BL9+1</f>
        <v>6</v>
      </c>
      <c r="BQ23">
        <v>5</v>
      </c>
      <c r="BR23" s="107" t="e">
        <f>$H$30*H43</f>
        <v>#DIV/0!</v>
      </c>
    </row>
    <row r="24" spans="1:70" x14ac:dyDescent="0.25">
      <c r="A24" s="26" t="s">
        <v>76</v>
      </c>
      <c r="B24" s="64" t="e">
        <f>B23/B21</f>
        <v>#DIV/0!</v>
      </c>
      <c r="C24" s="65" t="e">
        <f>C23/B21</f>
        <v>#DIV/0!</v>
      </c>
      <c r="D24" s="13" t="s">
        <v>79</v>
      </c>
      <c r="E24" s="13" t="s">
        <v>80</v>
      </c>
      <c r="G24" s="126">
        <v>0</v>
      </c>
      <c r="H24" s="127" t="e">
        <f>L24*J24</f>
        <v>#DIV/0!</v>
      </c>
      <c r="I24" s="97">
        <v>0</v>
      </c>
      <c r="J24" s="98" t="e">
        <f t="shared" ref="J24:J34" si="10">Y24+AA24+AC24+AE24+AG24+AI24+AK24+AM24+AO24+AQ24+AS24</f>
        <v>#DIV/0!</v>
      </c>
      <c r="K24" s="97">
        <v>0</v>
      </c>
      <c r="L24" s="98" t="e">
        <f>S20</f>
        <v>#DIV/0!</v>
      </c>
      <c r="M24" s="84">
        <v>0</v>
      </c>
      <c r="N24" s="71" t="e">
        <f>(1-$B$24)^$B$21</f>
        <v>#DIV/0!</v>
      </c>
      <c r="O24" s="70">
        <v>0</v>
      </c>
      <c r="P24" s="71" t="e">
        <f>N24</f>
        <v>#DIV/0!</v>
      </c>
      <c r="Q24" s="12">
        <v>0</v>
      </c>
      <c r="R24" s="73" t="e">
        <f>P24*N24</f>
        <v>#DIV/0!</v>
      </c>
      <c r="S24" s="70">
        <v>0</v>
      </c>
      <c r="T24" s="135" t="e">
        <f>(1-$B$33)^(INT(C23*2*(1-C31)))</f>
        <v>#DIV/0!</v>
      </c>
      <c r="U24" s="140">
        <v>0</v>
      </c>
      <c r="V24" s="86" t="e">
        <f>R24*T24</f>
        <v>#DIV/0!</v>
      </c>
      <c r="W24" s="136" t="e">
        <f>B31</f>
        <v>#DIV/0!</v>
      </c>
      <c r="X24" s="12">
        <v>0</v>
      </c>
      <c r="Y24" s="79" t="e">
        <f>V24</f>
        <v>#DIV/0!</v>
      </c>
      <c r="Z24" s="12">
        <v>0</v>
      </c>
      <c r="AA24" s="78" t="e">
        <f>((1-W24)^Z25)*V25</f>
        <v>#DIV/0!</v>
      </c>
      <c r="AB24" s="12">
        <v>0</v>
      </c>
      <c r="AC24" s="79" t="e">
        <f>(((1-$W$24)^AB26))*V26</f>
        <v>#DIV/0!</v>
      </c>
      <c r="AD24" s="12">
        <v>0</v>
      </c>
      <c r="AE24" s="79" t="e">
        <f>(((1-$W$24)^AB27))*V27</f>
        <v>#DIV/0!</v>
      </c>
      <c r="AF24" s="12">
        <v>0</v>
      </c>
      <c r="AG24" s="79" t="e">
        <f>(((1-$W$24)^AB28))*V28</f>
        <v>#DIV/0!</v>
      </c>
      <c r="AH24" s="12">
        <v>0</v>
      </c>
      <c r="AI24" s="79" t="e">
        <f>(((1-$W$24)^AB29))*V29</f>
        <v>#DIV/0!</v>
      </c>
      <c r="AJ24" s="12">
        <v>0</v>
      </c>
      <c r="AK24" s="79" t="e">
        <f>(((1-$W$24)^AB30))*V30</f>
        <v>#DIV/0!</v>
      </c>
      <c r="AL24" s="12">
        <v>0</v>
      </c>
      <c r="AM24" s="79" t="e">
        <f>(((1-$W$24)^AB31))*V31</f>
        <v>#DIV/0!</v>
      </c>
      <c r="AN24" s="12">
        <v>0</v>
      </c>
      <c r="AO24" s="79" t="e">
        <f>(((1-$W$24)^AB32))*V32</f>
        <v>#DIV/0!</v>
      </c>
      <c r="AP24" s="12">
        <v>0</v>
      </c>
      <c r="AQ24" s="79" t="e">
        <f>(((1-$W$24)^AB33))*V33</f>
        <v>#DIV/0!</v>
      </c>
      <c r="AR24" s="12">
        <v>0</v>
      </c>
      <c r="AS24" s="79" t="e">
        <f>(((1-$W$24)^AB34))*V34</f>
        <v>#DIV/0!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 t="e">
        <f t="shared" si="9"/>
        <v>#DIV/0!</v>
      </c>
      <c r="BP24">
        <f>BH49+1</f>
        <v>7</v>
      </c>
      <c r="BQ24">
        <v>0</v>
      </c>
      <c r="BR24" s="107" t="e">
        <f t="shared" ref="BR24:BR30" si="11">$H$31*H38</f>
        <v>#DIV/0!</v>
      </c>
    </row>
    <row r="25" spans="1:70" x14ac:dyDescent="0.25">
      <c r="A25" s="26" t="s">
        <v>69</v>
      </c>
      <c r="B25" s="117" t="e">
        <f>1/(1+EXP(-3.1416*4*((B11/(B11+C8))-(3.1416/6))))</f>
        <v>#DIV/0!</v>
      </c>
      <c r="C25" s="118" t="e">
        <f>1/(1+EXP(-3.1416*4*((C11/(C11+B8))-(3.1416/6))))</f>
        <v>#DIV/0!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87">
        <v>1</v>
      </c>
      <c r="H25" s="128" t="e">
        <f>L24*J25+L25*J24</f>
        <v>#DIV/0!</v>
      </c>
      <c r="I25" s="93">
        <v>1</v>
      </c>
      <c r="J25" s="86" t="e">
        <f t="shared" si="10"/>
        <v>#DIV/0!</v>
      </c>
      <c r="K25" s="93">
        <v>1</v>
      </c>
      <c r="L25" s="86" t="e">
        <f>T20</f>
        <v>#DIV/0!</v>
      </c>
      <c r="M25" s="85">
        <v>1</v>
      </c>
      <c r="N25" s="71" t="e">
        <f>(($B$24)^M25)*((1-($B$24))^($B$21-M25))*HLOOKUP($B$21,$AV$24:$BF$34,M25+1)</f>
        <v>#DIV/0!</v>
      </c>
      <c r="O25" s="72">
        <v>1</v>
      </c>
      <c r="P25" s="71" t="e">
        <f t="shared" ref="P25:P29" si="12">N25</f>
        <v>#DIV/0!</v>
      </c>
      <c r="Q25" s="28">
        <v>1</v>
      </c>
      <c r="R25" s="37" t="e">
        <f>N25*P24+P25*N24</f>
        <v>#DIV/0!</v>
      </c>
      <c r="S25" s="72">
        <v>1</v>
      </c>
      <c r="T25" s="135" t="e">
        <f t="shared" ref="T25:T34" si="13">(($B$33)^S25)*((1-($B$33))^(INT($C$23*2*(1-$C$31))-S25))*HLOOKUP(INT($C$23*2*(1-$C$31)),$AV$24:$BF$34,S25+1)</f>
        <v>#DIV/0!</v>
      </c>
      <c r="U25" s="93">
        <v>1</v>
      </c>
      <c r="V25" s="86" t="e">
        <f>R25*T24+T25*R24</f>
        <v>#DIV/0!</v>
      </c>
      <c r="W25" s="137"/>
      <c r="X25" s="28">
        <v>1</v>
      </c>
      <c r="Y25" s="73"/>
      <c r="Z25" s="28">
        <v>1</v>
      </c>
      <c r="AA25" s="79" t="e">
        <f>(1-((1-W24)^Z25))*V25</f>
        <v>#DIV/0!</v>
      </c>
      <c r="AB25" s="28">
        <v>1</v>
      </c>
      <c r="AC25" s="79" t="e">
        <f>((($W$24)^M25)*((1-($W$24))^($U$26-M25))*HLOOKUP($U$26,$AV$24:$BF$34,M25+1))*V26</f>
        <v>#DIV/0!</v>
      </c>
      <c r="AD25" s="28">
        <v>1</v>
      </c>
      <c r="AE25" s="79" t="e">
        <f>((($W$24)^M25)*((1-($W$24))^($U$27-M25))*HLOOKUP($U$27,$AV$24:$BF$34,M25+1))*V27</f>
        <v>#DIV/0!</v>
      </c>
      <c r="AF25" s="28">
        <v>1</v>
      </c>
      <c r="AG25" s="79" t="e">
        <f>((($W$24)^M25)*((1-($W$24))^($U$28-M25))*HLOOKUP($U$28,$AV$24:$BF$34,M25+1))*V28</f>
        <v>#DIV/0!</v>
      </c>
      <c r="AH25" s="28">
        <v>1</v>
      </c>
      <c r="AI25" s="79" t="e">
        <f>((($W$24)^M25)*((1-($W$24))^($U$29-M25))*HLOOKUP($U$29,$AV$24:$BF$34,M25+1))*V29</f>
        <v>#DIV/0!</v>
      </c>
      <c r="AJ25" s="28">
        <v>1</v>
      </c>
      <c r="AK25" s="79" t="e">
        <f>((($W$24)^M25)*((1-($W$24))^($U$30-M25))*HLOOKUP($U$30,$AV$24:$BF$34,M25+1))*V30</f>
        <v>#DIV/0!</v>
      </c>
      <c r="AL25" s="28">
        <v>1</v>
      </c>
      <c r="AM25" s="79" t="e">
        <f>((($W$24)^Q25)*((1-($W$24))^($U$31-Q25))*HLOOKUP($U$31,$AV$24:$BF$34,Q25+1))*V31</f>
        <v>#DIV/0!</v>
      </c>
      <c r="AN25" s="28">
        <v>1</v>
      </c>
      <c r="AO25" s="79" t="e">
        <f>((($W$24)^Q25)*((1-($W$24))^($U$32-Q25))*HLOOKUP($U$32,$AV$24:$BF$34,Q25+1))*V32</f>
        <v>#DIV/0!</v>
      </c>
      <c r="AP25" s="28">
        <v>1</v>
      </c>
      <c r="AQ25" s="79" t="e">
        <f>((($W$24)^Q25)*((1-($W$24))^($U$33-Q25))*HLOOKUP($U$33,$AV$24:$BF$34,Q25+1))*V33</f>
        <v>#DIV/0!</v>
      </c>
      <c r="AR25" s="28">
        <v>1</v>
      </c>
      <c r="AS25" s="79" t="e">
        <f>((($W$24)^Q25)*((1-($W$24))^($U$34-Q25))*HLOOKUP($U$34,$AV$24:$BF$34,Q25+1))*V34</f>
        <v>#DIV/0!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 t="e">
        <f t="shared" si="9"/>
        <v>#DIV/0!</v>
      </c>
      <c r="BP25">
        <f>BP19+1</f>
        <v>7</v>
      </c>
      <c r="BQ25">
        <v>1</v>
      </c>
      <c r="BR25" s="107" t="e">
        <f t="shared" si="11"/>
        <v>#DIV/0!</v>
      </c>
    </row>
    <row r="26" spans="1:70" x14ac:dyDescent="0.25">
      <c r="A26" s="40" t="s">
        <v>24</v>
      </c>
      <c r="B26" s="119" t="e">
        <f>1/(1+EXP(-3.1416*4*((B10/(B10+C9))-(3.1416/6))))</f>
        <v>#DIV/0!</v>
      </c>
      <c r="C26" s="120" t="e">
        <f>1/(1+EXP(-3.1416*4*((C10/(C10+B9))-(3.1416/6))))</f>
        <v>#DIV/0!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2</v>
      </c>
      <c r="H26" s="128" t="e">
        <f>L24*J26+J25*L25+J24*L26</f>
        <v>#DIV/0!</v>
      </c>
      <c r="I26" s="93">
        <v>2</v>
      </c>
      <c r="J26" s="86" t="e">
        <f t="shared" si="10"/>
        <v>#DIV/0!</v>
      </c>
      <c r="K26" s="93">
        <v>2</v>
      </c>
      <c r="L26" s="86" t="e">
        <f>U20</f>
        <v>#DIV/0!</v>
      </c>
      <c r="M26" s="85">
        <v>2</v>
      </c>
      <c r="N26" s="71" t="e">
        <f>(($B$24)^M26)*((1-($B$24))^($B$21-M26))*HLOOKUP($B$21,$AV$24:$BF$34,M26+1)</f>
        <v>#DIV/0!</v>
      </c>
      <c r="O26" s="72">
        <v>2</v>
      </c>
      <c r="P26" s="71" t="e">
        <f t="shared" si="12"/>
        <v>#DIV/0!</v>
      </c>
      <c r="Q26" s="28">
        <v>2</v>
      </c>
      <c r="R26" s="37" t="e">
        <f>P24*N26+P25*N25+P26*N24</f>
        <v>#DIV/0!</v>
      </c>
      <c r="S26" s="72">
        <v>2</v>
      </c>
      <c r="T26" s="135" t="e">
        <f t="shared" si="13"/>
        <v>#DIV/0!</v>
      </c>
      <c r="U26" s="93">
        <v>2</v>
      </c>
      <c r="V26" s="86" t="e">
        <f>R26*T24+T25*R25+R24*T26</f>
        <v>#DIV/0!</v>
      </c>
      <c r="W26" s="137"/>
      <c r="X26" s="28">
        <v>2</v>
      </c>
      <c r="Y26" s="73"/>
      <c r="Z26" s="28">
        <v>2</v>
      </c>
      <c r="AA26" s="79"/>
      <c r="AB26" s="28">
        <v>2</v>
      </c>
      <c r="AC26" s="79" t="e">
        <f>((($W$24)^M26)*((1-($W$24))^($U$26-M26))*HLOOKUP($U$26,$AV$24:$BF$34,M26+1))*V26</f>
        <v>#DIV/0!</v>
      </c>
      <c r="AD26" s="28">
        <v>2</v>
      </c>
      <c r="AE26" s="79" t="e">
        <f>((($W$24)^M26)*((1-($W$24))^($U$27-M26))*HLOOKUP($U$27,$AV$24:$BF$34,M26+1))*V27</f>
        <v>#DIV/0!</v>
      </c>
      <c r="AF26" s="28">
        <v>2</v>
      </c>
      <c r="AG26" s="79" t="e">
        <f>((($W$24)^M26)*((1-($W$24))^($U$28-M26))*HLOOKUP($U$28,$AV$24:$BF$34,M26+1))*V28</f>
        <v>#DIV/0!</v>
      </c>
      <c r="AH26" s="28">
        <v>2</v>
      </c>
      <c r="AI26" s="79" t="e">
        <f>((($W$24)^M26)*((1-($W$24))^($U$29-M26))*HLOOKUP($U$29,$AV$24:$BF$34,M26+1))*V29</f>
        <v>#DIV/0!</v>
      </c>
      <c r="AJ26" s="28">
        <v>2</v>
      </c>
      <c r="AK26" s="79" t="e">
        <f>((($W$24)^M26)*((1-($W$24))^($U$30-M26))*HLOOKUP($U$30,$AV$24:$BF$34,M26+1))*V30</f>
        <v>#DIV/0!</v>
      </c>
      <c r="AL26" s="28">
        <v>2</v>
      </c>
      <c r="AM26" s="79" t="e">
        <f>((($W$24)^Q26)*((1-($W$24))^($U$31-Q26))*HLOOKUP($U$31,$AV$24:$BF$34,Q26+1))*V31</f>
        <v>#DIV/0!</v>
      </c>
      <c r="AN26" s="28">
        <v>2</v>
      </c>
      <c r="AO26" s="79" t="e">
        <f>((($W$24)^Q26)*((1-($W$24))^($U$32-Q26))*HLOOKUP($U$32,$AV$24:$BF$34,Q26+1))*V32</f>
        <v>#DIV/0!</v>
      </c>
      <c r="AP26" s="28">
        <v>2</v>
      </c>
      <c r="AQ26" s="79" t="e">
        <f>((($W$24)^Q26)*((1-($W$24))^($U$33-Q26))*HLOOKUP($U$33,$AV$24:$BF$34,Q26+1))*V33</f>
        <v>#DIV/0!</v>
      </c>
      <c r="AR26" s="28">
        <v>2</v>
      </c>
      <c r="AS26" s="79" t="e">
        <f>((($W$24)^Q26)*((1-($W$24))^($U$34-Q26))*HLOOKUP($U$34,$AV$24:$BF$34,Q26+1))*V34</f>
        <v>#DIV/0!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 t="e">
        <f t="shared" si="9"/>
        <v>#DIV/0!</v>
      </c>
      <c r="BP26">
        <f>BP20+1</f>
        <v>7</v>
      </c>
      <c r="BQ26">
        <v>2</v>
      </c>
      <c r="BR26" s="107" t="e">
        <f t="shared" si="11"/>
        <v>#DIV/0!</v>
      </c>
    </row>
    <row r="27" spans="1:70" x14ac:dyDescent="0.25">
      <c r="A27" s="26" t="s">
        <v>25</v>
      </c>
      <c r="B27" s="119" t="e">
        <f>1/(1+EXP(-3.1416*4*((B12/(B12+C7))-(3.1416/6))))</f>
        <v>#DIV/0!</v>
      </c>
      <c r="C27" s="120" t="e">
        <f>1/(1+EXP(-3.1416*4*((C12/(C12+B7))-(3.1416/6))))</f>
        <v>#DIV/0!</v>
      </c>
      <c r="D27" s="153">
        <f>D26</f>
        <v>0.25700000000000001</v>
      </c>
      <c r="E27" s="153">
        <f>E26</f>
        <v>0.25700000000000001</v>
      </c>
      <c r="G27" s="87">
        <v>3</v>
      </c>
      <c r="H27" s="128" t="e">
        <f>J27*L24+J26*L25+L27*J24+L26*J25</f>
        <v>#DIV/0!</v>
      </c>
      <c r="I27" s="93">
        <v>3</v>
      </c>
      <c r="J27" s="86" t="e">
        <f t="shared" si="10"/>
        <v>#DIV/0!</v>
      </c>
      <c r="K27" s="93">
        <v>3</v>
      </c>
      <c r="L27" s="86" t="e">
        <f>V20</f>
        <v>#DIV/0!</v>
      </c>
      <c r="M27" s="85">
        <v>3</v>
      </c>
      <c r="N27" s="71" t="e">
        <f>(($B$24)^M27)*((1-($B$24))^($B$21-M27))*HLOOKUP($B$21,$AV$24:$BF$34,M27+1)</f>
        <v>#DIV/0!</v>
      </c>
      <c r="O27" s="72">
        <v>3</v>
      </c>
      <c r="P27" s="71" t="e">
        <f t="shared" si="12"/>
        <v>#DIV/0!</v>
      </c>
      <c r="Q27" s="28">
        <v>3</v>
      </c>
      <c r="R27" s="37" t="e">
        <f>P24*N27+P25*N26+P26*N25+P27*N24</f>
        <v>#DIV/0!</v>
      </c>
      <c r="S27" s="72">
        <v>3</v>
      </c>
      <c r="T27" s="135" t="e">
        <f t="shared" si="13"/>
        <v>#DIV/0!</v>
      </c>
      <c r="U27" s="93">
        <v>3</v>
      </c>
      <c r="V27" s="86" t="e">
        <f>R27*T24+R26*T25+R25*T26+R24*T27</f>
        <v>#DIV/0!</v>
      </c>
      <c r="W27" s="137"/>
      <c r="X27" s="28">
        <v>3</v>
      </c>
      <c r="Y27" s="73"/>
      <c r="Z27" s="28">
        <v>3</v>
      </c>
      <c r="AA27" s="79"/>
      <c r="AB27" s="28">
        <v>3</v>
      </c>
      <c r="AC27" s="79"/>
      <c r="AD27" s="28">
        <v>3</v>
      </c>
      <c r="AE27" s="79" t="e">
        <f>((($W$24)^M27)*((1-($W$24))^($U$27-M27))*HLOOKUP($U$27,$AV$24:$BF$34,M27+1))*V27</f>
        <v>#DIV/0!</v>
      </c>
      <c r="AF27" s="28">
        <v>3</v>
      </c>
      <c r="AG27" s="79" t="e">
        <f>((($W$24)^M27)*((1-($W$24))^($U$28-M27))*HLOOKUP($U$28,$AV$24:$BF$34,M27+1))*V28</f>
        <v>#DIV/0!</v>
      </c>
      <c r="AH27" s="28">
        <v>3</v>
      </c>
      <c r="AI27" s="79" t="e">
        <f>((($W$24)^M27)*((1-($W$24))^($U$29-M27))*HLOOKUP($U$29,$AV$24:$BF$34,M27+1))*V29</f>
        <v>#DIV/0!</v>
      </c>
      <c r="AJ27" s="28">
        <v>3</v>
      </c>
      <c r="AK27" s="79" t="e">
        <f>((($W$24)^M27)*((1-($W$24))^($U$30-M27))*HLOOKUP($U$30,$AV$24:$BF$34,M27+1))*V30</f>
        <v>#DIV/0!</v>
      </c>
      <c r="AL27" s="28">
        <v>3</v>
      </c>
      <c r="AM27" s="79" t="e">
        <f>((($W$24)^Q27)*((1-($W$24))^($U$31-Q27))*HLOOKUP($U$31,$AV$24:$BF$34,Q27+1))*V31</f>
        <v>#DIV/0!</v>
      </c>
      <c r="AN27" s="28">
        <v>3</v>
      </c>
      <c r="AO27" s="79" t="e">
        <f>((($W$24)^Q27)*((1-($W$24))^($U$32-Q27))*HLOOKUP($U$32,$AV$24:$BF$34,Q27+1))*V32</f>
        <v>#DIV/0!</v>
      </c>
      <c r="AP27" s="28">
        <v>3</v>
      </c>
      <c r="AQ27" s="79" t="e">
        <f>((($W$24)^Q27)*((1-($W$24))^($U$33-Q27))*HLOOKUP($U$33,$AV$24:$BF$34,Q27+1))*V33</f>
        <v>#DIV/0!</v>
      </c>
      <c r="AR27" s="28">
        <v>3</v>
      </c>
      <c r="AS27" s="79" t="e">
        <f>((($W$24)^Q27)*((1-($W$24))^($U$34-Q27))*HLOOKUP($U$34,$AV$24:$BF$34,Q27+1))*V34</f>
        <v>#DIV/0!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 t="e">
        <f t="shared" si="9"/>
        <v>#DIV/0!</v>
      </c>
      <c r="BP27">
        <f>BP21+1</f>
        <v>7</v>
      </c>
      <c r="BQ27">
        <v>3</v>
      </c>
      <c r="BR27" s="107" t="e">
        <f t="shared" si="11"/>
        <v>#DIV/0!</v>
      </c>
    </row>
    <row r="28" spans="1:70" x14ac:dyDescent="0.25">
      <c r="A28" s="26" t="s">
        <v>26</v>
      </c>
      <c r="B28" s="121">
        <v>0.9</v>
      </c>
      <c r="C28" s="122">
        <v>0.9</v>
      </c>
      <c r="D28" s="153">
        <v>8.5000000000000006E-2</v>
      </c>
      <c r="E28" s="153">
        <v>8.5000000000000006E-2</v>
      </c>
      <c r="G28" s="87">
        <v>4</v>
      </c>
      <c r="H28" s="128" t="e">
        <f>J28*L24+J27*L25+J26*L26+J25*L27</f>
        <v>#DIV/0!</v>
      </c>
      <c r="I28" s="93">
        <v>4</v>
      </c>
      <c r="J28" s="86" t="e">
        <f t="shared" si="10"/>
        <v>#DIV/0!</v>
      </c>
      <c r="K28" s="93">
        <v>4</v>
      </c>
      <c r="L28" s="86"/>
      <c r="M28" s="85">
        <v>4</v>
      </c>
      <c r="N28" s="71" t="e">
        <f>(($B$24)^M28)*((1-($B$24))^($B$21-M28))*HLOOKUP($B$21,$AV$24:$BF$34,M28+1)</f>
        <v>#DIV/0!</v>
      </c>
      <c r="O28" s="72">
        <v>4</v>
      </c>
      <c r="P28" s="71" t="e">
        <f t="shared" si="12"/>
        <v>#DIV/0!</v>
      </c>
      <c r="Q28" s="28">
        <v>4</v>
      </c>
      <c r="R28" s="37" t="e">
        <f>P24*N28+P25*N27+P26*N26+P27*N25+P28*N24</f>
        <v>#DIV/0!</v>
      </c>
      <c r="S28" s="72">
        <v>4</v>
      </c>
      <c r="T28" s="135" t="e">
        <f t="shared" si="13"/>
        <v>#DIV/0!</v>
      </c>
      <c r="U28" s="93">
        <v>4</v>
      </c>
      <c r="V28" s="86" t="e">
        <f>T28*R24+T27*R25+T26*R26+T25*R27+T24*R28</f>
        <v>#DIV/0!</v>
      </c>
      <c r="W28" s="137"/>
      <c r="X28" s="28">
        <v>4</v>
      </c>
      <c r="Y28" s="73"/>
      <c r="Z28" s="28">
        <v>4</v>
      </c>
      <c r="AA28" s="79"/>
      <c r="AB28" s="28">
        <v>4</v>
      </c>
      <c r="AC28" s="79"/>
      <c r="AD28" s="28">
        <v>4</v>
      </c>
      <c r="AE28" s="79"/>
      <c r="AF28" s="28">
        <v>4</v>
      </c>
      <c r="AG28" s="79" t="e">
        <f>((($W$24)^M28)*((1-($W$24))^($U$28-M28))*HLOOKUP($U$28,$AV$24:$BF$34,M28+1))*V28</f>
        <v>#DIV/0!</v>
      </c>
      <c r="AH28" s="28">
        <v>4</v>
      </c>
      <c r="AI28" s="79" t="e">
        <f>((($W$24)^M28)*((1-($W$24))^($U$29-M28))*HLOOKUP($U$29,$AV$24:$BF$34,M28+1))*V29</f>
        <v>#DIV/0!</v>
      </c>
      <c r="AJ28" s="28">
        <v>4</v>
      </c>
      <c r="AK28" s="79" t="e">
        <f>((($W$24)^M28)*((1-($W$24))^($U$30-M28))*HLOOKUP($U$30,$AV$24:$BF$34,M28+1))*V30</f>
        <v>#DIV/0!</v>
      </c>
      <c r="AL28" s="28">
        <v>4</v>
      </c>
      <c r="AM28" s="79" t="e">
        <f>((($W$24)^Q28)*((1-($W$24))^($U$31-Q28))*HLOOKUP($U$31,$AV$24:$BF$34,Q28+1))*V31</f>
        <v>#DIV/0!</v>
      </c>
      <c r="AN28" s="28">
        <v>4</v>
      </c>
      <c r="AO28" s="79" t="e">
        <f>((($W$24)^Q28)*((1-($W$24))^($U$32-Q28))*HLOOKUP($U$32,$AV$24:$BF$34,Q28+1))*V32</f>
        <v>#DIV/0!</v>
      </c>
      <c r="AP28" s="28">
        <v>4</v>
      </c>
      <c r="AQ28" s="79" t="e">
        <f>((($W$24)^Q28)*((1-($W$24))^($U$33-Q28))*HLOOKUP($U$33,$AV$24:$BF$34,Q28+1))*V33</f>
        <v>#DIV/0!</v>
      </c>
      <c r="AR28" s="28">
        <v>4</v>
      </c>
      <c r="AS28" s="79" t="e">
        <f>((($W$24)^Q28)*((1-($W$24))^($U$34-Q28))*HLOOKUP($U$34,$AV$24:$BF$34,Q28+1))*V34</f>
        <v>#DIV/0!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8"/>
        <v>2</v>
      </c>
      <c r="BI28">
        <v>8</v>
      </c>
      <c r="BJ28" s="107" t="e">
        <f t="shared" si="9"/>
        <v>#DIV/0!</v>
      </c>
      <c r="BP28">
        <f>BP22+1</f>
        <v>7</v>
      </c>
      <c r="BQ28">
        <v>4</v>
      </c>
      <c r="BR28" s="107" t="e">
        <f t="shared" si="11"/>
        <v>#DIV/0!</v>
      </c>
    </row>
    <row r="29" spans="1:70" x14ac:dyDescent="0.25">
      <c r="A29" s="26" t="s">
        <v>27</v>
      </c>
      <c r="B29" s="123">
        <f>1/(1+EXP(-3.1416*4*((B14/(B14+C13))-(3.1416/6))))</f>
        <v>0.20010231099857245</v>
      </c>
      <c r="C29" s="118">
        <f>1/(1+EXP(-3.1416*4*((C14/(C14+B13))-(3.1416/6))))</f>
        <v>0.575891899079775</v>
      </c>
      <c r="D29" s="153">
        <v>0.04</v>
      </c>
      <c r="E29" s="153">
        <v>0.04</v>
      </c>
      <c r="G29" s="87">
        <v>5</v>
      </c>
      <c r="H29" s="128" t="e">
        <f>J29*L24+J28*L25+J27*L26+J26*L27</f>
        <v>#DIV/0!</v>
      </c>
      <c r="I29" s="93">
        <v>5</v>
      </c>
      <c r="J29" s="86" t="e">
        <f t="shared" si="10"/>
        <v>#DIV/0!</v>
      </c>
      <c r="K29" s="93">
        <v>5</v>
      </c>
      <c r="L29" s="86"/>
      <c r="M29" s="85">
        <v>5</v>
      </c>
      <c r="N29" s="71" t="e">
        <f>(($B$24)^M29)*((1-($B$24))^($B$21-M29))*HLOOKUP($B$21,$AV$24:$BF$34,M29+1)</f>
        <v>#DIV/0!</v>
      </c>
      <c r="O29" s="72">
        <v>5</v>
      </c>
      <c r="P29" s="71" t="e">
        <f t="shared" si="12"/>
        <v>#DIV/0!</v>
      </c>
      <c r="Q29" s="28">
        <v>5</v>
      </c>
      <c r="R29" s="37" t="e">
        <f>P24*N29+P25*N28+P26*N27+P27*N26+P28*N25+P29*N24</f>
        <v>#DIV/0!</v>
      </c>
      <c r="S29" s="72">
        <v>5</v>
      </c>
      <c r="T29" s="135" t="e">
        <f t="shared" si="13"/>
        <v>#DIV/0!</v>
      </c>
      <c r="U29" s="93">
        <v>5</v>
      </c>
      <c r="V29" s="86" t="e">
        <f>T29*R24+T28*R25+T27*R26+T26*R27+T25*R28+T24*R29</f>
        <v>#DIV/0!</v>
      </c>
      <c r="W29" s="137"/>
      <c r="X29" s="28">
        <v>5</v>
      </c>
      <c r="Y29" s="73"/>
      <c r="Z29" s="28">
        <v>5</v>
      </c>
      <c r="AA29" s="79"/>
      <c r="AB29" s="28">
        <v>5</v>
      </c>
      <c r="AC29" s="79"/>
      <c r="AD29" s="28">
        <v>5</v>
      </c>
      <c r="AE29" s="79"/>
      <c r="AF29" s="28">
        <v>5</v>
      </c>
      <c r="AG29" s="79"/>
      <c r="AH29" s="28">
        <v>5</v>
      </c>
      <c r="AI29" s="79" t="e">
        <f>((($W$24)^M29)*((1-($W$24))^($U$29-M29))*HLOOKUP($U$29,$AV$24:$BF$34,M29+1))*V29</f>
        <v>#DIV/0!</v>
      </c>
      <c r="AJ29" s="28">
        <v>5</v>
      </c>
      <c r="AK29" s="79" t="e">
        <f>((($W$24)^M29)*((1-($W$24))^($U$30-M29))*HLOOKUP($U$30,$AV$24:$BF$34,M29+1))*V30</f>
        <v>#DIV/0!</v>
      </c>
      <c r="AL29" s="28">
        <v>5</v>
      </c>
      <c r="AM29" s="79" t="e">
        <f>((($W$24)^Q29)*((1-($W$24))^($U$31-Q29))*HLOOKUP($U$31,$AV$24:$BF$34,Q29+1))*V31</f>
        <v>#DIV/0!</v>
      </c>
      <c r="AN29" s="28">
        <v>5</v>
      </c>
      <c r="AO29" s="79" t="e">
        <f>((($W$24)^Q29)*((1-($W$24))^($U$32-Q29))*HLOOKUP($U$32,$AV$24:$BF$34,Q29+1))*V32</f>
        <v>#DIV/0!</v>
      </c>
      <c r="AP29" s="28">
        <v>5</v>
      </c>
      <c r="AQ29" s="79" t="e">
        <f>((($W$24)^Q29)*((1-($W$24))^($U$33-Q29))*HLOOKUP($U$33,$AV$24:$BF$34,Q29+1))*V33</f>
        <v>#DIV/0!</v>
      </c>
      <c r="AR29" s="28">
        <v>5</v>
      </c>
      <c r="AS29" s="79" t="e">
        <f>((($W$24)^Q29)*((1-($W$24))^($U$34-Q29))*HLOOKUP($U$34,$AV$24:$BF$34,Q29+1))*V34</f>
        <v>#DIV/0!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4">BE28+BE29</f>
        <v>252</v>
      </c>
      <c r="BH29">
        <f t="shared" si="8"/>
        <v>2</v>
      </c>
      <c r="BI29">
        <v>9</v>
      </c>
      <c r="BJ29" s="107" t="e">
        <f t="shared" si="9"/>
        <v>#DIV/0!</v>
      </c>
      <c r="BP29">
        <f>BP23+1</f>
        <v>7</v>
      </c>
      <c r="BQ29">
        <v>5</v>
      </c>
      <c r="BR29" s="107" t="e">
        <f t="shared" si="11"/>
        <v>#DIV/0!</v>
      </c>
    </row>
    <row r="30" spans="1:70" x14ac:dyDescent="0.25">
      <c r="A30" s="26" t="s">
        <v>136</v>
      </c>
      <c r="B30" s="121">
        <v>0.15</v>
      </c>
      <c r="C30" s="122">
        <v>0.15</v>
      </c>
      <c r="D30" s="153">
        <f>IF(B17="TL",0.875*B32,0.001)</f>
        <v>1E-3</v>
      </c>
      <c r="E30" s="153">
        <f>IF(C17="TL",0.875*C32,0.001)</f>
        <v>1E-3</v>
      </c>
      <c r="G30" s="87">
        <v>6</v>
      </c>
      <c r="H30" s="128" t="e">
        <f>J30*L24+J29*L25+J28*L26+J27*L27</f>
        <v>#DIV/0!</v>
      </c>
      <c r="I30" s="93">
        <v>6</v>
      </c>
      <c r="J30" s="86" t="e">
        <f t="shared" si="10"/>
        <v>#DIV/0!</v>
      </c>
      <c r="K30" s="93">
        <v>6</v>
      </c>
      <c r="L30" s="86"/>
      <c r="M30" s="85"/>
      <c r="N30" s="73"/>
      <c r="O30" s="37"/>
      <c r="P30" s="37"/>
      <c r="Q30" s="28">
        <v>6</v>
      </c>
      <c r="R30" s="37" t="e">
        <f>P25*N29+P26*N28+P27*N27+P28*N26+P29*N25</f>
        <v>#DIV/0!</v>
      </c>
      <c r="S30" s="70">
        <v>6</v>
      </c>
      <c r="T30" s="135" t="e">
        <f t="shared" si="13"/>
        <v>#DIV/0!</v>
      </c>
      <c r="U30" s="93">
        <v>6</v>
      </c>
      <c r="V30" s="86" t="e">
        <f>T30*R24+T29*R25+T28*R26+T27*R27+T26*R28+T25*R29+T24*R30</f>
        <v>#DIV/0!</v>
      </c>
      <c r="W30" s="137"/>
      <c r="X30" s="28">
        <v>6</v>
      </c>
      <c r="Y30" s="73"/>
      <c r="Z30" s="28">
        <v>6</v>
      </c>
      <c r="AA30" s="79"/>
      <c r="AB30" s="28">
        <v>6</v>
      </c>
      <c r="AC30" s="79"/>
      <c r="AD30" s="28">
        <v>6</v>
      </c>
      <c r="AE30" s="79"/>
      <c r="AF30" s="28">
        <v>6</v>
      </c>
      <c r="AG30" s="79"/>
      <c r="AH30" s="28">
        <v>6</v>
      </c>
      <c r="AI30" s="79"/>
      <c r="AJ30" s="28">
        <v>6</v>
      </c>
      <c r="AK30" s="79" t="e">
        <f>((($W$24)^Q30)*((1-($W$24))^($U$30-Q30))*HLOOKUP($U$30,$AV$24:$BF$34,Q30+1))*V30</f>
        <v>#DIV/0!</v>
      </c>
      <c r="AL30" s="28">
        <v>6</v>
      </c>
      <c r="AM30" s="79" t="e">
        <f>((($W$24)^Q30)*((1-($W$24))^($U$31-Q30))*HLOOKUP($U$31,$AV$24:$BF$34,Q30+1))*V31</f>
        <v>#DIV/0!</v>
      </c>
      <c r="AN30" s="28">
        <v>6</v>
      </c>
      <c r="AO30" s="79" t="e">
        <f>((($W$24)^Q30)*((1-($W$24))^($U$32-Q30))*HLOOKUP($U$32,$AV$24:$BF$34,Q30+1))*V32</f>
        <v>#DIV/0!</v>
      </c>
      <c r="AP30" s="28">
        <v>6</v>
      </c>
      <c r="AQ30" s="79" t="e">
        <f>((($W$24)^Q30)*((1-($W$24))^($U$33-Q30))*HLOOKUP($U$33,$AV$24:$BF$34,Q30+1))*V33</f>
        <v>#DIV/0!</v>
      </c>
      <c r="AR30" s="28">
        <v>6</v>
      </c>
      <c r="AS30" s="79" t="e">
        <f>((($W$24)^Q30)*((1-($W$24))^($U$34-Q30))*HLOOKUP($U$34,$AV$24:$BF$34,Q30+1))*V34</f>
        <v>#DIV/0!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 t="e">
        <f t="shared" si="9"/>
        <v>#DIV/0!</v>
      </c>
      <c r="BP30">
        <f>BL10+1</f>
        <v>7</v>
      </c>
      <c r="BQ30">
        <v>6</v>
      </c>
      <c r="BR30" s="107" t="e">
        <f t="shared" si="11"/>
        <v>#DIV/0!</v>
      </c>
    </row>
    <row r="31" spans="1:70" x14ac:dyDescent="0.25">
      <c r="A31" s="51" t="s">
        <v>68</v>
      </c>
      <c r="B31" s="60" t="e">
        <f>(B25*D25)+(B26*D26)+(B27*D27)+(B28*D28)+(B29*D29)+(B30*D30)/(B25+B26+B27+B28+B29+B30)</f>
        <v>#DIV/0!</v>
      </c>
      <c r="C31" s="61" t="e">
        <f>(C25*E25)+(C26*E26)+(C27*E27)+(C28*E28)+(C29*E29)+(C30*E30)/(C25+C26+C27+C28+C29+C30)</f>
        <v>#DIV/0!</v>
      </c>
      <c r="G31" s="87">
        <v>7</v>
      </c>
      <c r="H31" s="128" t="e">
        <f>J31*L24+J30*L25+J29*L26+J28*L27</f>
        <v>#DIV/0!</v>
      </c>
      <c r="I31" s="93">
        <v>7</v>
      </c>
      <c r="J31" s="86" t="e">
        <f t="shared" si="10"/>
        <v>#DIV/0!</v>
      </c>
      <c r="K31" s="93">
        <v>7</v>
      </c>
      <c r="L31" s="86"/>
      <c r="M31" s="85"/>
      <c r="N31" s="73"/>
      <c r="O31" s="37"/>
      <c r="P31" s="37"/>
      <c r="Q31" s="28">
        <v>7</v>
      </c>
      <c r="R31" s="37" t="e">
        <f>P26*N29+P27*N28+P28*N27+P29*N26</f>
        <v>#DIV/0!</v>
      </c>
      <c r="S31" s="72">
        <v>7</v>
      </c>
      <c r="T31" s="135" t="e">
        <f t="shared" si="13"/>
        <v>#DIV/0!</v>
      </c>
      <c r="U31" s="93">
        <v>7</v>
      </c>
      <c r="V31" s="86" t="e">
        <f>T31*R24+T30*R25+T29*R26+T28*R27+T27*R28+T26*R29+T25*R30+T24*R31</f>
        <v>#DIV/0!</v>
      </c>
      <c r="W31" s="137"/>
      <c r="X31" s="28">
        <v>7</v>
      </c>
      <c r="Y31" s="73"/>
      <c r="Z31" s="28">
        <v>7</v>
      </c>
      <c r="AA31" s="79"/>
      <c r="AB31" s="28">
        <v>7</v>
      </c>
      <c r="AC31" s="79"/>
      <c r="AD31" s="28">
        <v>7</v>
      </c>
      <c r="AE31" s="79"/>
      <c r="AF31" s="28">
        <v>7</v>
      </c>
      <c r="AG31" s="79"/>
      <c r="AH31" s="28">
        <v>7</v>
      </c>
      <c r="AI31" s="79"/>
      <c r="AJ31" s="28">
        <v>7</v>
      </c>
      <c r="AK31" s="79"/>
      <c r="AL31" s="28">
        <v>7</v>
      </c>
      <c r="AM31" s="79" t="e">
        <f>((($W$24)^Q31)*((1-($W$24))^($U$31-Q31))*HLOOKUP($U$31,$AV$24:$BF$34,Q31+1))*V31</f>
        <v>#DIV/0!</v>
      </c>
      <c r="AN31" s="28">
        <v>7</v>
      </c>
      <c r="AO31" s="79" t="e">
        <f>((($W$24)^Q31)*((1-($W$24))^($U$32-Q31))*HLOOKUP($U$32,$AV$24:$BF$34,Q31+1))*V32</f>
        <v>#DIV/0!</v>
      </c>
      <c r="AP31" s="28">
        <v>7</v>
      </c>
      <c r="AQ31" s="79" t="e">
        <f>((($W$24)^Q31)*((1-($W$24))^($U$33-Q31))*HLOOKUP($U$33,$AV$24:$BF$34,Q31+1))*V33</f>
        <v>#DIV/0!</v>
      </c>
      <c r="AR31" s="28">
        <v>7</v>
      </c>
      <c r="AS31" s="79" t="e">
        <f>((($W$24)^Q31)*((1-($W$24))^($U$34-Q31))*HLOOKUP($U$34,$AV$24:$BF$34,Q31+1))*V34</f>
        <v>#DIV/0!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 t="e">
        <f t="shared" ref="BJ31:BJ37" si="16">$H$27*H42</f>
        <v>#DIV/0!</v>
      </c>
      <c r="BP31">
        <f t="shared" ref="BP31:BP37" si="17">BP24+1</f>
        <v>8</v>
      </c>
      <c r="BQ31">
        <v>0</v>
      </c>
      <c r="BR31" s="107" t="e">
        <f t="shared" ref="BR31:BR38" si="18">$H$32*H38</f>
        <v>#DIV/0!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8</v>
      </c>
      <c r="H32" s="128" t="e">
        <f>J32*L24+J31*L25+J30*L26+J29*L27</f>
        <v>#DIV/0!</v>
      </c>
      <c r="I32" s="93">
        <v>8</v>
      </c>
      <c r="J32" s="86" t="e">
        <f t="shared" si="10"/>
        <v>#DIV/0!</v>
      </c>
      <c r="K32" s="93">
        <v>8</v>
      </c>
      <c r="L32" s="86"/>
      <c r="M32" s="85"/>
      <c r="N32" s="73"/>
      <c r="O32" s="37"/>
      <c r="P32" s="37"/>
      <c r="Q32" s="28">
        <v>8</v>
      </c>
      <c r="R32" s="37" t="e">
        <f>P27*N29+P28*N28+P29*N27</f>
        <v>#DIV/0!</v>
      </c>
      <c r="S32" s="72">
        <v>8</v>
      </c>
      <c r="T32" s="135" t="e">
        <f t="shared" si="13"/>
        <v>#DIV/0!</v>
      </c>
      <c r="U32" s="93">
        <v>8</v>
      </c>
      <c r="V32" s="86" t="e">
        <f>T32*R24+T31*R25+T30*R26+T29*R27+T28*R28+T27*R29+T26*R30+T25*R31+T24*R32</f>
        <v>#DIV/0!</v>
      </c>
      <c r="W32" s="137"/>
      <c r="X32" s="28">
        <v>8</v>
      </c>
      <c r="Y32" s="73"/>
      <c r="Z32" s="28">
        <v>8</v>
      </c>
      <c r="AA32" s="79"/>
      <c r="AB32" s="28">
        <v>8</v>
      </c>
      <c r="AC32" s="79"/>
      <c r="AD32" s="28">
        <v>8</v>
      </c>
      <c r="AE32" s="79"/>
      <c r="AF32" s="28">
        <v>8</v>
      </c>
      <c r="AG32" s="79"/>
      <c r="AH32" s="28">
        <v>8</v>
      </c>
      <c r="AI32" s="79"/>
      <c r="AJ32" s="28">
        <v>8</v>
      </c>
      <c r="AK32" s="79"/>
      <c r="AL32" s="28">
        <v>8</v>
      </c>
      <c r="AM32" s="79"/>
      <c r="AN32" s="28">
        <v>8</v>
      </c>
      <c r="AO32" s="79" t="e">
        <f>((($W$24)^Q32)*((1-($W$24))^($U$32-Q32))*HLOOKUP($U$32,$AV$24:$BF$34,Q32+1))*V32</f>
        <v>#DIV/0!</v>
      </c>
      <c r="AP32" s="28">
        <v>8</v>
      </c>
      <c r="AQ32" s="79" t="e">
        <f>((($W$24)^Q32)*((1-($W$24))^($U$33-Q32))*HLOOKUP($U$33,$AV$24:$BF$34,Q32+1))*V33</f>
        <v>#DIV/0!</v>
      </c>
      <c r="AR32" s="28">
        <v>8</v>
      </c>
      <c r="AS32" s="79" t="e">
        <f>((($W$24)^Q32)*((1-($W$24))^($U$34-Q32))*HLOOKUP($U$34,$AV$24:$BF$34,Q32+1))*V34</f>
        <v>#DIV/0!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 t="e">
        <f t="shared" si="16"/>
        <v>#DIV/0!</v>
      </c>
      <c r="BP32">
        <f t="shared" si="17"/>
        <v>8</v>
      </c>
      <c r="BQ32">
        <v>1</v>
      </c>
      <c r="BR32" s="107" t="e">
        <f t="shared" si="18"/>
        <v>#DIV/0!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9</v>
      </c>
      <c r="H33" s="128" t="e">
        <f>J33*L24+J32*L25+J31*L26+J30*L27</f>
        <v>#DIV/0!</v>
      </c>
      <c r="I33" s="93">
        <v>9</v>
      </c>
      <c r="J33" s="86" t="e">
        <f t="shared" si="10"/>
        <v>#DIV/0!</v>
      </c>
      <c r="K33" s="93">
        <v>9</v>
      </c>
      <c r="L33" s="86"/>
      <c r="M33" s="85"/>
      <c r="N33" s="73"/>
      <c r="O33" s="37"/>
      <c r="P33" s="37"/>
      <c r="Q33" s="28">
        <v>9</v>
      </c>
      <c r="R33" s="37" t="e">
        <f>P28*N29+P29*N28</f>
        <v>#DIV/0!</v>
      </c>
      <c r="S33" s="72">
        <v>9</v>
      </c>
      <c r="T33" s="135" t="e">
        <f t="shared" si="13"/>
        <v>#DIV/0!</v>
      </c>
      <c r="U33" s="93">
        <v>9</v>
      </c>
      <c r="V33" s="86" t="e">
        <f>T33*R24+T32*R25+T31*R26+T30*R27+T29*R28+T28*R29+T27*R30+T26*R31+T25*R32+T24*R33</f>
        <v>#DIV/0!</v>
      </c>
      <c r="W33" s="137"/>
      <c r="X33" s="28">
        <v>9</v>
      </c>
      <c r="Y33" s="73"/>
      <c r="Z33" s="28">
        <v>9</v>
      </c>
      <c r="AA33" s="79"/>
      <c r="AB33" s="28">
        <v>9</v>
      </c>
      <c r="AC33" s="79"/>
      <c r="AD33" s="28">
        <v>9</v>
      </c>
      <c r="AE33" s="79"/>
      <c r="AF33" s="28">
        <v>9</v>
      </c>
      <c r="AG33" s="79"/>
      <c r="AH33" s="28">
        <v>9</v>
      </c>
      <c r="AI33" s="79"/>
      <c r="AJ33" s="28">
        <v>9</v>
      </c>
      <c r="AK33" s="79"/>
      <c r="AL33" s="28">
        <v>9</v>
      </c>
      <c r="AM33" s="79"/>
      <c r="AN33" s="28">
        <v>9</v>
      </c>
      <c r="AO33" s="79"/>
      <c r="AP33" s="28">
        <v>9</v>
      </c>
      <c r="AQ33" s="79" t="e">
        <f>((($W$24)^Q33)*((1-($W$24))^($U$33-Q33))*HLOOKUP($U$33,$AV$24:$BF$34,Q33+1))*V33</f>
        <v>#DIV/0!</v>
      </c>
      <c r="AR33" s="28">
        <v>9</v>
      </c>
      <c r="AS33" s="79" t="e">
        <f>((($W$24)^Q33)*((1-($W$24))^($U$34-Q33))*HLOOKUP($U$34,$AV$24:$BF$34,Q33+1))*V34</f>
        <v>#DIV/0!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 t="e">
        <f t="shared" si="16"/>
        <v>#DIV/0!</v>
      </c>
      <c r="BP33">
        <f t="shared" si="17"/>
        <v>8</v>
      </c>
      <c r="BQ33">
        <v>2</v>
      </c>
      <c r="BR33" s="107" t="e">
        <f t="shared" si="18"/>
        <v>#DIV/0!</v>
      </c>
    </row>
    <row r="34" spans="1:70" ht="15.75" thickBot="1" x14ac:dyDescent="0.3">
      <c r="A34" s="40" t="s">
        <v>86</v>
      </c>
      <c r="B34" s="56" t="e">
        <f>B23*2</f>
        <v>#DIV/0!</v>
      </c>
      <c r="C34" s="57" t="e">
        <f>C23*2</f>
        <v>#DIV/0!</v>
      </c>
      <c r="G34" s="88">
        <v>10</v>
      </c>
      <c r="H34" s="129" t="e">
        <f>J34*L24+J33*L25+J32*L26+J31*L27</f>
        <v>#DIV/0!</v>
      </c>
      <c r="I34" s="94">
        <v>10</v>
      </c>
      <c r="J34" s="89" t="e">
        <f t="shared" si="10"/>
        <v>#DIV/0!</v>
      </c>
      <c r="K34" s="94">
        <v>10</v>
      </c>
      <c r="L34" s="89"/>
      <c r="M34" s="85"/>
      <c r="N34" s="73"/>
      <c r="O34" s="37"/>
      <c r="P34" s="37"/>
      <c r="Q34" s="28">
        <v>10</v>
      </c>
      <c r="R34" s="37" t="e">
        <f>P29*N29</f>
        <v>#DIV/0!</v>
      </c>
      <c r="S34" s="72">
        <v>10</v>
      </c>
      <c r="T34" s="135" t="e">
        <f t="shared" si="13"/>
        <v>#DIV/0!</v>
      </c>
      <c r="U34" s="94">
        <v>10</v>
      </c>
      <c r="V34" s="89" t="e">
        <f>IF(((T34*R24+T33*R25+T32*R26+T31*R27+T30*R28+T29*R29+T28*R30+T27*R31+T26*R32+T25*R33+T24*R34)+V22)&lt;&gt;1,1-V22,(T34*R24+T33*R25+T32*R26+T31*R27+T30*R28+T29*R29+T28*R30+T27*R31+T26*R32+T25*R33+T24*R34))</f>
        <v>#DIV/0!</v>
      </c>
      <c r="W34" s="137"/>
      <c r="X34" s="28">
        <v>10</v>
      </c>
      <c r="Y34" s="73"/>
      <c r="Z34" s="28">
        <v>10</v>
      </c>
      <c r="AA34" s="79"/>
      <c r="AB34" s="28">
        <v>10</v>
      </c>
      <c r="AC34" s="79"/>
      <c r="AD34" s="28">
        <v>10</v>
      </c>
      <c r="AE34" s="79"/>
      <c r="AF34" s="28">
        <v>10</v>
      </c>
      <c r="AG34" s="79"/>
      <c r="AH34" s="28">
        <v>10</v>
      </c>
      <c r="AI34" s="79"/>
      <c r="AJ34" s="28">
        <v>10</v>
      </c>
      <c r="AK34" s="79"/>
      <c r="AL34" s="28">
        <v>10</v>
      </c>
      <c r="AM34" s="79"/>
      <c r="AN34" s="28">
        <v>10</v>
      </c>
      <c r="AO34" s="79"/>
      <c r="AP34" s="28">
        <v>10</v>
      </c>
      <c r="AQ34" s="79"/>
      <c r="AR34" s="28">
        <v>10</v>
      </c>
      <c r="AS34" s="79" t="e">
        <f>((($W$24)^Q34)*((1-($W$24))^($U$34-Q34))*HLOOKUP($U$34,$AV$24:$BF$34,Q34+1))*V34</f>
        <v>#DIV/0!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 t="e">
        <f t="shared" si="16"/>
        <v>#DIV/0!</v>
      </c>
      <c r="BP34">
        <f t="shared" si="17"/>
        <v>8</v>
      </c>
      <c r="BQ34">
        <v>3</v>
      </c>
      <c r="BR34" s="107" t="e">
        <f t="shared" si="18"/>
        <v>#DIV/0!</v>
      </c>
    </row>
    <row r="35" spans="1:70" x14ac:dyDescent="0.25"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59" t="e">
        <f>SUM(V38:V48)</f>
        <v>#DIV/0!</v>
      </c>
      <c r="W35" s="13"/>
      <c r="X35" s="13"/>
      <c r="AS35" s="82" t="e">
        <f>Y36+AA36+AC36+AE36+AG36+AI36+AK36+AM36+AO36+AQ36+AS36</f>
        <v>#DIV/0!</v>
      </c>
      <c r="BH35">
        <f t="shared" si="15"/>
        <v>3</v>
      </c>
      <c r="BI35">
        <v>8</v>
      </c>
      <c r="BJ35" s="107" t="e">
        <f t="shared" si="16"/>
        <v>#DIV/0!</v>
      </c>
      <c r="BP35">
        <f t="shared" si="17"/>
        <v>8</v>
      </c>
      <c r="BQ35">
        <v>4</v>
      </c>
      <c r="BR35" s="107" t="e">
        <f t="shared" si="18"/>
        <v>#DIV/0!</v>
      </c>
    </row>
    <row r="36" spans="1:70" ht="15.75" thickBot="1" x14ac:dyDescent="0.3">
      <c r="A36" s="1"/>
      <c r="B36" s="108" t="e">
        <f>SUM(B37:B39)</f>
        <v>#DIV/0!</v>
      </c>
      <c r="G36" s="13"/>
      <c r="H36" s="59" t="e">
        <f>SUM(H38:H48)</f>
        <v>#DIV/0!</v>
      </c>
      <c r="I36" s="13"/>
      <c r="J36" s="59" t="e">
        <f>SUM(J38:J48)</f>
        <v>#DIV/0!</v>
      </c>
      <c r="K36" s="59"/>
      <c r="L36" s="59" t="e">
        <f>SUM(L38:L48)</f>
        <v>#DIV/0!</v>
      </c>
      <c r="M36" s="13"/>
      <c r="N36" s="74" t="e">
        <f>SUM(N38:N48)</f>
        <v>#DIV/0!</v>
      </c>
      <c r="O36" s="13"/>
      <c r="P36" s="74" t="e">
        <f>SUM(P38:P48)</f>
        <v>#DIV/0!</v>
      </c>
      <c r="Q36" s="13"/>
      <c r="R36" s="59" t="e">
        <f>SUM(R38:R48)</f>
        <v>#DIV/0!</v>
      </c>
      <c r="S36" s="13"/>
      <c r="T36" s="59" t="e">
        <f>SUM(T38:T48)</f>
        <v>#DIV/0!</v>
      </c>
      <c r="U36" s="13"/>
      <c r="V36" s="59" t="e">
        <f>SUM(V38:V47)</f>
        <v>#DIV/0!</v>
      </c>
      <c r="W36" s="13"/>
      <c r="X36" s="13"/>
      <c r="Y36" s="80" t="e">
        <f>SUM(Y38:Y48)</f>
        <v>#DIV/0!</v>
      </c>
      <c r="Z36" s="81"/>
      <c r="AA36" s="80" t="e">
        <f>SUM(AA38:AA48)</f>
        <v>#DIV/0!</v>
      </c>
      <c r="AB36" s="81"/>
      <c r="AC36" s="80" t="e">
        <f>SUM(AC38:AC48)</f>
        <v>#DIV/0!</v>
      </c>
      <c r="AD36" s="81"/>
      <c r="AE36" s="80" t="e">
        <f>SUM(AE38:AE48)</f>
        <v>#DIV/0!</v>
      </c>
      <c r="AF36" s="81"/>
      <c r="AG36" s="80" t="e">
        <f>SUM(AG38:AG48)</f>
        <v>#DIV/0!</v>
      </c>
      <c r="AH36" s="81"/>
      <c r="AI36" s="80" t="e">
        <f>SUM(AI38:AI48)</f>
        <v>#DIV/0!</v>
      </c>
      <c r="AJ36" s="81"/>
      <c r="AK36" s="80" t="e">
        <f>SUM(AK38:AK48)</f>
        <v>#DIV/0!</v>
      </c>
      <c r="AL36" s="81"/>
      <c r="AM36" s="80" t="e">
        <f>SUM(AM38:AM48)</f>
        <v>#DIV/0!</v>
      </c>
      <c r="AN36" s="81"/>
      <c r="AO36" s="80" t="e">
        <f>SUM(AO38:AO48)</f>
        <v>#DIV/0!</v>
      </c>
      <c r="AP36" s="81"/>
      <c r="AQ36" s="80" t="e">
        <f>SUM(AQ38:AQ48)</f>
        <v>#DIV/0!</v>
      </c>
      <c r="AR36" s="81"/>
      <c r="AS36" s="80" t="e">
        <f>SUM(AS38:AS48)</f>
        <v>#DIV/0!</v>
      </c>
      <c r="BH36">
        <f t="shared" si="15"/>
        <v>3</v>
      </c>
      <c r="BI36">
        <v>9</v>
      </c>
      <c r="BJ36" s="107" t="e">
        <f t="shared" si="16"/>
        <v>#DIV/0!</v>
      </c>
      <c r="BP36">
        <f t="shared" si="17"/>
        <v>8</v>
      </c>
      <c r="BQ36">
        <v>5</v>
      </c>
      <c r="BR36" s="107" t="e">
        <f t="shared" si="18"/>
        <v>#DIV/0!</v>
      </c>
    </row>
    <row r="37" spans="1:70" ht="15.75" thickBot="1" x14ac:dyDescent="0.3">
      <c r="A37" s="109" t="s">
        <v>104</v>
      </c>
      <c r="B37" s="107" t="e">
        <f>SUM(BN4:BN14)</f>
        <v>#DIV/0!</v>
      </c>
      <c r="G37" s="103" t="str">
        <f t="shared" ref="G37:T37" si="19">G23</f>
        <v>G</v>
      </c>
      <c r="H37" s="104" t="str">
        <f t="shared" si="19"/>
        <v>p</v>
      </c>
      <c r="I37" s="103" t="str">
        <f t="shared" si="19"/>
        <v>GT</v>
      </c>
      <c r="J37" s="105" t="str">
        <f t="shared" si="19"/>
        <v>p(x)</v>
      </c>
      <c r="K37" s="106" t="str">
        <f t="shared" si="19"/>
        <v>EE(x)</v>
      </c>
      <c r="L37" s="105" t="str">
        <f t="shared" si="19"/>
        <v>p</v>
      </c>
      <c r="M37" s="90" t="str">
        <f t="shared" si="19"/>
        <v>OcaS</v>
      </c>
      <c r="N37" s="30" t="str">
        <f t="shared" si="19"/>
        <v>P</v>
      </c>
      <c r="O37" s="30" t="str">
        <f t="shared" si="19"/>
        <v>O_CA</v>
      </c>
      <c r="P37" s="30" t="str">
        <f t="shared" si="19"/>
        <v>p</v>
      </c>
      <c r="Q37" s="30" t="str">
        <f t="shared" si="19"/>
        <v>TotalN</v>
      </c>
      <c r="R37" s="30" t="str">
        <f t="shared" si="19"/>
        <v>p</v>
      </c>
      <c r="S37" s="30" t="str">
        <f t="shared" si="19"/>
        <v>OcaCA</v>
      </c>
      <c r="T37" s="141" t="str">
        <f t="shared" si="19"/>
        <v>p</v>
      </c>
      <c r="U37" s="142" t="str">
        <f>U23</f>
        <v>Total</v>
      </c>
      <c r="V37" s="143" t="str">
        <f>V23</f>
        <v>P</v>
      </c>
      <c r="W37" s="90" t="str">
        <f>W23</f>
        <v>E(x)</v>
      </c>
      <c r="X37" s="30" t="str">
        <f t="shared" ref="X37" si="20">X23</f>
        <v>G0</v>
      </c>
      <c r="Y37" s="30" t="str">
        <f>Y23</f>
        <v>p</v>
      </c>
      <c r="Z37" s="30" t="str">
        <f t="shared" ref="Z37" si="21">Z23</f>
        <v>G1</v>
      </c>
      <c r="AA37" s="30" t="str">
        <f>AA23</f>
        <v>p</v>
      </c>
      <c r="AB37" s="30" t="str">
        <f t="shared" ref="AB37" si="22">AB23</f>
        <v>G2</v>
      </c>
      <c r="AC37" s="30" t="str">
        <f>AC23</f>
        <v>p</v>
      </c>
      <c r="AD37" s="30" t="str">
        <f t="shared" ref="AD37" si="23">AD23</f>
        <v>G3</v>
      </c>
      <c r="AE37" s="30" t="str">
        <f>AE23</f>
        <v>p</v>
      </c>
      <c r="AF37" s="30" t="str">
        <f t="shared" ref="AF37" si="24">AF23</f>
        <v>G4</v>
      </c>
      <c r="AG37" s="30" t="str">
        <f>AG23</f>
        <v>p</v>
      </c>
      <c r="AH37" s="30" t="str">
        <f t="shared" ref="AH37" si="25">AH23</f>
        <v>G5</v>
      </c>
      <c r="AI37" s="30" t="str">
        <f>AI23</f>
        <v>p</v>
      </c>
      <c r="AJ37" s="30" t="str">
        <f t="shared" ref="AJ37" si="26">AJ23</f>
        <v>G6</v>
      </c>
      <c r="AK37" s="30" t="str">
        <f>AK23</f>
        <v>p</v>
      </c>
      <c r="AL37" s="30" t="str">
        <f t="shared" ref="AL37" si="27">AL23</f>
        <v>G7</v>
      </c>
      <c r="AM37" s="30" t="str">
        <f>AM23</f>
        <v>p</v>
      </c>
      <c r="AN37" s="30" t="str">
        <f t="shared" ref="AN37" si="28">AN23</f>
        <v>G8</v>
      </c>
      <c r="AO37" s="30" t="str">
        <f>AO23</f>
        <v>p</v>
      </c>
      <c r="AP37" s="30" t="str">
        <f t="shared" ref="AP37" si="29">AP23</f>
        <v>G9</v>
      </c>
      <c r="AQ37" s="30" t="str">
        <f>AQ23</f>
        <v>p</v>
      </c>
      <c r="AR37" s="30" t="str">
        <f t="shared" ref="AR37" si="30">AR23</f>
        <v>G10</v>
      </c>
      <c r="AS37" s="30" t="str">
        <f>AS23</f>
        <v>p</v>
      </c>
      <c r="BH37">
        <f t="shared" si="15"/>
        <v>3</v>
      </c>
      <c r="BI37">
        <v>10</v>
      </c>
      <c r="BJ37" s="107" t="e">
        <f t="shared" si="16"/>
        <v>#DIV/0!</v>
      </c>
      <c r="BP37">
        <f t="shared" si="17"/>
        <v>8</v>
      </c>
      <c r="BQ37">
        <v>6</v>
      </c>
      <c r="BR37" s="107" t="e">
        <f t="shared" si="18"/>
        <v>#DIV/0!</v>
      </c>
    </row>
    <row r="38" spans="1:70" x14ac:dyDescent="0.25">
      <c r="A38" s="110" t="s">
        <v>105</v>
      </c>
      <c r="B38" s="107" t="e">
        <f>SUM(BJ4:BJ59)</f>
        <v>#DIV/0!</v>
      </c>
      <c r="G38" s="130">
        <v>0</v>
      </c>
      <c r="H38" s="131" t="e">
        <f>L38*J38</f>
        <v>#DIV/0!</v>
      </c>
      <c r="I38" s="97">
        <v>0</v>
      </c>
      <c r="J38" s="98" t="e">
        <f t="shared" ref="J38:J48" si="31">Y38+AA38+AC38+AE38+AG38+AI38+AK38+AM38+AO38+AQ38+AS38</f>
        <v>#DIV/0!</v>
      </c>
      <c r="K38" s="102">
        <v>0</v>
      </c>
      <c r="L38" s="98" t="e">
        <f>AC20</f>
        <v>#DIV/0!</v>
      </c>
      <c r="M38" s="84">
        <v>0</v>
      </c>
      <c r="N38" s="71" t="e">
        <f>(1-$C$24)^$B$21</f>
        <v>#DIV/0!</v>
      </c>
      <c r="O38" s="70">
        <v>0</v>
      </c>
      <c r="P38" s="71" t="e">
        <f>N38</f>
        <v>#DIV/0!</v>
      </c>
      <c r="Q38" s="12">
        <v>0</v>
      </c>
      <c r="R38" s="73" t="e">
        <f>P38*N38</f>
        <v>#DIV/0!</v>
      </c>
      <c r="S38" s="70">
        <v>0</v>
      </c>
      <c r="T38" s="135" t="e">
        <f>(1-$C$33)^(INT(B23*2*(1-B31)))</f>
        <v>#DIV/0!</v>
      </c>
      <c r="U38" s="140">
        <v>0</v>
      </c>
      <c r="V38" s="86" t="e">
        <f>R38*T38</f>
        <v>#DIV/0!</v>
      </c>
      <c r="W38" s="136" t="e">
        <f>C31</f>
        <v>#DIV/0!</v>
      </c>
      <c r="X38" s="12">
        <v>0</v>
      </c>
      <c r="Y38" s="79" t="e">
        <f>V38</f>
        <v>#DIV/0!</v>
      </c>
      <c r="Z38" s="12">
        <v>0</v>
      </c>
      <c r="AA38" s="78" t="e">
        <f>((1-W38)^Z39)*V39</f>
        <v>#DIV/0!</v>
      </c>
      <c r="AB38" s="12">
        <v>0</v>
      </c>
      <c r="AC38" s="79" t="e">
        <f>(((1-$W$38)^AB40))*V40</f>
        <v>#DIV/0!</v>
      </c>
      <c r="AD38" s="12">
        <v>0</v>
      </c>
      <c r="AE38" s="79" t="e">
        <f>(((1-$W$38)^AB41))*V41</f>
        <v>#DIV/0!</v>
      </c>
      <c r="AF38" s="12">
        <v>0</v>
      </c>
      <c r="AG38" s="79" t="e">
        <f>(((1-$W$38)^AB42))*V42</f>
        <v>#DIV/0!</v>
      </c>
      <c r="AH38" s="12">
        <v>0</v>
      </c>
      <c r="AI38" s="79" t="e">
        <f>(((1-$W$38)^AB43))*V43</f>
        <v>#DIV/0!</v>
      </c>
      <c r="AJ38" s="12">
        <v>0</v>
      </c>
      <c r="AK38" s="79" t="e">
        <f>(((1-$W$38)^AB44))*V44</f>
        <v>#DIV/0!</v>
      </c>
      <c r="AL38" s="12">
        <v>0</v>
      </c>
      <c r="AM38" s="79" t="e">
        <f>(((1-$W$38)^AB45))*V45</f>
        <v>#DIV/0!</v>
      </c>
      <c r="AN38" s="12">
        <v>0</v>
      </c>
      <c r="AO38" s="79" t="e">
        <f>(((1-$W$38)^AB46))*V46</f>
        <v>#DIV/0!</v>
      </c>
      <c r="AP38" s="12">
        <v>0</v>
      </c>
      <c r="AQ38" s="79" t="e">
        <f>(((1-$W$38)^AB47))*V47</f>
        <v>#DIV/0!</v>
      </c>
      <c r="AR38" s="12">
        <v>0</v>
      </c>
      <c r="AS38" s="79" t="e">
        <f>(((1-$W$38)^AB48))*V48</f>
        <v>#DIV/0!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2">BH32+1</f>
        <v>4</v>
      </c>
      <c r="BI38">
        <v>5</v>
      </c>
      <c r="BJ38" s="107" t="e">
        <f t="shared" ref="BJ38:BJ43" si="33">$H$28*H43</f>
        <v>#DIV/0!</v>
      </c>
      <c r="BP38">
        <f>BL11+1</f>
        <v>8</v>
      </c>
      <c r="BQ38">
        <v>7</v>
      </c>
      <c r="BR38" s="107" t="e">
        <f t="shared" si="18"/>
        <v>#DIV/0!</v>
      </c>
    </row>
    <row r="39" spans="1:70" x14ac:dyDescent="0.25">
      <c r="A39" s="111" t="s">
        <v>0</v>
      </c>
      <c r="B39" s="107" t="e">
        <f>SUM(BR4:BR47)</f>
        <v>#DIV/0!</v>
      </c>
      <c r="G39" s="91">
        <v>1</v>
      </c>
      <c r="H39" s="132" t="e">
        <f>L38*J39+L39*J38</f>
        <v>#DIV/0!</v>
      </c>
      <c r="I39" s="93">
        <v>1</v>
      </c>
      <c r="J39" s="86" t="e">
        <f t="shared" si="31"/>
        <v>#DIV/0!</v>
      </c>
      <c r="K39" s="95">
        <v>1</v>
      </c>
      <c r="L39" s="86" t="e">
        <f>AD20</f>
        <v>#DIV/0!</v>
      </c>
      <c r="M39" s="85">
        <v>1</v>
      </c>
      <c r="N39" s="71" t="e">
        <f>(($C$24)^M25)*((1-($C$24))^($B$21-M25))*HLOOKUP($B$21,$AV$24:$BF$34,M25+1)</f>
        <v>#DIV/0!</v>
      </c>
      <c r="O39" s="72">
        <v>1</v>
      </c>
      <c r="P39" s="71" t="e">
        <f t="shared" ref="P39:P43" si="34">N39</f>
        <v>#DIV/0!</v>
      </c>
      <c r="Q39" s="28">
        <v>1</v>
      </c>
      <c r="R39" s="37" t="e">
        <f>P39*N38+P38*N39</f>
        <v>#DIV/0!</v>
      </c>
      <c r="S39" s="72">
        <v>1</v>
      </c>
      <c r="T39" s="135" t="e">
        <f t="shared" ref="T39:T48" si="35">(($C$33)^S39)*((1-($C$33))^(INT($B$23*2*(1-$B$31))-S39))*HLOOKUP(INT($B$23*2*(1-$B$31)),$AV$24:$BF$34,S39+1)</f>
        <v>#DIV/0!</v>
      </c>
      <c r="U39" s="93">
        <v>1</v>
      </c>
      <c r="V39" s="86" t="e">
        <f>R39*T38+T39*R38</f>
        <v>#DIV/0!</v>
      </c>
      <c r="W39" s="137"/>
      <c r="X39" s="28">
        <v>1</v>
      </c>
      <c r="Y39" s="73"/>
      <c r="Z39" s="28">
        <v>1</v>
      </c>
      <c r="AA39" s="79" t="e">
        <f>(1-((1-W38)^Z39))*V39</f>
        <v>#DIV/0!</v>
      </c>
      <c r="AB39" s="28">
        <v>1</v>
      </c>
      <c r="AC39" s="79" t="e">
        <f>((($W$38)^M39)*((1-($W$38))^($U$26-M39))*HLOOKUP($U$26,$AV$24:$BF$34,M39+1))*V40</f>
        <v>#DIV/0!</v>
      </c>
      <c r="AD39" s="28">
        <v>1</v>
      </c>
      <c r="AE39" s="79" t="e">
        <f>((($W$38)^M39)*((1-($W$38))^($U$27-M39))*HLOOKUP($U$27,$AV$24:$BF$34,M39+1))*V41</f>
        <v>#DIV/0!</v>
      </c>
      <c r="AF39" s="28">
        <v>1</v>
      </c>
      <c r="AG39" s="79" t="e">
        <f>((($W$38)^M39)*((1-($W$38))^($U$28-M39))*HLOOKUP($U$28,$AV$24:$BF$34,M39+1))*V42</f>
        <v>#DIV/0!</v>
      </c>
      <c r="AH39" s="28">
        <v>1</v>
      </c>
      <c r="AI39" s="79" t="e">
        <f>((($W$38)^M39)*((1-($W$38))^($U$29-M39))*HLOOKUP($U$29,$AV$24:$BF$34,M39+1))*V43</f>
        <v>#DIV/0!</v>
      </c>
      <c r="AJ39" s="28">
        <v>1</v>
      </c>
      <c r="AK39" s="79" t="e">
        <f>((($W$38)^M39)*((1-($W$38))^($U$30-M39))*HLOOKUP($U$30,$AV$24:$BF$34,M39+1))*V44</f>
        <v>#DIV/0!</v>
      </c>
      <c r="AL39" s="28">
        <v>1</v>
      </c>
      <c r="AM39" s="79" t="e">
        <f>((($W$38)^Q39)*((1-($W$38))^($U$31-Q39))*HLOOKUP($U$31,$AV$24:$BF$34,Q39+1))*V45</f>
        <v>#DIV/0!</v>
      </c>
      <c r="AN39" s="28">
        <v>1</v>
      </c>
      <c r="AO39" s="79" t="e">
        <f>((($W$38)^Q39)*((1-($W$38))^($U$32-Q39))*HLOOKUP($U$32,$AV$24:$BF$34,Q39+1))*V46</f>
        <v>#DIV/0!</v>
      </c>
      <c r="AP39" s="28">
        <v>1</v>
      </c>
      <c r="AQ39" s="79" t="e">
        <f>((($W$38)^Q39)*((1-($W$38))^($U$33-Q39))*HLOOKUP($U$33,$AV$24:$BF$34,Q39+1))*V47</f>
        <v>#DIV/0!</v>
      </c>
      <c r="AR39" s="28">
        <v>1</v>
      </c>
      <c r="AS39" s="79" t="e">
        <f>((($W$38)^Q39)*((1-($W$38))^($U$34-Q39))*HLOOKUP($U$34,$AV$24:$BF$34,Q39+1))*V48</f>
        <v>#DIV/0!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2"/>
        <v>4</v>
      </c>
      <c r="BI39">
        <v>6</v>
      </c>
      <c r="BJ39" s="107" t="e">
        <f t="shared" si="33"/>
        <v>#DIV/0!</v>
      </c>
      <c r="BP39">
        <f t="shared" ref="BP39:BP46" si="36">BP31+1</f>
        <v>9</v>
      </c>
      <c r="BQ39">
        <v>0</v>
      </c>
      <c r="BR39" s="107" t="e">
        <f t="shared" ref="BR39:BR47" si="37">$H$33*H38</f>
        <v>#DIV/0!</v>
      </c>
    </row>
    <row r="40" spans="1:70" x14ac:dyDescent="0.25">
      <c r="G40" s="91">
        <v>2</v>
      </c>
      <c r="H40" s="132" t="e">
        <f>L38*J40+J39*L39+J38*L40</f>
        <v>#DIV/0!</v>
      </c>
      <c r="I40" s="93">
        <v>2</v>
      </c>
      <c r="J40" s="86" t="e">
        <f t="shared" si="31"/>
        <v>#DIV/0!</v>
      </c>
      <c r="K40" s="95">
        <v>2</v>
      </c>
      <c r="L40" s="86" t="e">
        <f>AE20</f>
        <v>#DIV/0!</v>
      </c>
      <c r="M40" s="85">
        <v>2</v>
      </c>
      <c r="N40" s="71" t="e">
        <f>(($C$24)^M26)*((1-($C$24))^($B$21-M26))*HLOOKUP($B$21,$AV$24:$BF$34,M26+1)</f>
        <v>#DIV/0!</v>
      </c>
      <c r="O40" s="72">
        <v>2</v>
      </c>
      <c r="P40" s="71" t="e">
        <f t="shared" si="34"/>
        <v>#DIV/0!</v>
      </c>
      <c r="Q40" s="28">
        <v>2</v>
      </c>
      <c r="R40" s="37" t="e">
        <f>P40*N38+P39*N39+P38*N40</f>
        <v>#DIV/0!</v>
      </c>
      <c r="S40" s="72">
        <v>2</v>
      </c>
      <c r="T40" s="135" t="e">
        <f t="shared" si="35"/>
        <v>#DIV/0!</v>
      </c>
      <c r="U40" s="93">
        <v>2</v>
      </c>
      <c r="V40" s="86" t="e">
        <f>R40*T38+T39*R39+R38*T40</f>
        <v>#DIV/0!</v>
      </c>
      <c r="W40" s="137"/>
      <c r="X40" s="28">
        <v>2</v>
      </c>
      <c r="Y40" s="73"/>
      <c r="Z40" s="28">
        <v>2</v>
      </c>
      <c r="AA40" s="79"/>
      <c r="AB40" s="28">
        <v>2</v>
      </c>
      <c r="AC40" s="79" t="e">
        <f>((($W$38)^M40)*((1-($W$38))^($U$26-M40))*HLOOKUP($U$26,$AV$24:$BF$34,M40+1))*V40</f>
        <v>#DIV/0!</v>
      </c>
      <c r="AD40" s="28">
        <v>2</v>
      </c>
      <c r="AE40" s="79" t="e">
        <f>((($W$38)^M40)*((1-($W$38))^($U$27-M40))*HLOOKUP($U$27,$AV$24:$BF$34,M40+1))*V41</f>
        <v>#DIV/0!</v>
      </c>
      <c r="AF40" s="28">
        <v>2</v>
      </c>
      <c r="AG40" s="79" t="e">
        <f>((($W$38)^M40)*((1-($W$38))^($U$28-M40))*HLOOKUP($U$28,$AV$24:$BF$34,M40+1))*V42</f>
        <v>#DIV/0!</v>
      </c>
      <c r="AH40" s="28">
        <v>2</v>
      </c>
      <c r="AI40" s="79" t="e">
        <f>((($W$38)^M40)*((1-($W$38))^($U$29-M40))*HLOOKUP($U$29,$AV$24:$BF$34,M40+1))*V43</f>
        <v>#DIV/0!</v>
      </c>
      <c r="AJ40" s="28">
        <v>2</v>
      </c>
      <c r="AK40" s="79" t="e">
        <f>((($W$38)^M40)*((1-($W$38))^($U$30-M40))*HLOOKUP($U$30,$AV$24:$BF$34,M40+1))*V44</f>
        <v>#DIV/0!</v>
      </c>
      <c r="AL40" s="28">
        <v>2</v>
      </c>
      <c r="AM40" s="79" t="e">
        <f>((($W$38)^Q40)*((1-($W$38))^($U$31-Q40))*HLOOKUP($U$31,$AV$24:$BF$34,Q40+1))*V45</f>
        <v>#DIV/0!</v>
      </c>
      <c r="AN40" s="28">
        <v>2</v>
      </c>
      <c r="AO40" s="79" t="e">
        <f>((($W$38)^Q40)*((1-($W$38))^($U$32-Q40))*HLOOKUP($U$32,$AV$24:$BF$34,Q40+1))*V46</f>
        <v>#DIV/0!</v>
      </c>
      <c r="AP40" s="28">
        <v>2</v>
      </c>
      <c r="AQ40" s="79" t="e">
        <f>((($W$38)^Q40)*((1-($W$38))^($U$33-Q40))*HLOOKUP($U$33,$AV$24:$BF$34,Q40+1))*V47</f>
        <v>#DIV/0!</v>
      </c>
      <c r="AR40" s="28">
        <v>2</v>
      </c>
      <c r="AS40" s="79" t="e">
        <f>((($W$38)^Q40)*((1-($W$38))^($U$34-Q40))*HLOOKUP($U$34,$AV$24:$BF$34,Q40+1))*V48</f>
        <v>#DIV/0!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2"/>
        <v>4</v>
      </c>
      <c r="BI40">
        <v>7</v>
      </c>
      <c r="BJ40" s="107" t="e">
        <f t="shared" si="33"/>
        <v>#DIV/0!</v>
      </c>
      <c r="BP40">
        <f t="shared" si="36"/>
        <v>9</v>
      </c>
      <c r="BQ40">
        <v>1</v>
      </c>
      <c r="BR40" s="107" t="e">
        <f t="shared" si="37"/>
        <v>#DIV/0!</v>
      </c>
    </row>
    <row r="41" spans="1:70" x14ac:dyDescent="0.25">
      <c r="G41" s="91">
        <v>3</v>
      </c>
      <c r="H41" s="132" t="e">
        <f>J41*L38+J40*L39+L41*J38+L40*J39</f>
        <v>#DIV/0!</v>
      </c>
      <c r="I41" s="93">
        <v>3</v>
      </c>
      <c r="J41" s="86" t="e">
        <f t="shared" si="31"/>
        <v>#DIV/0!</v>
      </c>
      <c r="K41" s="95">
        <v>3</v>
      </c>
      <c r="L41" s="86" t="e">
        <f>AF20</f>
        <v>#DIV/0!</v>
      </c>
      <c r="M41" s="85">
        <v>3</v>
      </c>
      <c r="N41" s="71" t="e">
        <f>(($C$24)^M27)*((1-($C$24))^($B$21-M27))*HLOOKUP($B$21,$AV$24:$BF$34,M27+1)</f>
        <v>#DIV/0!</v>
      </c>
      <c r="O41" s="72">
        <v>3</v>
      </c>
      <c r="P41" s="71" t="e">
        <f t="shared" si="34"/>
        <v>#DIV/0!</v>
      </c>
      <c r="Q41" s="28">
        <v>3</v>
      </c>
      <c r="R41" s="37" t="e">
        <f>P41*N38+P40*N39+P39*N40+P38*N41</f>
        <v>#DIV/0!</v>
      </c>
      <c r="S41" s="72">
        <v>3</v>
      </c>
      <c r="T41" s="135" t="e">
        <f t="shared" si="35"/>
        <v>#DIV/0!</v>
      </c>
      <c r="U41" s="93">
        <v>3</v>
      </c>
      <c r="V41" s="86" t="e">
        <f>R41*T38+R40*T39+R39*T40+R38*T41</f>
        <v>#DIV/0!</v>
      </c>
      <c r="W41" s="137"/>
      <c r="X41" s="28">
        <v>3</v>
      </c>
      <c r="Y41" s="73"/>
      <c r="Z41" s="28">
        <v>3</v>
      </c>
      <c r="AA41" s="79"/>
      <c r="AB41" s="28">
        <v>3</v>
      </c>
      <c r="AC41" s="79"/>
      <c r="AD41" s="28">
        <v>3</v>
      </c>
      <c r="AE41" s="79" t="e">
        <f>((($W$38)^M41)*((1-($W$38))^($U$27-M41))*HLOOKUP($U$27,$AV$24:$BF$34,M41+1))*V41</f>
        <v>#DIV/0!</v>
      </c>
      <c r="AF41" s="28">
        <v>3</v>
      </c>
      <c r="AG41" s="79" t="e">
        <f>((($W$38)^M41)*((1-($W$38))^($U$28-M41))*HLOOKUP($U$28,$AV$24:$BF$34,M41+1))*V42</f>
        <v>#DIV/0!</v>
      </c>
      <c r="AH41" s="28">
        <v>3</v>
      </c>
      <c r="AI41" s="79" t="e">
        <f>((($W$38)^M41)*((1-($W$38))^($U$29-M41))*HLOOKUP($U$29,$AV$24:$BF$34,M41+1))*V43</f>
        <v>#DIV/0!</v>
      </c>
      <c r="AJ41" s="28">
        <v>3</v>
      </c>
      <c r="AK41" s="79" t="e">
        <f>((($W$38)^M41)*((1-($W$38))^($U$30-M41))*HLOOKUP($U$30,$AV$24:$BF$34,M41+1))*V44</f>
        <v>#DIV/0!</v>
      </c>
      <c r="AL41" s="28">
        <v>3</v>
      </c>
      <c r="AM41" s="79" t="e">
        <f>((($W$38)^Q41)*((1-($W$38))^($U$31-Q41))*HLOOKUP($U$31,$AV$24:$BF$34,Q41+1))*V45</f>
        <v>#DIV/0!</v>
      </c>
      <c r="AN41" s="28">
        <v>3</v>
      </c>
      <c r="AO41" s="79" t="e">
        <f>((($W$38)^Q41)*((1-($W$38))^($U$32-Q41))*HLOOKUP($U$32,$AV$24:$BF$34,Q41+1))*V46</f>
        <v>#DIV/0!</v>
      </c>
      <c r="AP41" s="28">
        <v>3</v>
      </c>
      <c r="AQ41" s="79" t="e">
        <f>((($W$38)^Q41)*((1-($W$38))^($U$33-Q41))*HLOOKUP($U$33,$AV$24:$BF$34,Q41+1))*V47</f>
        <v>#DIV/0!</v>
      </c>
      <c r="AR41" s="28">
        <v>3</v>
      </c>
      <c r="AS41" s="79" t="e">
        <f>((($W$38)^Q41)*((1-($W$38))^($U$34-Q41))*HLOOKUP($U$34,$AV$24:$BF$34,Q41+1))*V48</f>
        <v>#DIV/0!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2"/>
        <v>4</v>
      </c>
      <c r="BI41">
        <v>8</v>
      </c>
      <c r="BJ41" s="107" t="e">
        <f t="shared" si="33"/>
        <v>#DIV/0!</v>
      </c>
      <c r="BP41">
        <f t="shared" si="36"/>
        <v>9</v>
      </c>
      <c r="BQ41">
        <v>2</v>
      </c>
      <c r="BR41" s="107" t="e">
        <f t="shared" si="37"/>
        <v>#DIV/0!</v>
      </c>
    </row>
    <row r="42" spans="1:70" ht="15" customHeight="1" x14ac:dyDescent="0.25">
      <c r="G42" s="91">
        <v>4</v>
      </c>
      <c r="H42" s="132" t="e">
        <f>J42*L38+J41*L39+J40*L40+J39*L41</f>
        <v>#DIV/0!</v>
      </c>
      <c r="I42" s="93">
        <v>4</v>
      </c>
      <c r="J42" s="86" t="e">
        <f t="shared" si="31"/>
        <v>#DIV/0!</v>
      </c>
      <c r="K42" s="95">
        <v>4</v>
      </c>
      <c r="L42" s="86"/>
      <c r="M42" s="85">
        <v>4</v>
      </c>
      <c r="N42" s="71" t="e">
        <f>(($C$24)^M28)*((1-($C$24))^($B$21-M28))*HLOOKUP($B$21,$AV$24:$BF$34,M28+1)</f>
        <v>#DIV/0!</v>
      </c>
      <c r="O42" s="72">
        <v>4</v>
      </c>
      <c r="P42" s="71" t="e">
        <f t="shared" si="34"/>
        <v>#DIV/0!</v>
      </c>
      <c r="Q42" s="28">
        <v>4</v>
      </c>
      <c r="R42" s="37" t="e">
        <f>P42*N38+P41*N39+P40*N40+P39*N41+P38*N42</f>
        <v>#DIV/0!</v>
      </c>
      <c r="S42" s="72">
        <v>4</v>
      </c>
      <c r="T42" s="135" t="e">
        <f t="shared" si="35"/>
        <v>#DIV/0!</v>
      </c>
      <c r="U42" s="93">
        <v>4</v>
      </c>
      <c r="V42" s="86" t="e">
        <f>T42*R38+T41*R39+T40*R40+T39*R41+T38*R42</f>
        <v>#DIV/0!</v>
      </c>
      <c r="W42" s="137"/>
      <c r="X42" s="28">
        <v>4</v>
      </c>
      <c r="Y42" s="73"/>
      <c r="Z42" s="28">
        <v>4</v>
      </c>
      <c r="AA42" s="79"/>
      <c r="AB42" s="28">
        <v>4</v>
      </c>
      <c r="AC42" s="79"/>
      <c r="AD42" s="28">
        <v>4</v>
      </c>
      <c r="AE42" s="79"/>
      <c r="AF42" s="28">
        <v>4</v>
      </c>
      <c r="AG42" s="79" t="e">
        <f>((($W$38)^M42)*((1-($W$38))^($U$28-M42))*HLOOKUP($U$28,$AV$24:$BF$34,M42+1))*V42</f>
        <v>#DIV/0!</v>
      </c>
      <c r="AH42" s="28">
        <v>4</v>
      </c>
      <c r="AI42" s="79" t="e">
        <f>((($W$38)^M42)*((1-($W$38))^($U$29-M42))*HLOOKUP($U$29,$AV$24:$BF$34,M42+1))*V43</f>
        <v>#DIV/0!</v>
      </c>
      <c r="AJ42" s="28">
        <v>4</v>
      </c>
      <c r="AK42" s="79" t="e">
        <f>((($W$38)^M42)*((1-($W$38))^($U$30-M42))*HLOOKUP($U$30,$AV$24:$BF$34,M42+1))*V44</f>
        <v>#DIV/0!</v>
      </c>
      <c r="AL42" s="28">
        <v>4</v>
      </c>
      <c r="AM42" s="79" t="e">
        <f>((($W$38)^Q42)*((1-($W$38))^($U$31-Q42))*HLOOKUP($U$31,$AV$24:$BF$34,Q42+1))*V45</f>
        <v>#DIV/0!</v>
      </c>
      <c r="AN42" s="28">
        <v>4</v>
      </c>
      <c r="AO42" s="79" t="e">
        <f>((($W$38)^Q42)*((1-($W$38))^($U$32-Q42))*HLOOKUP($U$32,$AV$24:$BF$34,Q42+1))*V46</f>
        <v>#DIV/0!</v>
      </c>
      <c r="AP42" s="28">
        <v>4</v>
      </c>
      <c r="AQ42" s="79" t="e">
        <f>((($W$38)^Q42)*((1-($W$38))^($U$33-Q42))*HLOOKUP($U$33,$AV$24:$BF$34,Q42+1))*V47</f>
        <v>#DIV/0!</v>
      </c>
      <c r="AR42" s="28">
        <v>4</v>
      </c>
      <c r="AS42" s="79" t="e">
        <f>((($W$38)^Q42)*((1-($W$38))^($U$34-Q42))*HLOOKUP($U$34,$AV$24:$BF$34,Q42+1))*V48</f>
        <v>#DIV/0!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2"/>
        <v>4</v>
      </c>
      <c r="BI42">
        <v>9</v>
      </c>
      <c r="BJ42" s="107" t="e">
        <f t="shared" si="33"/>
        <v>#DIV/0!</v>
      </c>
      <c r="BP42">
        <f t="shared" si="36"/>
        <v>9</v>
      </c>
      <c r="BQ42">
        <v>3</v>
      </c>
      <c r="BR42" s="107" t="e">
        <f t="shared" si="37"/>
        <v>#DIV/0!</v>
      </c>
    </row>
    <row r="43" spans="1:70" ht="15" customHeight="1" x14ac:dyDescent="0.25">
      <c r="G43" s="91">
        <v>5</v>
      </c>
      <c r="H43" s="132" t="e">
        <f>J43*L38+J42*L39+J41*L40+J40*L41</f>
        <v>#DIV/0!</v>
      </c>
      <c r="I43" s="93">
        <v>5</v>
      </c>
      <c r="J43" s="86" t="e">
        <f t="shared" si="31"/>
        <v>#DIV/0!</v>
      </c>
      <c r="K43" s="95">
        <v>5</v>
      </c>
      <c r="L43" s="86"/>
      <c r="M43" s="85">
        <v>5</v>
      </c>
      <c r="N43" s="71" t="e">
        <f>(($C$24)^M29)*((1-($C$24))^($B$21-M29))*HLOOKUP($B$21,$AV$24:$BF$34,M29+1)</f>
        <v>#DIV/0!</v>
      </c>
      <c r="O43" s="72">
        <v>5</v>
      </c>
      <c r="P43" s="71" t="e">
        <f t="shared" si="34"/>
        <v>#DIV/0!</v>
      </c>
      <c r="Q43" s="28">
        <v>5</v>
      </c>
      <c r="R43" s="37" t="e">
        <f>P43*N38+P42*N39+P41*N40+P40*N41+P39*N42+P38*N43</f>
        <v>#DIV/0!</v>
      </c>
      <c r="S43" s="72">
        <v>5</v>
      </c>
      <c r="T43" s="135" t="e">
        <f t="shared" si="35"/>
        <v>#DIV/0!</v>
      </c>
      <c r="U43" s="93">
        <v>5</v>
      </c>
      <c r="V43" s="86" t="e">
        <f>T43*R38+T42*R39+T41*R40+T40*R41+T39*R42+T38*R43</f>
        <v>#DIV/0!</v>
      </c>
      <c r="W43" s="137"/>
      <c r="X43" s="28">
        <v>5</v>
      </c>
      <c r="Y43" s="73"/>
      <c r="Z43" s="28">
        <v>5</v>
      </c>
      <c r="AA43" s="79"/>
      <c r="AB43" s="28">
        <v>5</v>
      </c>
      <c r="AC43" s="79"/>
      <c r="AD43" s="28">
        <v>5</v>
      </c>
      <c r="AE43" s="79"/>
      <c r="AF43" s="28">
        <v>5</v>
      </c>
      <c r="AG43" s="79"/>
      <c r="AH43" s="28">
        <v>5</v>
      </c>
      <c r="AI43" s="79" t="e">
        <f>((($W$38)^M43)*((1-($W$38))^($U$29-M43))*HLOOKUP($U$29,$AV$24:$BF$34,M43+1))*V43</f>
        <v>#DIV/0!</v>
      </c>
      <c r="AJ43" s="28">
        <v>5</v>
      </c>
      <c r="AK43" s="79" t="e">
        <f>((($W$38)^M43)*((1-($W$38))^($U$30-M43))*HLOOKUP($U$30,$AV$24:$BF$34,M43+1))*V44</f>
        <v>#DIV/0!</v>
      </c>
      <c r="AL43" s="28">
        <v>5</v>
      </c>
      <c r="AM43" s="79" t="e">
        <f>((($W$38)^Q43)*((1-($W$38))^($U$31-Q43))*HLOOKUP($U$31,$AV$24:$BF$34,Q43+1))*V45</f>
        <v>#DIV/0!</v>
      </c>
      <c r="AN43" s="28">
        <v>5</v>
      </c>
      <c r="AO43" s="79" t="e">
        <f>((($W$38)^Q43)*((1-($W$38))^($U$32-Q43))*HLOOKUP($U$32,$AV$24:$BF$34,Q43+1))*V46</f>
        <v>#DIV/0!</v>
      </c>
      <c r="AP43" s="28">
        <v>5</v>
      </c>
      <c r="AQ43" s="79" t="e">
        <f>((($W$38)^Q43)*((1-($W$38))^($U$33-Q43))*HLOOKUP($U$33,$AV$24:$BF$34,Q43+1))*V47</f>
        <v>#DIV/0!</v>
      </c>
      <c r="AR43" s="28">
        <v>5</v>
      </c>
      <c r="AS43" s="79" t="e">
        <f>((($W$38)^Q43)*((1-($W$38))^($U$34-Q43))*HLOOKUP($U$34,$AV$24:$BF$34,Q43+1))*V48</f>
        <v>#DIV/0!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38">BE42+BE43</f>
        <v>252</v>
      </c>
      <c r="BH43">
        <f t="shared" si="32"/>
        <v>4</v>
      </c>
      <c r="BI43">
        <v>10</v>
      </c>
      <c r="BJ43" s="107" t="e">
        <f t="shared" si="33"/>
        <v>#DIV/0!</v>
      </c>
      <c r="BP43">
        <f t="shared" si="36"/>
        <v>9</v>
      </c>
      <c r="BQ43">
        <v>4</v>
      </c>
      <c r="BR43" s="107" t="e">
        <f t="shared" si="37"/>
        <v>#DIV/0!</v>
      </c>
    </row>
    <row r="44" spans="1:70" ht="15" customHeight="1" thickBot="1" x14ac:dyDescent="0.3">
      <c r="G44" s="91">
        <v>6</v>
      </c>
      <c r="H44" s="132" t="e">
        <f>J44*L38+J43*L39+J42*L40+J41*L41</f>
        <v>#DIV/0!</v>
      </c>
      <c r="I44" s="93">
        <v>6</v>
      </c>
      <c r="J44" s="86" t="e">
        <f t="shared" si="31"/>
        <v>#DIV/0!</v>
      </c>
      <c r="K44" s="95">
        <v>6</v>
      </c>
      <c r="L44" s="86"/>
      <c r="M44" s="85"/>
      <c r="N44" s="37"/>
      <c r="O44" s="37"/>
      <c r="P44" s="37"/>
      <c r="Q44" s="28">
        <v>6</v>
      </c>
      <c r="R44" s="37" t="e">
        <f>P43*N39+P42*N40+P41*N41+P40*N42+P39*N43</f>
        <v>#DIV/0!</v>
      </c>
      <c r="S44" s="70">
        <v>6</v>
      </c>
      <c r="T44" s="135" t="e">
        <f t="shared" si="35"/>
        <v>#DIV/0!</v>
      </c>
      <c r="U44" s="93">
        <v>6</v>
      </c>
      <c r="V44" s="86" t="e">
        <f>T44*R38+T43*R39+T42*R40+T41*R41+T40*R42+T39*R43+T38*R44</f>
        <v>#DIV/0!</v>
      </c>
      <c r="W44" s="137"/>
      <c r="X44" s="28">
        <v>6</v>
      </c>
      <c r="Y44" s="73"/>
      <c r="Z44" s="28">
        <v>6</v>
      </c>
      <c r="AA44" s="79"/>
      <c r="AB44" s="28">
        <v>6</v>
      </c>
      <c r="AC44" s="79"/>
      <c r="AD44" s="28">
        <v>6</v>
      </c>
      <c r="AE44" s="79"/>
      <c r="AF44" s="28">
        <v>6</v>
      </c>
      <c r="AG44" s="79"/>
      <c r="AH44" s="28">
        <v>6</v>
      </c>
      <c r="AI44" s="79"/>
      <c r="AJ44" s="28">
        <v>6</v>
      </c>
      <c r="AK44" s="79" t="e">
        <f>((($W$38)^Q44)*((1-($W$38))^($U$30-Q44))*HLOOKUP($U$30,$AV$24:$BF$34,Q44+1))*V44</f>
        <v>#DIV/0!</v>
      </c>
      <c r="AL44" s="28">
        <v>6</v>
      </c>
      <c r="AM44" s="79" t="e">
        <f>((($W$38)^Q44)*((1-($W$38))^($U$31-Q44))*HLOOKUP($U$31,$AV$24:$BF$34,Q44+1))*V45</f>
        <v>#DIV/0!</v>
      </c>
      <c r="AN44" s="28">
        <v>6</v>
      </c>
      <c r="AO44" s="79" t="e">
        <f>((($W$38)^Q44)*((1-($W$38))^($U$32-Q44))*HLOOKUP($U$32,$AV$24:$BF$34,Q44+1))*V46</f>
        <v>#DIV/0!</v>
      </c>
      <c r="AP44" s="28">
        <v>6</v>
      </c>
      <c r="AQ44" s="79" t="e">
        <f>((($W$38)^Q44)*((1-($W$38))^($U$33-Q44))*HLOOKUP($U$33,$AV$24:$BF$34,Q44+1))*V47</f>
        <v>#DIV/0!</v>
      </c>
      <c r="AR44" s="28">
        <v>6</v>
      </c>
      <c r="AS44" s="79" t="e">
        <f>((($W$38)^Q44)*((1-($W$38))^($U$34-Q44))*HLOOKUP($U$34,$AV$24:$BF$34,Q44+1))*V48</f>
        <v>#DIV/0!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8"/>
        <v>210</v>
      </c>
      <c r="BH44">
        <f>BH39+1</f>
        <v>5</v>
      </c>
      <c r="BI44">
        <v>6</v>
      </c>
      <c r="BJ44" s="107" t="e">
        <f>$H$29*H44</f>
        <v>#DIV/0!</v>
      </c>
      <c r="BP44">
        <f t="shared" si="36"/>
        <v>9</v>
      </c>
      <c r="BQ44">
        <v>5</v>
      </c>
      <c r="BR44" s="107" t="e">
        <f t="shared" si="37"/>
        <v>#DIV/0!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7</v>
      </c>
      <c r="H45" s="132" t="e">
        <f>J45*L38+J44*L39+J43*L40+J42*L41</f>
        <v>#DIV/0!</v>
      </c>
      <c r="I45" s="93">
        <v>7</v>
      </c>
      <c r="J45" s="86" t="e">
        <f t="shared" si="31"/>
        <v>#DIV/0!</v>
      </c>
      <c r="K45" s="95">
        <v>7</v>
      </c>
      <c r="L45" s="86"/>
      <c r="M45" s="85"/>
      <c r="N45" s="37"/>
      <c r="O45" s="37"/>
      <c r="P45" s="37"/>
      <c r="Q45" s="28">
        <v>7</v>
      </c>
      <c r="R45" s="37" t="e">
        <f>P43*N40+P42*N41+P41*N42+P40*N43</f>
        <v>#DIV/0!</v>
      </c>
      <c r="S45" s="72">
        <v>7</v>
      </c>
      <c r="T45" s="135" t="e">
        <f t="shared" si="35"/>
        <v>#DIV/0!</v>
      </c>
      <c r="U45" s="93">
        <v>7</v>
      </c>
      <c r="V45" s="86" t="e">
        <f>T45*R38+T44*R39+T43*R40+T42*R41+T41*R42+T40*R43+T39*R44+T38*R45</f>
        <v>#DIV/0!</v>
      </c>
      <c r="W45" s="137"/>
      <c r="X45" s="28">
        <v>7</v>
      </c>
      <c r="Y45" s="73"/>
      <c r="Z45" s="28">
        <v>7</v>
      </c>
      <c r="AA45" s="79"/>
      <c r="AB45" s="28">
        <v>7</v>
      </c>
      <c r="AC45" s="79"/>
      <c r="AD45" s="28">
        <v>7</v>
      </c>
      <c r="AE45" s="79"/>
      <c r="AF45" s="28">
        <v>7</v>
      </c>
      <c r="AG45" s="79"/>
      <c r="AH45" s="28">
        <v>7</v>
      </c>
      <c r="AI45" s="79"/>
      <c r="AJ45" s="28">
        <v>7</v>
      </c>
      <c r="AK45" s="79"/>
      <c r="AL45" s="28">
        <v>7</v>
      </c>
      <c r="AM45" s="79" t="e">
        <f>((($W$38)^Q45)*((1-($W$38))^($U$31-Q45))*HLOOKUP($U$31,$AV$24:$BF$34,Q45+1))*V45</f>
        <v>#DIV/0!</v>
      </c>
      <c r="AN45" s="28">
        <v>7</v>
      </c>
      <c r="AO45" s="79" t="e">
        <f>((($W$38)^Q45)*((1-($W$38))^($U$32-Q45))*HLOOKUP($U$32,$AV$24:$BF$34,Q45+1))*V46</f>
        <v>#DIV/0!</v>
      </c>
      <c r="AP45" s="28">
        <v>7</v>
      </c>
      <c r="AQ45" s="79" t="e">
        <f>((($W$38)^Q45)*((1-($W$38))^($U$33-Q45))*HLOOKUP($U$33,$AV$24:$BF$34,Q45+1))*V47</f>
        <v>#DIV/0!</v>
      </c>
      <c r="AR45" s="28">
        <v>7</v>
      </c>
      <c r="AS45" s="79" t="e">
        <f>((($W$38)^Q45)*((1-($W$38))^($U$34-Q45))*HLOOKUP($U$34,$AV$24:$BF$34,Q45+1))*V48</f>
        <v>#DIV/0!</v>
      </c>
      <c r="AV45" s="14">
        <v>7</v>
      </c>
      <c r="BC45">
        <v>1</v>
      </c>
      <c r="BD45">
        <v>8</v>
      </c>
      <c r="BE45">
        <f>28+8</f>
        <v>36</v>
      </c>
      <c r="BF45">
        <f t="shared" si="38"/>
        <v>120</v>
      </c>
      <c r="BH45">
        <f>BH40+1</f>
        <v>5</v>
      </c>
      <c r="BI45">
        <v>7</v>
      </c>
      <c r="BJ45" s="107" t="e">
        <f>$H$29*H45</f>
        <v>#DIV/0!</v>
      </c>
      <c r="BP45">
        <f t="shared" si="36"/>
        <v>9</v>
      </c>
      <c r="BQ45">
        <v>6</v>
      </c>
      <c r="BR45" s="107" t="e">
        <f t="shared" si="37"/>
        <v>#DIV/0!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8</v>
      </c>
      <c r="H46" s="132" t="e">
        <f>J46*L38+J45*L39+J44*L40+J43*L41</f>
        <v>#DIV/0!</v>
      </c>
      <c r="I46" s="93">
        <v>8</v>
      </c>
      <c r="J46" s="86" t="e">
        <f t="shared" si="31"/>
        <v>#DIV/0!</v>
      </c>
      <c r="K46" s="95">
        <v>8</v>
      </c>
      <c r="L46" s="86"/>
      <c r="M46" s="85"/>
      <c r="N46" s="37"/>
      <c r="O46" s="37"/>
      <c r="P46" s="37"/>
      <c r="Q46" s="28">
        <v>8</v>
      </c>
      <c r="R46" s="37" t="e">
        <f>P43*N41+P42*N42+P41*N43</f>
        <v>#DIV/0!</v>
      </c>
      <c r="S46" s="72">
        <v>8</v>
      </c>
      <c r="T46" s="135" t="e">
        <f t="shared" si="35"/>
        <v>#DIV/0!</v>
      </c>
      <c r="U46" s="93">
        <v>8</v>
      </c>
      <c r="V46" s="86" t="e">
        <f>T46*R38+T45*R39+T44*R40+T43*R41+T42*R42+T41*R43+T40*R44+T39*R45+T38*R46</f>
        <v>#DIV/0!</v>
      </c>
      <c r="W46" s="137"/>
      <c r="X46" s="28">
        <v>8</v>
      </c>
      <c r="Y46" s="73"/>
      <c r="Z46" s="28">
        <v>8</v>
      </c>
      <c r="AA46" s="79"/>
      <c r="AB46" s="28">
        <v>8</v>
      </c>
      <c r="AC46" s="79"/>
      <c r="AD46" s="28">
        <v>8</v>
      </c>
      <c r="AE46" s="79"/>
      <c r="AF46" s="28">
        <v>8</v>
      </c>
      <c r="AG46" s="79"/>
      <c r="AH46" s="28">
        <v>8</v>
      </c>
      <c r="AI46" s="79"/>
      <c r="AJ46" s="28">
        <v>8</v>
      </c>
      <c r="AK46" s="79"/>
      <c r="AL46" s="28">
        <v>8</v>
      </c>
      <c r="AM46" s="79"/>
      <c r="AN46" s="28">
        <v>8</v>
      </c>
      <c r="AO46" s="79" t="e">
        <f>((($W$38)^Q46)*((1-($W$38))^($U$32-Q46))*HLOOKUP($U$32,$AV$24:$BF$34,Q46+1))*V46</f>
        <v>#DIV/0!</v>
      </c>
      <c r="AP46" s="28">
        <v>8</v>
      </c>
      <c r="AQ46" s="79" t="e">
        <f>((($W$38)^Q46)*((1-($W$38))^($U$33-Q46))*HLOOKUP($U$33,$AV$24:$BF$34,Q46+1))*V47</f>
        <v>#DIV/0!</v>
      </c>
      <c r="AR46" s="28">
        <v>8</v>
      </c>
      <c r="AS46" s="79" t="e">
        <f>((($W$38)^Q46)*((1-($W$38))^($U$34-Q46))*HLOOKUP($U$34,$AV$24:$BF$34,Q46+1))*V48</f>
        <v>#DIV/0!</v>
      </c>
      <c r="AV46" s="14">
        <v>8</v>
      </c>
      <c r="BD46">
        <v>1</v>
      </c>
      <c r="BE46">
        <v>9</v>
      </c>
      <c r="BF46">
        <f t="shared" si="38"/>
        <v>45</v>
      </c>
      <c r="BH46">
        <f>BH41+1</f>
        <v>5</v>
      </c>
      <c r="BI46">
        <v>8</v>
      </c>
      <c r="BJ46" s="107" t="e">
        <f>$H$29*H46</f>
        <v>#DIV/0!</v>
      </c>
      <c r="BP46">
        <f t="shared" si="36"/>
        <v>9</v>
      </c>
      <c r="BQ46">
        <v>7</v>
      </c>
      <c r="BR46" s="107" t="e">
        <f t="shared" si="37"/>
        <v>#DIV/0!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9</v>
      </c>
      <c r="H47" s="132" t="e">
        <f>J47*L38+J46*L39+J45*L40+J44*L41</f>
        <v>#DIV/0!</v>
      </c>
      <c r="I47" s="93">
        <v>9</v>
      </c>
      <c r="J47" s="86" t="e">
        <f t="shared" si="31"/>
        <v>#DIV/0!</v>
      </c>
      <c r="K47" s="95">
        <v>9</v>
      </c>
      <c r="L47" s="86"/>
      <c r="M47" s="85"/>
      <c r="N47" s="37"/>
      <c r="O47" s="37"/>
      <c r="P47" s="37"/>
      <c r="Q47" s="28">
        <v>9</v>
      </c>
      <c r="R47" s="37" t="e">
        <f>P43*N42+P42*N43</f>
        <v>#DIV/0!</v>
      </c>
      <c r="S47" s="72">
        <v>9</v>
      </c>
      <c r="T47" s="135" t="e">
        <f t="shared" si="35"/>
        <v>#DIV/0!</v>
      </c>
      <c r="U47" s="93">
        <v>9</v>
      </c>
      <c r="V47" s="86" t="e">
        <f>T47*R38+T46*R39+T45*R40+T44*R41+T43*R42+T42*R43+T41*R44+T40*R45+T39*R46+T38*R47</f>
        <v>#DIV/0!</v>
      </c>
      <c r="W47" s="137"/>
      <c r="X47" s="28">
        <v>9</v>
      </c>
      <c r="Y47" s="73"/>
      <c r="Z47" s="28">
        <v>9</v>
      </c>
      <c r="AA47" s="79"/>
      <c r="AB47" s="28">
        <v>9</v>
      </c>
      <c r="AC47" s="79"/>
      <c r="AD47" s="28">
        <v>9</v>
      </c>
      <c r="AE47" s="79"/>
      <c r="AF47" s="28">
        <v>9</v>
      </c>
      <c r="AG47" s="79"/>
      <c r="AH47" s="28">
        <v>9</v>
      </c>
      <c r="AI47" s="79"/>
      <c r="AJ47" s="28">
        <v>9</v>
      </c>
      <c r="AK47" s="79"/>
      <c r="AL47" s="28">
        <v>9</v>
      </c>
      <c r="AM47" s="79"/>
      <c r="AN47" s="28">
        <v>9</v>
      </c>
      <c r="AO47" s="79"/>
      <c r="AP47" s="28">
        <v>9</v>
      </c>
      <c r="AQ47" s="79" t="e">
        <f>((($W$38)^Q47)*((1-($W$38))^($U$33-Q47))*HLOOKUP($U$33,$AV$24:$BF$34,Q47+1))*V47</f>
        <v>#DIV/0!</v>
      </c>
      <c r="AR47" s="28">
        <v>9</v>
      </c>
      <c r="AS47" s="79" t="e">
        <f>((($W$38)^Q47)*((1-($W$38))^($U$34-Q47))*HLOOKUP($U$34,$AV$24:$BF$34,Q47+1))*V48</f>
        <v>#DIV/0!</v>
      </c>
      <c r="AV47" s="29">
        <v>9</v>
      </c>
      <c r="BE47">
        <v>1</v>
      </c>
      <c r="BF47">
        <f t="shared" si="38"/>
        <v>10</v>
      </c>
      <c r="BH47">
        <f>BH42+1</f>
        <v>5</v>
      </c>
      <c r="BI47">
        <v>9</v>
      </c>
      <c r="BJ47" s="107" t="e">
        <f>$H$29*H47</f>
        <v>#DIV/0!</v>
      </c>
      <c r="BP47">
        <f>BL12+1</f>
        <v>9</v>
      </c>
      <c r="BQ47">
        <v>8</v>
      </c>
      <c r="BR47" s="107" t="e">
        <f t="shared" si="37"/>
        <v>#DIV/0!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2">
        <v>10</v>
      </c>
      <c r="H48" s="133" t="e">
        <f>J48*L38+J47*L39+J46*L40+J45*L41</f>
        <v>#DIV/0!</v>
      </c>
      <c r="I48" s="94">
        <v>10</v>
      </c>
      <c r="J48" s="89" t="e">
        <f t="shared" si="31"/>
        <v>#DIV/0!</v>
      </c>
      <c r="K48" s="96">
        <v>10</v>
      </c>
      <c r="L48" s="89"/>
      <c r="M48" s="85"/>
      <c r="N48" s="37"/>
      <c r="O48" s="37"/>
      <c r="P48" s="37"/>
      <c r="Q48" s="28">
        <v>10</v>
      </c>
      <c r="R48" s="37" t="e">
        <f>P43*N43</f>
        <v>#DIV/0!</v>
      </c>
      <c r="S48" s="72">
        <v>10</v>
      </c>
      <c r="T48" s="135" t="e">
        <f t="shared" si="35"/>
        <v>#DIV/0!</v>
      </c>
      <c r="U48" s="94">
        <v>10</v>
      </c>
      <c r="V48" s="89" t="e">
        <f>IF(((T48*R38+T47*R39+T46*R40+T45*R41+T44*R42+T43*R43+T42*R44+T41*R45+T40*R46+T39*R47+T38*R48)+V36)&lt;&gt;1,1-V36,(T48*R38+T47*R39+T46*R40+T45*R41+T44*R42+T43*R43+T42*R44+T41*R45+T40*R46+T39*R47+T38*R48))</f>
        <v>#DIV/0!</v>
      </c>
      <c r="W48" s="137"/>
      <c r="X48" s="28">
        <v>10</v>
      </c>
      <c r="Y48" s="73"/>
      <c r="Z48" s="28">
        <v>10</v>
      </c>
      <c r="AA48" s="79"/>
      <c r="AB48" s="28">
        <v>10</v>
      </c>
      <c r="AC48" s="79"/>
      <c r="AD48" s="28">
        <v>10</v>
      </c>
      <c r="AE48" s="79"/>
      <c r="AF48" s="28">
        <v>10</v>
      </c>
      <c r="AG48" s="79"/>
      <c r="AH48" s="28">
        <v>10</v>
      </c>
      <c r="AI48" s="79"/>
      <c r="AJ48" s="28">
        <v>10</v>
      </c>
      <c r="AK48" s="79"/>
      <c r="AL48" s="28">
        <v>10</v>
      </c>
      <c r="AM48" s="79"/>
      <c r="AN48" s="28">
        <v>10</v>
      </c>
      <c r="AO48" s="79"/>
      <c r="AP48" s="28">
        <v>10</v>
      </c>
      <c r="AQ48" s="79"/>
      <c r="AR48" s="28">
        <v>10</v>
      </c>
      <c r="AS48" s="79" t="e">
        <f>((($W$38)^Q48)*((1-($W$38))^($U$34-Q48))*HLOOKUP($U$34,$AV$24:$BF$34,Q48+1))*V48</f>
        <v>#DIV/0!</v>
      </c>
      <c r="AV48" s="14">
        <v>10</v>
      </c>
      <c r="BF48">
        <f t="shared" si="38"/>
        <v>1</v>
      </c>
      <c r="BH48">
        <f>BH43+1</f>
        <v>5</v>
      </c>
      <c r="BI48">
        <v>10</v>
      </c>
      <c r="BJ48" s="107" t="e">
        <f>$H$29*H48</f>
        <v>#DIV/0!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76"/>
      <c r="H49" s="77"/>
      <c r="I49" s="33"/>
      <c r="J49" s="33"/>
      <c r="K49" s="77"/>
      <c r="L49" s="77"/>
      <c r="M49" s="31"/>
      <c r="N49" s="31"/>
      <c r="O49" s="32"/>
      <c r="P49" s="32"/>
      <c r="Q49" s="32"/>
      <c r="R49" s="32"/>
      <c r="S49" s="76"/>
      <c r="T49" s="76"/>
      <c r="U49" s="76"/>
      <c r="V49" s="77"/>
      <c r="W49" s="33"/>
      <c r="X49" s="13"/>
      <c r="Y49" s="13"/>
      <c r="BH49">
        <f>BP14+1</f>
        <v>6</v>
      </c>
      <c r="BI49">
        <v>0</v>
      </c>
      <c r="BJ49" s="107" t="e">
        <f>$H$30*H38</f>
        <v>#DIV/0!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BH50">
        <f>BH45+1</f>
        <v>6</v>
      </c>
      <c r="BI50">
        <v>7</v>
      </c>
      <c r="BJ50" s="107" t="e">
        <f>$H$30*H45</f>
        <v>#DIV/0!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H51" s="107"/>
      <c r="BH51">
        <f>BH46+1</f>
        <v>6</v>
      </c>
      <c r="BI51">
        <v>8</v>
      </c>
      <c r="BJ51" s="107" t="e">
        <f>$H$30*H46</f>
        <v>#DIV/0!</v>
      </c>
    </row>
    <row r="52" spans="1:62" x14ac:dyDescent="0.25">
      <c r="BH52">
        <f>BH47+1</f>
        <v>6</v>
      </c>
      <c r="BI52">
        <v>9</v>
      </c>
      <c r="BJ52" s="107" t="e">
        <f>$H$30*H47</f>
        <v>#DIV/0!</v>
      </c>
    </row>
    <row r="53" spans="1:62" x14ac:dyDescent="0.25">
      <c r="BH53">
        <f>BH48+1</f>
        <v>6</v>
      </c>
      <c r="BI53">
        <v>10</v>
      </c>
      <c r="BJ53" s="107" t="e">
        <f>$H$30*H48</f>
        <v>#DIV/0!</v>
      </c>
    </row>
    <row r="54" spans="1:62" x14ac:dyDescent="0.25">
      <c r="BH54">
        <f>BH51+1</f>
        <v>7</v>
      </c>
      <c r="BI54">
        <v>8</v>
      </c>
      <c r="BJ54" s="107" t="e">
        <f>$H$31*H46</f>
        <v>#DIV/0!</v>
      </c>
    </row>
    <row r="55" spans="1:62" x14ac:dyDescent="0.25">
      <c r="BH55">
        <f>BH52+1</f>
        <v>7</v>
      </c>
      <c r="BI55">
        <v>9</v>
      </c>
      <c r="BJ55" s="107" t="e">
        <f>$H$31*H47</f>
        <v>#DIV/0!</v>
      </c>
    </row>
    <row r="56" spans="1:62" x14ac:dyDescent="0.25">
      <c r="BH56">
        <f>BH53+1</f>
        <v>7</v>
      </c>
      <c r="BI56">
        <v>10</v>
      </c>
      <c r="BJ56" s="107" t="e">
        <f>$H$31*H48</f>
        <v>#DIV/0!</v>
      </c>
    </row>
    <row r="57" spans="1:62" x14ac:dyDescent="0.25">
      <c r="BH57">
        <f>BH55+1</f>
        <v>8</v>
      </c>
      <c r="BI57">
        <v>9</v>
      </c>
      <c r="BJ57" s="107" t="e">
        <f>$H$32*H47</f>
        <v>#DIV/0!</v>
      </c>
    </row>
    <row r="58" spans="1:62" x14ac:dyDescent="0.25">
      <c r="BH58">
        <f>BH56+1</f>
        <v>8</v>
      </c>
      <c r="BI58">
        <v>10</v>
      </c>
      <c r="BJ58" s="107" t="e">
        <f>$H$32*H48</f>
        <v>#DIV/0!</v>
      </c>
    </row>
    <row r="59" spans="1:62" x14ac:dyDescent="0.25">
      <c r="BH59">
        <f t="shared" ref="BH59" si="39">BH58+1</f>
        <v>9</v>
      </c>
      <c r="BI59">
        <v>10</v>
      </c>
      <c r="BJ59" s="107" t="e">
        <f>$H$33*H48</f>
        <v>#DIV/0!</v>
      </c>
    </row>
  </sheetData>
  <mergeCells count="2">
    <mergeCell ref="P1:Q1"/>
    <mergeCell ref="B3:C3"/>
  </mergeCells>
  <conditionalFormatting sqref="V24:V34 V38:V48">
    <cfRule type="cellIs" dxfId="13" priority="14" operator="greaterThan">
      <formula>0.15</formula>
    </cfRule>
  </conditionalFormatting>
  <conditionalFormatting sqref="V34">
    <cfRule type="cellIs" dxfId="12" priority="13" operator="greaterThan">
      <formula>0.15</formula>
    </cfRule>
  </conditionalFormatting>
  <conditionalFormatting sqref="V48">
    <cfRule type="cellIs" dxfId="11" priority="12" operator="greaterThan">
      <formula>0.15</formula>
    </cfRule>
  </conditionalFormatting>
  <conditionalFormatting sqref="V24:V34 V38:V48">
    <cfRule type="cellIs" dxfId="10" priority="11" operator="greaterThan">
      <formula>0.15</formula>
    </cfRule>
  </conditionalFormatting>
  <conditionalFormatting sqref="V34">
    <cfRule type="cellIs" dxfId="9" priority="10" operator="greaterThan">
      <formula>0.15</formula>
    </cfRule>
  </conditionalFormatting>
  <conditionalFormatting sqref="V48">
    <cfRule type="cellIs" dxfId="8" priority="9" operator="greaterThan">
      <formula>0.15</formula>
    </cfRule>
  </conditionalFormatting>
  <conditionalFormatting sqref="H24:H34">
    <cfRule type="cellIs" dxfId="7" priority="8" operator="greaterThan">
      <formula>0.15</formula>
    </cfRule>
  </conditionalFormatting>
  <conditionalFormatting sqref="H34">
    <cfRule type="cellIs" dxfId="6" priority="7" operator="greaterThan">
      <formula>0.15</formula>
    </cfRule>
  </conditionalFormatting>
  <conditionalFormatting sqref="H24:H34">
    <cfRule type="cellIs" dxfId="5" priority="6" operator="greaterThan">
      <formula>0.15</formula>
    </cfRule>
  </conditionalFormatting>
  <conditionalFormatting sqref="H34">
    <cfRule type="cellIs" dxfId="4" priority="5" operator="greaterThan">
      <formula>0.15</formula>
    </cfRule>
  </conditionalFormatting>
  <conditionalFormatting sqref="H38:H48">
    <cfRule type="cellIs" dxfId="3" priority="4" operator="greaterThan">
      <formula>0.15</formula>
    </cfRule>
  </conditionalFormatting>
  <conditionalFormatting sqref="H48">
    <cfRule type="cellIs" dxfId="2" priority="3" operator="greaterThan">
      <formula>0.15</formula>
    </cfRule>
  </conditionalFormatting>
  <conditionalFormatting sqref="H38:H48">
    <cfRule type="cellIs" dxfId="1" priority="2" operator="greaterThan">
      <formula>0.15</formula>
    </cfRule>
  </conditionalFormatting>
  <conditionalFormatting sqref="H48">
    <cfRule type="cellIs" dxfId="0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OBIWAN-grow</vt:lpstr>
      <vt:lpstr>SIMULADOR&gt;22-12-17_v2</vt:lpstr>
      <vt:lpstr>SIMULADOR&gt;22-12-17</vt:lpstr>
      <vt:lpstr>SIMULADOR</vt:lpstr>
      <vt:lpstr>SIMULADOR_sinJC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2018-01-10T10:45:53Z</dcterms:modified>
</cp:coreProperties>
</file>