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 activeTab="1"/>
  </bookViews>
  <sheets>
    <sheet name="VADER-SanBlas" sheetId="471" r:id="rId1"/>
    <sheet name="Badge-OBIWAN" sheetId="473" r:id="rId2"/>
    <sheet name="Belfordiz-VADER" sheetId="474" r:id="rId3"/>
    <sheet name="SIMULADOR" sheetId="285" r:id="rId4"/>
    <sheet name="SIMULADOR&gt;22-12-17" sheetId="435" r:id="rId5"/>
    <sheet name="SIMULADOR_sinJC" sheetId="273" r:id="rId6"/>
  </sheets>
  <calcPr calcId="152511"/>
  <fileRecoveryPr autoRecover="0"/>
</workbook>
</file>

<file path=xl/calcChain.xml><?xml version="1.0" encoding="utf-8"?>
<calcChain xmlns="http://schemas.openxmlformats.org/spreadsheetml/2006/main">
  <c r="BF48" i="474" l="1"/>
  <c r="BF47" i="474"/>
  <c r="BF46" i="474"/>
  <c r="BF45" i="474"/>
  <c r="BE45" i="474"/>
  <c r="BF44" i="474"/>
  <c r="BE44" i="474"/>
  <c r="BD44" i="474"/>
  <c r="BF43" i="474"/>
  <c r="BE43" i="474"/>
  <c r="BD43" i="474"/>
  <c r="BC43" i="474"/>
  <c r="BF42" i="474"/>
  <c r="BE42" i="474"/>
  <c r="BD42" i="474"/>
  <c r="BC42" i="474"/>
  <c r="BF41" i="474"/>
  <c r="BE41" i="474"/>
  <c r="BD41" i="474"/>
  <c r="BC41" i="474"/>
  <c r="BF40" i="474"/>
  <c r="BE40" i="474"/>
  <c r="BD40" i="474"/>
  <c r="BC40" i="474"/>
  <c r="BC39" i="474"/>
  <c r="AS38" i="474"/>
  <c r="AR38" i="474"/>
  <c r="AQ38" i="474"/>
  <c r="AP38" i="474"/>
  <c r="AO38" i="474"/>
  <c r="AN38" i="474"/>
  <c r="AM38" i="474"/>
  <c r="AL38" i="474"/>
  <c r="AK38" i="474"/>
  <c r="AJ38" i="474"/>
  <c r="AI38" i="474"/>
  <c r="AH38" i="474"/>
  <c r="AG38" i="474"/>
  <c r="AF38" i="474"/>
  <c r="AE38" i="474"/>
  <c r="AD38" i="474"/>
  <c r="AC38" i="474"/>
  <c r="AB38" i="474"/>
  <c r="AA38" i="474"/>
  <c r="Z38" i="474"/>
  <c r="Y38" i="474"/>
  <c r="X38" i="474"/>
  <c r="W38" i="474"/>
  <c r="V38" i="474"/>
  <c r="U38" i="474"/>
  <c r="T38" i="474"/>
  <c r="S38" i="474"/>
  <c r="R38" i="474"/>
  <c r="Q38" i="474"/>
  <c r="P38" i="474"/>
  <c r="O38" i="474"/>
  <c r="N38" i="474"/>
  <c r="M38" i="474"/>
  <c r="L38" i="474"/>
  <c r="K38" i="474"/>
  <c r="J38" i="474"/>
  <c r="I38" i="474"/>
  <c r="H38" i="474"/>
  <c r="G38" i="474"/>
  <c r="BF34" i="474"/>
  <c r="BF33" i="474"/>
  <c r="C33" i="474"/>
  <c r="B33" i="474"/>
  <c r="C32" i="474"/>
  <c r="B32" i="474"/>
  <c r="BE31" i="474"/>
  <c r="BF32" i="474" s="1"/>
  <c r="BH30" i="474"/>
  <c r="BH37" i="474" s="1"/>
  <c r="BH43" i="474" s="1"/>
  <c r="BH48" i="474" s="1"/>
  <c r="BH53" i="474" s="1"/>
  <c r="BH56" i="474" s="1"/>
  <c r="BH58" i="474" s="1"/>
  <c r="BH59" i="474" s="1"/>
  <c r="BE30" i="474"/>
  <c r="BD30" i="474"/>
  <c r="E30" i="474"/>
  <c r="D30" i="474"/>
  <c r="BH29" i="474"/>
  <c r="BH36" i="474" s="1"/>
  <c r="BH42" i="474" s="1"/>
  <c r="BH47" i="474" s="1"/>
  <c r="BH52" i="474" s="1"/>
  <c r="BH55" i="474" s="1"/>
  <c r="BH57" i="474" s="1"/>
  <c r="BL13" i="474" s="1"/>
  <c r="BE29" i="474"/>
  <c r="BF30" i="474" s="1"/>
  <c r="BD29" i="474"/>
  <c r="BC29" i="474"/>
  <c r="C29" i="474"/>
  <c r="B29" i="474"/>
  <c r="BH28" i="474"/>
  <c r="BH35" i="474" s="1"/>
  <c r="BH41" i="474" s="1"/>
  <c r="BH46" i="474" s="1"/>
  <c r="BH51" i="474" s="1"/>
  <c r="BH54" i="474" s="1"/>
  <c r="BL12" i="474" s="1"/>
  <c r="BP47" i="474" s="1"/>
  <c r="BE28" i="474"/>
  <c r="BF29" i="474" s="1"/>
  <c r="BD28" i="474"/>
  <c r="BC28" i="474"/>
  <c r="BH27" i="474"/>
  <c r="BH34" i="474" s="1"/>
  <c r="BH40" i="474" s="1"/>
  <c r="BH45" i="474" s="1"/>
  <c r="BH50" i="474" s="1"/>
  <c r="BF27" i="474"/>
  <c r="BE27" i="474"/>
  <c r="BF28" i="474" s="1"/>
  <c r="BD27" i="474"/>
  <c r="BC27" i="474"/>
  <c r="C27" i="474"/>
  <c r="B27" i="474"/>
  <c r="BH26" i="474"/>
  <c r="BH33" i="474" s="1"/>
  <c r="BH39" i="474" s="1"/>
  <c r="BH44" i="474" s="1"/>
  <c r="BF26" i="474"/>
  <c r="BE26" i="474"/>
  <c r="BD26" i="474"/>
  <c r="BC26" i="474"/>
  <c r="E26" i="474"/>
  <c r="D26" i="474"/>
  <c r="D27" i="474" s="1"/>
  <c r="C26" i="474"/>
  <c r="B26" i="474"/>
  <c r="BH25" i="474"/>
  <c r="BH32" i="474" s="1"/>
  <c r="BH38" i="474" s="1"/>
  <c r="BL9" i="474" s="1"/>
  <c r="BP23" i="474" s="1"/>
  <c r="BP29" i="474" s="1"/>
  <c r="BP36" i="474" s="1"/>
  <c r="BP44" i="474" s="1"/>
  <c r="BC25" i="474"/>
  <c r="E25" i="474"/>
  <c r="D25" i="474"/>
  <c r="C25" i="474"/>
  <c r="B25" i="474"/>
  <c r="BH24" i="474"/>
  <c r="BH31" i="474" s="1"/>
  <c r="BH23" i="474"/>
  <c r="B22" i="474"/>
  <c r="B20" i="474"/>
  <c r="B21" i="474" s="1"/>
  <c r="Z19" i="474"/>
  <c r="Y19" i="474"/>
  <c r="P19" i="474"/>
  <c r="O19" i="474"/>
  <c r="Q19" i="474" s="1"/>
  <c r="AA18" i="474"/>
  <c r="Q18" i="474"/>
  <c r="Z17" i="474"/>
  <c r="Y17" i="474"/>
  <c r="AA17" i="474" s="1"/>
  <c r="P17" i="474"/>
  <c r="O17" i="474"/>
  <c r="AA16" i="474"/>
  <c r="Y16" i="474"/>
  <c r="O16" i="474"/>
  <c r="Q16" i="474" s="1"/>
  <c r="C16" i="474"/>
  <c r="B16" i="474"/>
  <c r="AA15" i="474"/>
  <c r="Q15" i="474"/>
  <c r="Y14" i="474"/>
  <c r="AA14" i="474" s="1"/>
  <c r="O14" i="474"/>
  <c r="Q14" i="474" s="1"/>
  <c r="AA13" i="474"/>
  <c r="Z13" i="474"/>
  <c r="Q13" i="474"/>
  <c r="P13" i="474"/>
  <c r="AA12" i="474"/>
  <c r="Q12" i="474"/>
  <c r="BL11" i="474"/>
  <c r="BP38" i="474" s="1"/>
  <c r="BP46" i="474" s="1"/>
  <c r="Z11" i="474"/>
  <c r="Y11" i="474"/>
  <c r="AA11" i="474" s="1"/>
  <c r="P11" i="474"/>
  <c r="O11" i="474"/>
  <c r="BL10" i="474"/>
  <c r="BP30" i="474" s="1"/>
  <c r="BP37" i="474" s="1"/>
  <c r="BP45" i="474" s="1"/>
  <c r="Z10" i="474"/>
  <c r="Y10" i="474"/>
  <c r="P10" i="474"/>
  <c r="O10" i="474"/>
  <c r="Q10" i="474" s="1"/>
  <c r="BP9" i="474"/>
  <c r="BP12" i="474" s="1"/>
  <c r="BP16" i="474" s="1"/>
  <c r="BP20" i="474" s="1"/>
  <c r="BP26" i="474" s="1"/>
  <c r="BP33" i="474" s="1"/>
  <c r="BP41" i="474" s="1"/>
  <c r="Y9" i="474"/>
  <c r="AA9" i="474" s="1"/>
  <c r="O9" i="474"/>
  <c r="Q9" i="474" s="1"/>
  <c r="BL8" i="474"/>
  <c r="BP18" i="474" s="1"/>
  <c r="BP22" i="474" s="1"/>
  <c r="BP28" i="474" s="1"/>
  <c r="BP35" i="474" s="1"/>
  <c r="BP43" i="474" s="1"/>
  <c r="Z8" i="474"/>
  <c r="Y8" i="474"/>
  <c r="P8" i="474"/>
  <c r="O8" i="474"/>
  <c r="Q8" i="474" s="1"/>
  <c r="BP7" i="474"/>
  <c r="BP10" i="474" s="1"/>
  <c r="BP14" i="474" s="1"/>
  <c r="BH49" i="474" s="1"/>
  <c r="BP24" i="474" s="1"/>
  <c r="BP31" i="474" s="1"/>
  <c r="BP39" i="474" s="1"/>
  <c r="BL14" i="474" s="1"/>
  <c r="BL7" i="474"/>
  <c r="BP13" i="474" s="1"/>
  <c r="BP17" i="474" s="1"/>
  <c r="BP21" i="474" s="1"/>
  <c r="BP27" i="474" s="1"/>
  <c r="BP34" i="474" s="1"/>
  <c r="BP42" i="474" s="1"/>
  <c r="AA7" i="474"/>
  <c r="Q7" i="474"/>
  <c r="BP6" i="474"/>
  <c r="BP8" i="474" s="1"/>
  <c r="BP11" i="474" s="1"/>
  <c r="BP15" i="474" s="1"/>
  <c r="BP19" i="474" s="1"/>
  <c r="BP25" i="474" s="1"/>
  <c r="BP32" i="474" s="1"/>
  <c r="BP40" i="474" s="1"/>
  <c r="BL6" i="474"/>
  <c r="Z6" i="474"/>
  <c r="Y6" i="474"/>
  <c r="P6" i="474"/>
  <c r="O6" i="474"/>
  <c r="BP5" i="474"/>
  <c r="Z5" i="474"/>
  <c r="Y5" i="474"/>
  <c r="P5" i="474"/>
  <c r="O5" i="474"/>
  <c r="Q5" i="474" s="1"/>
  <c r="D3" i="474"/>
  <c r="G2" i="474" s="1"/>
  <c r="S2" i="474"/>
  <c r="AF1" i="474"/>
  <c r="V1" i="474"/>
  <c r="S1" i="474"/>
  <c r="AA6" i="474" l="1"/>
  <c r="AA10" i="474"/>
  <c r="AA8" i="474"/>
  <c r="AA5" i="474"/>
  <c r="Q11" i="474"/>
  <c r="Q17" i="474"/>
  <c r="AA19" i="474"/>
  <c r="D23" i="474"/>
  <c r="B31" i="474"/>
  <c r="W25" i="474" s="1"/>
  <c r="G3" i="474"/>
  <c r="K3" i="474"/>
  <c r="K1" i="474"/>
  <c r="K2" i="474"/>
  <c r="Q6" i="474"/>
  <c r="G1" i="474"/>
  <c r="C22" i="474"/>
  <c r="B23" i="474" s="1"/>
  <c r="E27" i="474"/>
  <c r="E23" i="474"/>
  <c r="C31" i="474"/>
  <c r="W39" i="474" s="1"/>
  <c r="BF31" i="474"/>
  <c r="BF48" i="473"/>
  <c r="BF47" i="473"/>
  <c r="BF45" i="473"/>
  <c r="BE45" i="473"/>
  <c r="BF46" i="473" s="1"/>
  <c r="BF44" i="473"/>
  <c r="BE44" i="473"/>
  <c r="BD44" i="473"/>
  <c r="BE43" i="473"/>
  <c r="BD43" i="473"/>
  <c r="BC43" i="473"/>
  <c r="BE42" i="473"/>
  <c r="BF43" i="473" s="1"/>
  <c r="BD42" i="473"/>
  <c r="BC42" i="473"/>
  <c r="BF41" i="473"/>
  <c r="BE41" i="473"/>
  <c r="BF42" i="473" s="1"/>
  <c r="BD41" i="473"/>
  <c r="BC41" i="473"/>
  <c r="BF40" i="473"/>
  <c r="BE40" i="473"/>
  <c r="BD40" i="473"/>
  <c r="BC40" i="473"/>
  <c r="BC39" i="473"/>
  <c r="AS38" i="473"/>
  <c r="AR38" i="473"/>
  <c r="AQ38" i="473"/>
  <c r="AP38" i="473"/>
  <c r="AO38" i="473"/>
  <c r="AN38" i="473"/>
  <c r="AM38" i="473"/>
  <c r="AL38" i="473"/>
  <c r="AK38" i="473"/>
  <c r="AJ38" i="473"/>
  <c r="AI38" i="473"/>
  <c r="AH38" i="473"/>
  <c r="AG38" i="473"/>
  <c r="AF38" i="473"/>
  <c r="AE38" i="473"/>
  <c r="AD38" i="473"/>
  <c r="AC38" i="473"/>
  <c r="AB38" i="473"/>
  <c r="AA38" i="473"/>
  <c r="Z38" i="473"/>
  <c r="Y38" i="473"/>
  <c r="X38" i="473"/>
  <c r="W38" i="473"/>
  <c r="V38" i="473"/>
  <c r="U38" i="473"/>
  <c r="T38" i="473"/>
  <c r="S38" i="473"/>
  <c r="R38" i="473"/>
  <c r="Q38" i="473"/>
  <c r="P38" i="473"/>
  <c r="O38" i="473"/>
  <c r="N38" i="473"/>
  <c r="M38" i="473"/>
  <c r="L38" i="473"/>
  <c r="K38" i="473"/>
  <c r="J38" i="473"/>
  <c r="I38" i="473"/>
  <c r="H38" i="473"/>
  <c r="G38" i="473"/>
  <c r="BF34" i="473"/>
  <c r="BF33" i="473"/>
  <c r="C33" i="473"/>
  <c r="B33" i="473"/>
  <c r="C32" i="473"/>
  <c r="B32" i="473"/>
  <c r="BE31" i="473"/>
  <c r="BF32" i="473" s="1"/>
  <c r="BH30" i="473"/>
  <c r="BH37" i="473" s="1"/>
  <c r="BH43" i="473" s="1"/>
  <c r="BH48" i="473" s="1"/>
  <c r="BH53" i="473" s="1"/>
  <c r="BH56" i="473" s="1"/>
  <c r="BH58" i="473" s="1"/>
  <c r="BH59" i="473" s="1"/>
  <c r="BF30" i="473"/>
  <c r="BE30" i="473"/>
  <c r="BF31" i="473" s="1"/>
  <c r="BD30" i="473"/>
  <c r="E30" i="473"/>
  <c r="D30" i="473"/>
  <c r="BH29" i="473"/>
  <c r="BH36" i="473" s="1"/>
  <c r="BH42" i="473" s="1"/>
  <c r="BH47" i="473" s="1"/>
  <c r="BH52" i="473" s="1"/>
  <c r="BH55" i="473" s="1"/>
  <c r="BH57" i="473" s="1"/>
  <c r="BE29" i="473"/>
  <c r="BD29" i="473"/>
  <c r="BC29" i="473"/>
  <c r="C29" i="473"/>
  <c r="B29" i="473"/>
  <c r="BH28" i="473"/>
  <c r="BH35" i="473" s="1"/>
  <c r="BH41" i="473" s="1"/>
  <c r="BH46" i="473" s="1"/>
  <c r="BH51" i="473" s="1"/>
  <c r="BH54" i="473" s="1"/>
  <c r="BF28" i="473"/>
  <c r="BE28" i="473"/>
  <c r="BF29" i="473" s="1"/>
  <c r="BD28" i="473"/>
  <c r="BC28" i="473"/>
  <c r="BH27" i="473"/>
  <c r="BH34" i="473" s="1"/>
  <c r="BH40" i="473" s="1"/>
  <c r="BH45" i="473" s="1"/>
  <c r="BH50" i="473" s="1"/>
  <c r="BL11" i="473" s="1"/>
  <c r="BP38" i="473" s="1"/>
  <c r="BP46" i="473" s="1"/>
  <c r="BF27" i="473"/>
  <c r="BE27" i="473"/>
  <c r="BD27" i="473"/>
  <c r="BC27" i="473"/>
  <c r="C27" i="473"/>
  <c r="B27" i="473"/>
  <c r="BH26" i="473"/>
  <c r="BH33" i="473" s="1"/>
  <c r="BH39" i="473" s="1"/>
  <c r="BH44" i="473" s="1"/>
  <c r="BF26" i="473"/>
  <c r="BE26" i="473"/>
  <c r="BD26" i="473"/>
  <c r="BC26" i="473"/>
  <c r="E26" i="473"/>
  <c r="E27" i="473" s="1"/>
  <c r="D26" i="473"/>
  <c r="C26" i="473"/>
  <c r="B26" i="473"/>
  <c r="BH25" i="473"/>
  <c r="BH32" i="473" s="1"/>
  <c r="BH38" i="473" s="1"/>
  <c r="BC25" i="473"/>
  <c r="E25" i="473"/>
  <c r="E23" i="473" s="1"/>
  <c r="D25" i="473"/>
  <c r="C25" i="473"/>
  <c r="B25" i="473"/>
  <c r="BH24" i="473"/>
  <c r="BH31" i="473" s="1"/>
  <c r="BH23" i="473"/>
  <c r="B22" i="473"/>
  <c r="C22" i="473" s="1"/>
  <c r="B20" i="473"/>
  <c r="B21" i="473" s="1"/>
  <c r="Z19" i="473"/>
  <c r="Y19" i="473"/>
  <c r="P19" i="473"/>
  <c r="O19" i="473"/>
  <c r="Q19" i="473" s="1"/>
  <c r="AA18" i="473"/>
  <c r="Q18" i="473"/>
  <c r="Z17" i="473"/>
  <c r="Y17" i="473"/>
  <c r="P17" i="473"/>
  <c r="O17" i="473"/>
  <c r="Q17" i="473" s="1"/>
  <c r="AA16" i="473"/>
  <c r="Y16" i="473"/>
  <c r="Q16" i="473"/>
  <c r="O16" i="473"/>
  <c r="C16" i="473"/>
  <c r="B16" i="473"/>
  <c r="AA15" i="473"/>
  <c r="Q15" i="473"/>
  <c r="Y14" i="473"/>
  <c r="AA14" i="473" s="1"/>
  <c r="O14" i="473"/>
  <c r="Q14" i="473" s="1"/>
  <c r="BL13" i="473"/>
  <c r="Z13" i="473"/>
  <c r="AA13" i="473" s="1"/>
  <c r="Q13" i="473"/>
  <c r="P13" i="473"/>
  <c r="BP12" i="473"/>
  <c r="BP16" i="473" s="1"/>
  <c r="BP20" i="473" s="1"/>
  <c r="BP26" i="473" s="1"/>
  <c r="BP33" i="473" s="1"/>
  <c r="BP41" i="473" s="1"/>
  <c r="BL12" i="473"/>
  <c r="BP47" i="473" s="1"/>
  <c r="AA12" i="473"/>
  <c r="Q12" i="473"/>
  <c r="Z11" i="473"/>
  <c r="Y11" i="473"/>
  <c r="P11" i="473"/>
  <c r="O11" i="473"/>
  <c r="BL10" i="473"/>
  <c r="BP30" i="473" s="1"/>
  <c r="BP37" i="473" s="1"/>
  <c r="BP45" i="473" s="1"/>
  <c r="Z10" i="473"/>
  <c r="Y10" i="473"/>
  <c r="Q10" i="473"/>
  <c r="P10" i="473"/>
  <c r="O10" i="473"/>
  <c r="BP9" i="473"/>
  <c r="BL9" i="473"/>
  <c r="BP23" i="473" s="1"/>
  <c r="BP29" i="473" s="1"/>
  <c r="BP36" i="473" s="1"/>
  <c r="BP44" i="473" s="1"/>
  <c r="Y9" i="473"/>
  <c r="AA9" i="473" s="1"/>
  <c r="O9" i="473"/>
  <c r="Q9" i="473" s="1"/>
  <c r="BL8" i="473"/>
  <c r="BP18" i="473" s="1"/>
  <c r="BP22" i="473" s="1"/>
  <c r="BP28" i="473" s="1"/>
  <c r="BP35" i="473" s="1"/>
  <c r="BP43" i="473" s="1"/>
  <c r="Z8" i="473"/>
  <c r="Y8" i="473"/>
  <c r="P8" i="473"/>
  <c r="O8" i="473"/>
  <c r="Q8" i="473" s="1"/>
  <c r="BP7" i="473"/>
  <c r="BP10" i="473" s="1"/>
  <c r="BP14" i="473" s="1"/>
  <c r="BH49" i="473" s="1"/>
  <c r="BP24" i="473" s="1"/>
  <c r="BP31" i="473" s="1"/>
  <c r="BP39" i="473" s="1"/>
  <c r="BL14" i="473" s="1"/>
  <c r="BL7" i="473"/>
  <c r="BP13" i="473" s="1"/>
  <c r="BP17" i="473" s="1"/>
  <c r="BP21" i="473" s="1"/>
  <c r="BP27" i="473" s="1"/>
  <c r="BP34" i="473" s="1"/>
  <c r="BP42" i="473" s="1"/>
  <c r="AA7" i="473"/>
  <c r="Q7" i="473"/>
  <c r="BP6" i="473"/>
  <c r="BP8" i="473" s="1"/>
  <c r="BP11" i="473" s="1"/>
  <c r="BP15" i="473" s="1"/>
  <c r="BP19" i="473" s="1"/>
  <c r="BP25" i="473" s="1"/>
  <c r="BP32" i="473" s="1"/>
  <c r="BP40" i="473" s="1"/>
  <c r="BL6" i="473"/>
  <c r="AA6" i="473"/>
  <c r="Z6" i="473"/>
  <c r="Y6" i="473"/>
  <c r="P6" i="473"/>
  <c r="O6" i="473"/>
  <c r="BP5" i="473"/>
  <c r="Z5" i="473"/>
  <c r="Y5" i="473"/>
  <c r="P5" i="473"/>
  <c r="O5" i="473"/>
  <c r="Q5" i="473" s="1"/>
  <c r="D3" i="473"/>
  <c r="S2" i="473"/>
  <c r="AF1" i="473"/>
  <c r="V1" i="473"/>
  <c r="S1" i="473"/>
  <c r="H1" i="474" l="1"/>
  <c r="B34" i="474"/>
  <c r="T47" i="474"/>
  <c r="T44" i="474"/>
  <c r="T40" i="474"/>
  <c r="B24" i="474"/>
  <c r="T49" i="474"/>
  <c r="T43" i="474"/>
  <c r="T42" i="474"/>
  <c r="T41" i="474"/>
  <c r="T39" i="474"/>
  <c r="C23" i="474"/>
  <c r="T45" i="474"/>
  <c r="T48" i="474"/>
  <c r="T46" i="474"/>
  <c r="L1" i="474"/>
  <c r="M1" i="474" s="1"/>
  <c r="M2" i="474" s="1"/>
  <c r="AA11" i="473"/>
  <c r="AA17" i="473"/>
  <c r="AA8" i="473"/>
  <c r="AA19" i="473"/>
  <c r="B23" i="473"/>
  <c r="B34" i="473" s="1"/>
  <c r="K3" i="473"/>
  <c r="K1" i="473"/>
  <c r="G2" i="473"/>
  <c r="G3" i="473"/>
  <c r="K2" i="473"/>
  <c r="AA5" i="473"/>
  <c r="Q11" i="473"/>
  <c r="G1" i="473"/>
  <c r="AA10" i="473"/>
  <c r="Q6" i="473"/>
  <c r="D27" i="473"/>
  <c r="B31" i="473" s="1"/>
  <c r="D23" i="473"/>
  <c r="C31" i="473"/>
  <c r="W39" i="473" s="1"/>
  <c r="BF48" i="471"/>
  <c r="BF47" i="471"/>
  <c r="BF46" i="471"/>
  <c r="BF45" i="471"/>
  <c r="BE45" i="471"/>
  <c r="BF44" i="471"/>
  <c r="BE44" i="471"/>
  <c r="BD44" i="471"/>
  <c r="BE43" i="471"/>
  <c r="BD43" i="471"/>
  <c r="BC43" i="471"/>
  <c r="BF42" i="471"/>
  <c r="BE42" i="471"/>
  <c r="BF43" i="471" s="1"/>
  <c r="BD42" i="471"/>
  <c r="BC42" i="471"/>
  <c r="BF41" i="471"/>
  <c r="BE41" i="471"/>
  <c r="BD41" i="471"/>
  <c r="BC41" i="471"/>
  <c r="BF40" i="471"/>
  <c r="BE40" i="471"/>
  <c r="BD40" i="471"/>
  <c r="BC40" i="471"/>
  <c r="BC39" i="471"/>
  <c r="BH38" i="471"/>
  <c r="AS38" i="471"/>
  <c r="AR38" i="471"/>
  <c r="AQ38" i="471"/>
  <c r="AP38" i="471"/>
  <c r="AO38" i="471"/>
  <c r="AN38" i="471"/>
  <c r="AM38" i="471"/>
  <c r="AL38" i="471"/>
  <c r="AK38" i="471"/>
  <c r="AJ38" i="471"/>
  <c r="AI38" i="471"/>
  <c r="AH38" i="471"/>
  <c r="AG38" i="471"/>
  <c r="AF38" i="471"/>
  <c r="AE38" i="471"/>
  <c r="AD38" i="471"/>
  <c r="AC38" i="471"/>
  <c r="AB38" i="471"/>
  <c r="AA38" i="471"/>
  <c r="Z38" i="471"/>
  <c r="Y38" i="471"/>
  <c r="X38" i="471"/>
  <c r="W38" i="471"/>
  <c r="V38" i="471"/>
  <c r="U38" i="471"/>
  <c r="T38" i="471"/>
  <c r="S38" i="471"/>
  <c r="R38" i="471"/>
  <c r="Q38" i="471"/>
  <c r="P38" i="471"/>
  <c r="O38" i="471"/>
  <c r="N38" i="471"/>
  <c r="M38" i="471"/>
  <c r="L38" i="471"/>
  <c r="K38" i="471"/>
  <c r="J38" i="471"/>
  <c r="I38" i="471"/>
  <c r="H38" i="471"/>
  <c r="G38" i="471"/>
  <c r="BH37" i="471"/>
  <c r="BH43" i="471" s="1"/>
  <c r="BH48" i="471" s="1"/>
  <c r="BH53" i="471" s="1"/>
  <c r="BH56" i="471" s="1"/>
  <c r="BH58" i="471" s="1"/>
  <c r="BH59" i="471" s="1"/>
  <c r="BF34" i="471"/>
  <c r="BF33" i="471"/>
  <c r="C33" i="471"/>
  <c r="B33" i="471"/>
  <c r="C32" i="471"/>
  <c r="B32" i="471"/>
  <c r="BE31" i="471"/>
  <c r="BF32" i="471" s="1"/>
  <c r="BH30" i="471"/>
  <c r="BE30" i="471"/>
  <c r="BD30" i="471"/>
  <c r="E30" i="471"/>
  <c r="D30" i="471"/>
  <c r="BH29" i="471"/>
  <c r="BH36" i="471" s="1"/>
  <c r="BH42" i="471" s="1"/>
  <c r="BH47" i="471" s="1"/>
  <c r="BH52" i="471" s="1"/>
  <c r="BH55" i="471" s="1"/>
  <c r="BH57" i="471" s="1"/>
  <c r="BL13" i="471" s="1"/>
  <c r="BE29" i="471"/>
  <c r="BD29" i="471"/>
  <c r="BC29" i="471"/>
  <c r="C29" i="471"/>
  <c r="B29" i="471"/>
  <c r="BH28" i="471"/>
  <c r="BH35" i="471" s="1"/>
  <c r="BH41" i="471" s="1"/>
  <c r="BH46" i="471" s="1"/>
  <c r="BH51" i="471" s="1"/>
  <c r="BH54" i="471" s="1"/>
  <c r="BL12" i="471" s="1"/>
  <c r="BP47" i="471" s="1"/>
  <c r="BE28" i="471"/>
  <c r="BF29" i="471" s="1"/>
  <c r="BD28" i="471"/>
  <c r="BC28" i="471"/>
  <c r="BH27" i="471"/>
  <c r="BH34" i="471" s="1"/>
  <c r="BH40" i="471" s="1"/>
  <c r="BH45" i="471" s="1"/>
  <c r="BH50" i="471" s="1"/>
  <c r="BF27" i="471"/>
  <c r="BE27" i="471"/>
  <c r="BF28" i="471" s="1"/>
  <c r="BD27" i="471"/>
  <c r="BC27" i="471"/>
  <c r="E27" i="471"/>
  <c r="C27" i="471"/>
  <c r="B27" i="471"/>
  <c r="BH26" i="471"/>
  <c r="BH33" i="471" s="1"/>
  <c r="BH39" i="471" s="1"/>
  <c r="BH44" i="471" s="1"/>
  <c r="BF26" i="471"/>
  <c r="BE26" i="471"/>
  <c r="BD26" i="471"/>
  <c r="BC26" i="471"/>
  <c r="E26" i="471"/>
  <c r="D26" i="471"/>
  <c r="D27" i="471" s="1"/>
  <c r="C26" i="471"/>
  <c r="B26" i="471"/>
  <c r="BH25" i="471"/>
  <c r="BH32" i="471" s="1"/>
  <c r="BC25" i="471"/>
  <c r="E25" i="471"/>
  <c r="E23" i="471" s="1"/>
  <c r="D25" i="471"/>
  <c r="C25" i="471"/>
  <c r="B25" i="471"/>
  <c r="BH24" i="471"/>
  <c r="BH31" i="471" s="1"/>
  <c r="BH23" i="471"/>
  <c r="B22" i="471"/>
  <c r="B21" i="471"/>
  <c r="B20" i="471"/>
  <c r="Z19" i="471"/>
  <c r="Y19" i="471"/>
  <c r="P19" i="471"/>
  <c r="O19" i="471"/>
  <c r="Q19" i="471" s="1"/>
  <c r="AA18" i="471"/>
  <c r="Q18" i="471"/>
  <c r="Z17" i="471"/>
  <c r="Y17" i="471"/>
  <c r="P17" i="471"/>
  <c r="O17" i="471"/>
  <c r="Y16" i="471"/>
  <c r="AA16" i="471" s="1"/>
  <c r="O16" i="471"/>
  <c r="Q16" i="471" s="1"/>
  <c r="C16" i="471"/>
  <c r="B16" i="471"/>
  <c r="AA15" i="471"/>
  <c r="Q15" i="471"/>
  <c r="Y14" i="471"/>
  <c r="AA14" i="471" s="1"/>
  <c r="O14" i="471"/>
  <c r="Q14" i="471" s="1"/>
  <c r="Z13" i="471"/>
  <c r="AA13" i="471" s="1"/>
  <c r="P13" i="471"/>
  <c r="Q13" i="471" s="1"/>
  <c r="AA12" i="471"/>
  <c r="Q12" i="471"/>
  <c r="BL11" i="471"/>
  <c r="BP38" i="471" s="1"/>
  <c r="BP46" i="471" s="1"/>
  <c r="AA11" i="471"/>
  <c r="Z11" i="471"/>
  <c r="Y11" i="471"/>
  <c r="P11" i="471"/>
  <c r="O11" i="471"/>
  <c r="BL10" i="471"/>
  <c r="BP30" i="471" s="1"/>
  <c r="BP37" i="471" s="1"/>
  <c r="BP45" i="471" s="1"/>
  <c r="Z10" i="471"/>
  <c r="AA10" i="471" s="1"/>
  <c r="Y10" i="471"/>
  <c r="P10" i="471"/>
  <c r="O10" i="471"/>
  <c r="BL9" i="471"/>
  <c r="BP23" i="471" s="1"/>
  <c r="BP29" i="471" s="1"/>
  <c r="BP36" i="471" s="1"/>
  <c r="BP44" i="471" s="1"/>
  <c r="Y9" i="471"/>
  <c r="AA9" i="471" s="1"/>
  <c r="O9" i="471"/>
  <c r="Q9" i="471" s="1"/>
  <c r="BP8" i="471"/>
  <c r="BP11" i="471" s="1"/>
  <c r="BP15" i="471" s="1"/>
  <c r="BP19" i="471" s="1"/>
  <c r="BP25" i="471" s="1"/>
  <c r="BP32" i="471" s="1"/>
  <c r="BP40" i="471" s="1"/>
  <c r="BL8" i="471"/>
  <c r="BP18" i="471" s="1"/>
  <c r="BP22" i="471" s="1"/>
  <c r="BP28" i="471" s="1"/>
  <c r="BP35" i="471" s="1"/>
  <c r="BP43" i="471" s="1"/>
  <c r="Z8" i="471"/>
  <c r="Y8" i="471"/>
  <c r="P8" i="471"/>
  <c r="O8" i="471"/>
  <c r="BL7" i="471"/>
  <c r="BP13" i="471" s="1"/>
  <c r="BP17" i="471" s="1"/>
  <c r="BP21" i="471" s="1"/>
  <c r="BP27" i="471" s="1"/>
  <c r="BP34" i="471" s="1"/>
  <c r="BP42" i="471" s="1"/>
  <c r="AA7" i="471"/>
  <c r="Q7" i="471"/>
  <c r="BP6" i="471"/>
  <c r="BL6" i="471"/>
  <c r="BP9" i="471" s="1"/>
  <c r="BP12" i="471" s="1"/>
  <c r="BP16" i="471" s="1"/>
  <c r="BP20" i="471" s="1"/>
  <c r="BP26" i="471" s="1"/>
  <c r="BP33" i="471" s="1"/>
  <c r="BP41" i="471" s="1"/>
  <c r="Z6" i="471"/>
  <c r="Y6" i="471"/>
  <c r="AA6" i="471" s="1"/>
  <c r="P6" i="471"/>
  <c r="Q6" i="471" s="1"/>
  <c r="O6" i="471"/>
  <c r="BP5" i="471"/>
  <c r="BP7" i="471" s="1"/>
  <c r="BP10" i="471" s="1"/>
  <c r="BP14" i="471" s="1"/>
  <c r="BH49" i="471" s="1"/>
  <c r="BP24" i="471" s="1"/>
  <c r="BP31" i="471" s="1"/>
  <c r="BP39" i="471" s="1"/>
  <c r="BL14" i="471" s="1"/>
  <c r="AA5" i="471"/>
  <c r="Z5" i="471"/>
  <c r="Y5" i="471"/>
  <c r="P5" i="471"/>
  <c r="O5" i="471"/>
  <c r="K3" i="471"/>
  <c r="G3" i="471"/>
  <c r="D3" i="471"/>
  <c r="S2" i="471"/>
  <c r="K2" i="471"/>
  <c r="G2" i="471"/>
  <c r="AF1" i="471"/>
  <c r="V1" i="471"/>
  <c r="S1" i="471"/>
  <c r="K1" i="471"/>
  <c r="L1" i="471" s="1"/>
  <c r="G1" i="471"/>
  <c r="T37" i="474" l="1"/>
  <c r="AB19" i="474"/>
  <c r="AB18" i="474"/>
  <c r="R17" i="474"/>
  <c r="R16" i="474"/>
  <c r="R19" i="474"/>
  <c r="R18" i="474"/>
  <c r="AB16" i="474"/>
  <c r="AB15" i="474"/>
  <c r="AB13" i="474"/>
  <c r="AB11" i="474"/>
  <c r="R9" i="474"/>
  <c r="R6" i="474"/>
  <c r="R5" i="474"/>
  <c r="AB14" i="474"/>
  <c r="R15" i="474"/>
  <c r="R14" i="474"/>
  <c r="AB12" i="474"/>
  <c r="AB6" i="474"/>
  <c r="R11" i="474"/>
  <c r="AB10" i="474"/>
  <c r="AB8" i="474"/>
  <c r="AB17" i="474"/>
  <c r="R13" i="474"/>
  <c r="R12" i="474"/>
  <c r="R10" i="474"/>
  <c r="AB9" i="474"/>
  <c r="R8" i="474"/>
  <c r="AB7" i="474"/>
  <c r="R7" i="474"/>
  <c r="AB5" i="474"/>
  <c r="C24" i="474"/>
  <c r="C34" i="474"/>
  <c r="T30" i="474"/>
  <c r="T28" i="474"/>
  <c r="T31" i="474"/>
  <c r="T27" i="474"/>
  <c r="T29" i="474"/>
  <c r="T25" i="474"/>
  <c r="T33" i="474"/>
  <c r="T34" i="474"/>
  <c r="T35" i="474"/>
  <c r="T32" i="474"/>
  <c r="T26" i="474"/>
  <c r="N28" i="474"/>
  <c r="P28" i="474" s="1"/>
  <c r="N25" i="474"/>
  <c r="N29" i="474"/>
  <c r="P29" i="474" s="1"/>
  <c r="N27" i="474"/>
  <c r="P27" i="474" s="1"/>
  <c r="N30" i="474"/>
  <c r="P30" i="474" s="1"/>
  <c r="R35" i="474" s="1"/>
  <c r="N26" i="474"/>
  <c r="L1" i="473"/>
  <c r="M1" i="473" s="1"/>
  <c r="M2" i="473" s="1"/>
  <c r="C23" i="473"/>
  <c r="C34" i="473" s="1"/>
  <c r="H1" i="473"/>
  <c r="B24" i="473"/>
  <c r="N29" i="473" s="1"/>
  <c r="P29" i="473" s="1"/>
  <c r="W25" i="473"/>
  <c r="T49" i="473"/>
  <c r="T48" i="473"/>
  <c r="T43" i="473"/>
  <c r="T46" i="473"/>
  <c r="T47" i="473"/>
  <c r="T39" i="473"/>
  <c r="T42" i="473"/>
  <c r="T45" i="473"/>
  <c r="T44" i="473"/>
  <c r="T41" i="473"/>
  <c r="T40" i="473"/>
  <c r="N27" i="473"/>
  <c r="P27" i="473" s="1"/>
  <c r="AA19" i="471"/>
  <c r="AA8" i="471"/>
  <c r="AA17" i="471"/>
  <c r="Q11" i="471"/>
  <c r="Q17" i="471"/>
  <c r="H1" i="471"/>
  <c r="M1" i="471" s="1"/>
  <c r="M2" i="471" s="1"/>
  <c r="Q8" i="471"/>
  <c r="Q5" i="471"/>
  <c r="Q10" i="471"/>
  <c r="C22" i="471"/>
  <c r="B23" i="471" s="1"/>
  <c r="D23" i="471"/>
  <c r="B31" i="471"/>
  <c r="W25" i="471" s="1"/>
  <c r="BF31" i="471"/>
  <c r="BF30" i="471"/>
  <c r="C31" i="471"/>
  <c r="W39" i="471" s="1"/>
  <c r="T26" i="473" l="1"/>
  <c r="T35" i="473"/>
  <c r="T27" i="473"/>
  <c r="T30" i="473"/>
  <c r="T34" i="473"/>
  <c r="T25" i="473"/>
  <c r="T32" i="473"/>
  <c r="T31" i="473"/>
  <c r="C24" i="473"/>
  <c r="N39" i="473" s="1"/>
  <c r="T33" i="473"/>
  <c r="T28" i="473"/>
  <c r="T29" i="473"/>
  <c r="T23" i="474"/>
  <c r="P26" i="474"/>
  <c r="R31" i="474" s="1"/>
  <c r="N23" i="474"/>
  <c r="P25" i="474"/>
  <c r="AC7" i="474"/>
  <c r="AC10" i="474"/>
  <c r="S6" i="474"/>
  <c r="R33" i="474"/>
  <c r="N43" i="474"/>
  <c r="P43" i="474" s="1"/>
  <c r="N41" i="474"/>
  <c r="P41" i="474" s="1"/>
  <c r="N44" i="474"/>
  <c r="P44" i="474" s="1"/>
  <c r="N40" i="474"/>
  <c r="P40" i="474" s="1"/>
  <c r="N39" i="474"/>
  <c r="N42" i="474"/>
  <c r="P42" i="474" s="1"/>
  <c r="S8" i="474"/>
  <c r="S13" i="474"/>
  <c r="S11" i="474"/>
  <c r="S15" i="474"/>
  <c r="S9" i="474"/>
  <c r="AC16" i="474"/>
  <c r="S17" i="474"/>
  <c r="S12" i="474"/>
  <c r="AC15" i="474"/>
  <c r="R32" i="474"/>
  <c r="AC5" i="474"/>
  <c r="AC9" i="474"/>
  <c r="AC17" i="474"/>
  <c r="AC6" i="474"/>
  <c r="AC14" i="474"/>
  <c r="AC11" i="474"/>
  <c r="S18" i="474"/>
  <c r="AC18" i="474"/>
  <c r="S14" i="474"/>
  <c r="S16" i="474"/>
  <c r="R34" i="474"/>
  <c r="S7" i="474"/>
  <c r="S10" i="474"/>
  <c r="AC8" i="474"/>
  <c r="AC12" i="474"/>
  <c r="S5" i="474"/>
  <c r="AC13" i="474"/>
  <c r="S19" i="474"/>
  <c r="AC19" i="474"/>
  <c r="N30" i="473"/>
  <c r="P30" i="473" s="1"/>
  <c r="R35" i="473" s="1"/>
  <c r="N26" i="473"/>
  <c r="P26" i="473" s="1"/>
  <c r="N25" i="473"/>
  <c r="P25" i="473" s="1"/>
  <c r="N28" i="473"/>
  <c r="P28" i="473" s="1"/>
  <c r="T37" i="473"/>
  <c r="AB19" i="473"/>
  <c r="AB18" i="473"/>
  <c r="R19" i="473"/>
  <c r="AB16" i="473"/>
  <c r="AB14" i="473"/>
  <c r="R16" i="473"/>
  <c r="R18" i="473"/>
  <c r="AB15" i="473"/>
  <c r="R15" i="473"/>
  <c r="AB13" i="473"/>
  <c r="AB11" i="473"/>
  <c r="R9" i="473"/>
  <c r="R6" i="473"/>
  <c r="AB6" i="473"/>
  <c r="AB17" i="473"/>
  <c r="R14" i="473"/>
  <c r="AB12" i="473"/>
  <c r="R13" i="473"/>
  <c r="AB8" i="473"/>
  <c r="R8" i="473"/>
  <c r="R7" i="473"/>
  <c r="R17" i="473"/>
  <c r="AB10" i="473"/>
  <c r="R10" i="473"/>
  <c r="AB7" i="473"/>
  <c r="R11" i="473"/>
  <c r="AB9" i="473"/>
  <c r="AB5" i="473"/>
  <c r="R5" i="473"/>
  <c r="R12" i="473"/>
  <c r="N42" i="473"/>
  <c r="P42" i="473" s="1"/>
  <c r="B34" i="471"/>
  <c r="T47" i="471"/>
  <c r="T44" i="471"/>
  <c r="B24" i="471"/>
  <c r="T40" i="471"/>
  <c r="T49" i="471"/>
  <c r="T48" i="471"/>
  <c r="T43" i="471"/>
  <c r="T42" i="471"/>
  <c r="T46" i="471"/>
  <c r="T41" i="471"/>
  <c r="C23" i="471"/>
  <c r="T45" i="471"/>
  <c r="T39" i="471"/>
  <c r="R18" i="471"/>
  <c r="AB17" i="471"/>
  <c r="AB14" i="471"/>
  <c r="R11" i="471"/>
  <c r="AB10" i="471"/>
  <c r="AB8" i="471"/>
  <c r="R7" i="471"/>
  <c r="AB5" i="471"/>
  <c r="AB19" i="471"/>
  <c r="R19" i="471"/>
  <c r="AB16" i="471"/>
  <c r="AB13" i="471"/>
  <c r="R17" i="471"/>
  <c r="AB9" i="471"/>
  <c r="R9" i="471"/>
  <c r="R5" i="471"/>
  <c r="AB18" i="471"/>
  <c r="AB15" i="471"/>
  <c r="R13" i="471"/>
  <c r="R6" i="471"/>
  <c r="R12" i="471"/>
  <c r="AB11" i="471"/>
  <c r="R8" i="471"/>
  <c r="R16" i="471"/>
  <c r="R15" i="471"/>
  <c r="R14" i="471"/>
  <c r="AB12" i="471"/>
  <c r="R10" i="471"/>
  <c r="AB7" i="471"/>
  <c r="AB6" i="471"/>
  <c r="N43" i="473" l="1"/>
  <c r="P43" i="473" s="1"/>
  <c r="N40" i="473"/>
  <c r="P40" i="473" s="1"/>
  <c r="N41" i="473"/>
  <c r="P41" i="473" s="1"/>
  <c r="N44" i="473"/>
  <c r="P44" i="473" s="1"/>
  <c r="R46" i="473" s="1"/>
  <c r="R34" i="473"/>
  <c r="R33" i="473"/>
  <c r="T23" i="473"/>
  <c r="AD19" i="474"/>
  <c r="AD12" i="474"/>
  <c r="AE12" i="474"/>
  <c r="AD13" i="474"/>
  <c r="T5" i="474"/>
  <c r="AD18" i="474"/>
  <c r="AE14" i="474"/>
  <c r="U10" i="474"/>
  <c r="AE17" i="474"/>
  <c r="AE13" i="474"/>
  <c r="AE11" i="474"/>
  <c r="AE15" i="474"/>
  <c r="AD17" i="474"/>
  <c r="AE16" i="474"/>
  <c r="U16" i="474"/>
  <c r="S20" i="474"/>
  <c r="AE7" i="474"/>
  <c r="U11" i="474"/>
  <c r="U7" i="474"/>
  <c r="U5" i="474"/>
  <c r="U15" i="474"/>
  <c r="AD5" i="474"/>
  <c r="AC20" i="474"/>
  <c r="U14" i="474"/>
  <c r="AE5" i="474"/>
  <c r="T12" i="474"/>
  <c r="AE10" i="474"/>
  <c r="P23" i="474"/>
  <c r="R30" i="474"/>
  <c r="R28" i="474"/>
  <c r="R25" i="474"/>
  <c r="R29" i="474"/>
  <c r="R27" i="474"/>
  <c r="T7" i="474"/>
  <c r="T16" i="474"/>
  <c r="U18" i="474"/>
  <c r="AD11" i="474"/>
  <c r="U13" i="474"/>
  <c r="T6" i="474"/>
  <c r="AE18" i="474"/>
  <c r="T18" i="474"/>
  <c r="AD6" i="474"/>
  <c r="AD9" i="474"/>
  <c r="U17" i="474"/>
  <c r="U9" i="474"/>
  <c r="T8" i="474"/>
  <c r="R47" i="474"/>
  <c r="R49" i="474"/>
  <c r="R46" i="474"/>
  <c r="R45" i="474"/>
  <c r="R48" i="474"/>
  <c r="U6" i="474"/>
  <c r="AD8" i="474"/>
  <c r="T14" i="474"/>
  <c r="AE6" i="474"/>
  <c r="U12" i="474"/>
  <c r="T17" i="474"/>
  <c r="AD16" i="474"/>
  <c r="T11" i="474"/>
  <c r="T13" i="474"/>
  <c r="T10" i="474"/>
  <c r="T19" i="474"/>
  <c r="AE8" i="474"/>
  <c r="AD14" i="474"/>
  <c r="AE9" i="474"/>
  <c r="AD15" i="474"/>
  <c r="T9" i="474"/>
  <c r="T15" i="474"/>
  <c r="U8" i="474"/>
  <c r="P39" i="474"/>
  <c r="R41" i="474" s="1"/>
  <c r="N37" i="474"/>
  <c r="AD10" i="474"/>
  <c r="AD7" i="474"/>
  <c r="R26" i="474"/>
  <c r="R31" i="473"/>
  <c r="R32" i="473"/>
  <c r="N23" i="473"/>
  <c r="AC10" i="473"/>
  <c r="AC11" i="473"/>
  <c r="S18" i="473"/>
  <c r="S19" i="473"/>
  <c r="R26" i="473"/>
  <c r="S12" i="473"/>
  <c r="S11" i="473"/>
  <c r="S17" i="473"/>
  <c r="S13" i="473"/>
  <c r="AC6" i="473"/>
  <c r="AC13" i="473"/>
  <c r="S16" i="473"/>
  <c r="AC18" i="473"/>
  <c r="AC8" i="473"/>
  <c r="S5" i="473"/>
  <c r="AC7" i="473"/>
  <c r="S7" i="473"/>
  <c r="AC12" i="473"/>
  <c r="S6" i="473"/>
  <c r="S15" i="473"/>
  <c r="AC14" i="473"/>
  <c r="AC19" i="473"/>
  <c r="P39" i="473"/>
  <c r="R42" i="473" s="1"/>
  <c r="N37" i="473"/>
  <c r="AC9" i="473"/>
  <c r="AC17" i="473"/>
  <c r="R41" i="473"/>
  <c r="R49" i="473"/>
  <c r="R30" i="473"/>
  <c r="R29" i="473"/>
  <c r="R28" i="473"/>
  <c r="R25" i="473"/>
  <c r="R27" i="473"/>
  <c r="P23" i="473"/>
  <c r="AC5" i="473"/>
  <c r="S10" i="473"/>
  <c r="S8" i="473"/>
  <c r="S14" i="473"/>
  <c r="S9" i="473"/>
  <c r="AC15" i="473"/>
  <c r="AC16" i="473"/>
  <c r="T37" i="471"/>
  <c r="S16" i="471"/>
  <c r="S5" i="471"/>
  <c r="AC5" i="471"/>
  <c r="C34" i="471"/>
  <c r="T27" i="471"/>
  <c r="T32" i="471"/>
  <c r="T26" i="471"/>
  <c r="T25" i="471"/>
  <c r="C24" i="471"/>
  <c r="T28" i="471"/>
  <c r="T30" i="471"/>
  <c r="T31" i="471"/>
  <c r="T33" i="471"/>
  <c r="T29" i="471"/>
  <c r="T34" i="471"/>
  <c r="T35" i="471"/>
  <c r="N28" i="471"/>
  <c r="P28" i="471" s="1"/>
  <c r="N27" i="471"/>
  <c r="P27" i="471" s="1"/>
  <c r="N30" i="471"/>
  <c r="P30" i="471" s="1"/>
  <c r="R35" i="471" s="1"/>
  <c r="N29" i="471"/>
  <c r="P29" i="471" s="1"/>
  <c r="N25" i="471"/>
  <c r="N26" i="471"/>
  <c r="AC12" i="471"/>
  <c r="S13" i="471"/>
  <c r="S9" i="471"/>
  <c r="S7" i="471"/>
  <c r="AC6" i="471"/>
  <c r="S14" i="471"/>
  <c r="AC11" i="471"/>
  <c r="AC15" i="471"/>
  <c r="AC9" i="471"/>
  <c r="S19" i="471"/>
  <c r="AC8" i="471"/>
  <c r="AC17" i="471"/>
  <c r="S10" i="471"/>
  <c r="S6" i="471"/>
  <c r="AC13" i="471"/>
  <c r="S11" i="471"/>
  <c r="S8" i="471"/>
  <c r="AC16" i="471"/>
  <c r="AC14" i="471"/>
  <c r="AC7" i="471"/>
  <c r="S15" i="471"/>
  <c r="S12" i="471"/>
  <c r="AC18" i="471"/>
  <c r="S17" i="471"/>
  <c r="AC19" i="471"/>
  <c r="AC10" i="471"/>
  <c r="S18" i="471"/>
  <c r="R47" i="473" l="1"/>
  <c r="R48" i="473"/>
  <c r="R45" i="473"/>
  <c r="V26" i="474"/>
  <c r="AA26" i="474" s="1"/>
  <c r="T20" i="474"/>
  <c r="T21" i="474" s="1"/>
  <c r="R43" i="474"/>
  <c r="AE20" i="474"/>
  <c r="AE21" i="474" s="1"/>
  <c r="L41" i="474" s="1"/>
  <c r="AD20" i="474"/>
  <c r="AD21" i="474" s="1"/>
  <c r="L40" i="474" s="1"/>
  <c r="U20" i="474"/>
  <c r="U21" i="474" s="1"/>
  <c r="L27" i="474" s="1"/>
  <c r="R39" i="474"/>
  <c r="P37" i="474"/>
  <c r="V27" i="474"/>
  <c r="R44" i="474"/>
  <c r="V25" i="474"/>
  <c r="R23" i="474"/>
  <c r="V29" i="474"/>
  <c r="V30" i="474"/>
  <c r="V33" i="474"/>
  <c r="V32" i="474"/>
  <c r="V34" i="474"/>
  <c r="V31" i="474"/>
  <c r="R42" i="474"/>
  <c r="V28" i="474"/>
  <c r="R40" i="474"/>
  <c r="AD5" i="473"/>
  <c r="AE7" i="473"/>
  <c r="T14" i="473"/>
  <c r="U10" i="473"/>
  <c r="T9" i="473"/>
  <c r="AE17" i="473"/>
  <c r="T5" i="473"/>
  <c r="AE16" i="473"/>
  <c r="U15" i="473"/>
  <c r="AD16" i="473"/>
  <c r="U13" i="473"/>
  <c r="AC20" i="473"/>
  <c r="R44" i="473"/>
  <c r="T6" i="473"/>
  <c r="AD6" i="473"/>
  <c r="AE15" i="473"/>
  <c r="AE13" i="473"/>
  <c r="S20" i="473"/>
  <c r="AE14" i="473"/>
  <c r="AE11" i="473"/>
  <c r="AE18" i="473"/>
  <c r="U11" i="473"/>
  <c r="U7" i="473"/>
  <c r="U5" i="473"/>
  <c r="AD12" i="473"/>
  <c r="U12" i="473"/>
  <c r="AE10" i="473"/>
  <c r="AD9" i="473"/>
  <c r="AD19" i="473"/>
  <c r="AE5" i="473"/>
  <c r="T16" i="473"/>
  <c r="T13" i="473"/>
  <c r="U18" i="473"/>
  <c r="AD15" i="473"/>
  <c r="U9" i="473"/>
  <c r="U8" i="473"/>
  <c r="V28" i="473"/>
  <c r="AD14" i="473"/>
  <c r="U6" i="473"/>
  <c r="AD8" i="473"/>
  <c r="AD18" i="473"/>
  <c r="AD13" i="473"/>
  <c r="AE6" i="473"/>
  <c r="T12" i="473"/>
  <c r="R23" i="473"/>
  <c r="V25" i="473"/>
  <c r="V34" i="473"/>
  <c r="V30" i="473"/>
  <c r="V31" i="473"/>
  <c r="V32" i="473"/>
  <c r="V29" i="473"/>
  <c r="V33" i="473"/>
  <c r="T17" i="473"/>
  <c r="U14" i="473"/>
  <c r="T10" i="473"/>
  <c r="AE9" i="473"/>
  <c r="P37" i="473"/>
  <c r="R39" i="473"/>
  <c r="T15" i="473"/>
  <c r="AE12" i="473"/>
  <c r="T7" i="473"/>
  <c r="AD7" i="473"/>
  <c r="R40" i="473"/>
  <c r="AE8" i="473"/>
  <c r="T11" i="473"/>
  <c r="T19" i="473"/>
  <c r="AD11" i="473"/>
  <c r="AD10" i="473"/>
  <c r="T8" i="473"/>
  <c r="V27" i="473"/>
  <c r="AD17" i="473"/>
  <c r="R43" i="473"/>
  <c r="U16" i="473"/>
  <c r="U17" i="473"/>
  <c r="V26" i="473"/>
  <c r="T18" i="473"/>
  <c r="AE18" i="471"/>
  <c r="AD15" i="471"/>
  <c r="U18" i="471"/>
  <c r="R34" i="471"/>
  <c r="T23" i="471"/>
  <c r="T14" i="471"/>
  <c r="T6" i="471"/>
  <c r="AD16" i="471"/>
  <c r="T8" i="471"/>
  <c r="AD8" i="471"/>
  <c r="AD12" i="471"/>
  <c r="T15" i="471"/>
  <c r="AD5" i="471"/>
  <c r="AC20" i="471"/>
  <c r="T13" i="471"/>
  <c r="AD17" i="471"/>
  <c r="AD6" i="471"/>
  <c r="T5" i="471"/>
  <c r="R32" i="471"/>
  <c r="S20" i="471"/>
  <c r="T18" i="471"/>
  <c r="AD10" i="471"/>
  <c r="T11" i="471"/>
  <c r="T10" i="471"/>
  <c r="T9" i="471"/>
  <c r="T19" i="471"/>
  <c r="R33" i="471"/>
  <c r="AD7" i="471"/>
  <c r="AD19" i="471"/>
  <c r="AD14" i="471"/>
  <c r="AD9" i="471"/>
  <c r="AE13" i="471"/>
  <c r="U17" i="471"/>
  <c r="AD11" i="471"/>
  <c r="U11" i="471"/>
  <c r="AE17" i="471"/>
  <c r="T12" i="471"/>
  <c r="AE6" i="471"/>
  <c r="AD18" i="471"/>
  <c r="U5" i="471"/>
  <c r="U16" i="471"/>
  <c r="U15" i="471"/>
  <c r="AE10" i="471"/>
  <c r="U6" i="471"/>
  <c r="AE16" i="471"/>
  <c r="T17" i="471"/>
  <c r="AD13" i="471"/>
  <c r="U10" i="471"/>
  <c r="AE8" i="471"/>
  <c r="AE15" i="471"/>
  <c r="U9" i="471"/>
  <c r="U13" i="471"/>
  <c r="P26" i="471"/>
  <c r="R31" i="471" s="1"/>
  <c r="AE9" i="471"/>
  <c r="AE7" i="471"/>
  <c r="AE14" i="471"/>
  <c r="U14" i="471"/>
  <c r="T7" i="471"/>
  <c r="AE12" i="471"/>
  <c r="N23" i="471"/>
  <c r="P25" i="471"/>
  <c r="N43" i="471"/>
  <c r="P43" i="471" s="1"/>
  <c r="N41" i="471"/>
  <c r="P41" i="471" s="1"/>
  <c r="N44" i="471"/>
  <c r="P44" i="471" s="1"/>
  <c r="N40" i="471"/>
  <c r="P40" i="471" s="1"/>
  <c r="N39" i="471"/>
  <c r="N42" i="471"/>
  <c r="P42" i="471" s="1"/>
  <c r="AE5" i="471"/>
  <c r="U7" i="471"/>
  <c r="T16" i="471"/>
  <c r="U12" i="471"/>
  <c r="U8" i="471"/>
  <c r="AE11" i="471"/>
  <c r="AA25" i="474" l="1"/>
  <c r="AA23" i="474" s="1"/>
  <c r="AF20" i="474"/>
  <c r="AF21" i="474" s="1"/>
  <c r="L42" i="474" s="1"/>
  <c r="V40" i="474"/>
  <c r="AA39" i="474" s="1"/>
  <c r="V20" i="474"/>
  <c r="V21" i="474" s="1"/>
  <c r="L28" i="474" s="1"/>
  <c r="L26" i="474"/>
  <c r="AQ32" i="474"/>
  <c r="AQ31" i="474"/>
  <c r="AQ28" i="474"/>
  <c r="AQ34" i="474"/>
  <c r="AQ25" i="474"/>
  <c r="AQ30" i="474"/>
  <c r="AQ29" i="474"/>
  <c r="AQ27" i="474"/>
  <c r="AQ33" i="474"/>
  <c r="AQ26" i="474"/>
  <c r="AG26" i="474"/>
  <c r="AG28" i="474"/>
  <c r="AG27" i="474"/>
  <c r="AG25" i="474"/>
  <c r="AG29" i="474"/>
  <c r="AC27" i="474"/>
  <c r="AC25" i="474"/>
  <c r="AC26" i="474"/>
  <c r="AE28" i="474"/>
  <c r="AE25" i="474"/>
  <c r="AE27" i="474"/>
  <c r="AE26" i="474"/>
  <c r="AM25" i="474"/>
  <c r="AM28" i="474"/>
  <c r="AM29" i="474"/>
  <c r="AM30" i="474"/>
  <c r="AM26" i="474"/>
  <c r="AM27" i="474"/>
  <c r="AM32" i="474"/>
  <c r="AM31" i="474"/>
  <c r="V42" i="474"/>
  <c r="AK25" i="474"/>
  <c r="AK30" i="474"/>
  <c r="AK29" i="474"/>
  <c r="AK27" i="474"/>
  <c r="AK28" i="474"/>
  <c r="AK26" i="474"/>
  <c r="AK31" i="474"/>
  <c r="AO31" i="474"/>
  <c r="AO27" i="474"/>
  <c r="AO30" i="474"/>
  <c r="AO29" i="474"/>
  <c r="AO25" i="474"/>
  <c r="AO32" i="474"/>
  <c r="AO33" i="474"/>
  <c r="AO28" i="474"/>
  <c r="AO26" i="474"/>
  <c r="V23" i="474"/>
  <c r="V35" i="474" s="1"/>
  <c r="V22" i="474" s="1"/>
  <c r="Y25" i="474"/>
  <c r="V39" i="474"/>
  <c r="R37" i="474"/>
  <c r="V44" i="474"/>
  <c r="V45" i="474"/>
  <c r="V46" i="474"/>
  <c r="V48" i="474"/>
  <c r="V43" i="474"/>
  <c r="V47" i="474"/>
  <c r="AI25" i="474"/>
  <c r="AI27" i="474"/>
  <c r="AI28" i="474"/>
  <c r="AI29" i="474"/>
  <c r="AI26" i="474"/>
  <c r="AI30" i="474"/>
  <c r="V41" i="474"/>
  <c r="AD20" i="473"/>
  <c r="AD21" i="473" s="1"/>
  <c r="L40" i="473" s="1"/>
  <c r="AE20" i="473"/>
  <c r="AE21" i="473" s="1"/>
  <c r="L41" i="473" s="1"/>
  <c r="U20" i="473"/>
  <c r="U21" i="473" s="1"/>
  <c r="L27" i="473" s="1"/>
  <c r="T20" i="473"/>
  <c r="T21" i="473" s="1"/>
  <c r="L26" i="473" s="1"/>
  <c r="AG25" i="473"/>
  <c r="AG28" i="473"/>
  <c r="AG27" i="473"/>
  <c r="AG29" i="473"/>
  <c r="AG26" i="473"/>
  <c r="AQ26" i="473"/>
  <c r="AQ30" i="473"/>
  <c r="AQ33" i="473"/>
  <c r="AQ34" i="473"/>
  <c r="AQ27" i="473"/>
  <c r="AQ31" i="473"/>
  <c r="AQ28" i="473"/>
  <c r="AQ29" i="473"/>
  <c r="AQ25" i="473"/>
  <c r="AQ32" i="473"/>
  <c r="AA25" i="473"/>
  <c r="AA26" i="473"/>
  <c r="AM32" i="473"/>
  <c r="AM27" i="473"/>
  <c r="AM30" i="473"/>
  <c r="AM28" i="473"/>
  <c r="AM29" i="473"/>
  <c r="AM26" i="473"/>
  <c r="AM31" i="473"/>
  <c r="AM25" i="473"/>
  <c r="AE27" i="473"/>
  <c r="AE25" i="473"/>
  <c r="AE26" i="473"/>
  <c r="AE28" i="473"/>
  <c r="V39" i="473"/>
  <c r="R37" i="473"/>
  <c r="V43" i="473"/>
  <c r="V46" i="473"/>
  <c r="V47" i="473"/>
  <c r="V48" i="473"/>
  <c r="V45" i="473"/>
  <c r="V44" i="473"/>
  <c r="AO31" i="473"/>
  <c r="AO28" i="473"/>
  <c r="AO26" i="473"/>
  <c r="AO30" i="473"/>
  <c r="AO33" i="473"/>
  <c r="AO27" i="473"/>
  <c r="AO32" i="473"/>
  <c r="AO29" i="473"/>
  <c r="AO25" i="473"/>
  <c r="AI28" i="473"/>
  <c r="AI29" i="473"/>
  <c r="AI25" i="473"/>
  <c r="AI30" i="473"/>
  <c r="AI26" i="473"/>
  <c r="AI27" i="473"/>
  <c r="AC27" i="473"/>
  <c r="AC25" i="473"/>
  <c r="AC26" i="473"/>
  <c r="V40" i="473"/>
  <c r="V41" i="473"/>
  <c r="AK31" i="473"/>
  <c r="AK26" i="473"/>
  <c r="AK30" i="473"/>
  <c r="AK29" i="473"/>
  <c r="AK25" i="473"/>
  <c r="AK27" i="473"/>
  <c r="AK28" i="473"/>
  <c r="V23" i="473"/>
  <c r="V35" i="473" s="1"/>
  <c r="V22" i="473" s="1"/>
  <c r="Y25" i="473"/>
  <c r="V42" i="473"/>
  <c r="AE20" i="471"/>
  <c r="AE21" i="471" s="1"/>
  <c r="L41" i="471" s="1"/>
  <c r="T20" i="471"/>
  <c r="AD20" i="471"/>
  <c r="AD21" i="471" s="1"/>
  <c r="L40" i="471" s="1"/>
  <c r="U20" i="471"/>
  <c r="U21" i="471" s="1"/>
  <c r="L27" i="471" s="1"/>
  <c r="R47" i="471"/>
  <c r="R49" i="471"/>
  <c r="R46" i="471"/>
  <c r="R45" i="471"/>
  <c r="R48" i="471"/>
  <c r="R28" i="471"/>
  <c r="R25" i="471"/>
  <c r="R29" i="471"/>
  <c r="P23" i="471"/>
  <c r="R30" i="471"/>
  <c r="R27" i="471"/>
  <c r="P39" i="471"/>
  <c r="R42" i="471" s="1"/>
  <c r="N37" i="471"/>
  <c r="R26" i="471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AA23" i="473" l="1"/>
  <c r="AA40" i="474"/>
  <c r="AA37" i="474" s="1"/>
  <c r="AQ23" i="474"/>
  <c r="AK23" i="474"/>
  <c r="AI23" i="474"/>
  <c r="AO23" i="474"/>
  <c r="AM23" i="474"/>
  <c r="AC21" i="474"/>
  <c r="L39" i="474" s="1"/>
  <c r="L37" i="474" s="1"/>
  <c r="AG23" i="474"/>
  <c r="S21" i="474"/>
  <c r="L25" i="474" s="1"/>
  <c r="L23" i="474" s="1"/>
  <c r="AC23" i="474"/>
  <c r="AE23" i="474"/>
  <c r="AI41" i="474"/>
  <c r="AI43" i="474"/>
  <c r="AI39" i="474"/>
  <c r="AI42" i="474"/>
  <c r="AI44" i="474"/>
  <c r="AI40" i="474"/>
  <c r="AQ39" i="474"/>
  <c r="AQ46" i="474"/>
  <c r="AQ45" i="474"/>
  <c r="AQ42" i="474"/>
  <c r="AQ47" i="474"/>
  <c r="AQ43" i="474"/>
  <c r="AQ48" i="474"/>
  <c r="AQ44" i="474"/>
  <c r="AQ40" i="474"/>
  <c r="AQ41" i="474"/>
  <c r="AS33" i="474"/>
  <c r="J33" i="474" s="1"/>
  <c r="AS28" i="474"/>
  <c r="J28" i="474" s="1"/>
  <c r="AS26" i="474"/>
  <c r="J26" i="474" s="1"/>
  <c r="AS34" i="474"/>
  <c r="J34" i="474" s="1"/>
  <c r="AS31" i="474"/>
  <c r="J31" i="474" s="1"/>
  <c r="AS32" i="474"/>
  <c r="J32" i="474" s="1"/>
  <c r="AS29" i="474"/>
  <c r="AS27" i="474"/>
  <c r="J27" i="474" s="1"/>
  <c r="AS35" i="474"/>
  <c r="J35" i="474" s="1"/>
  <c r="AS30" i="474"/>
  <c r="J30" i="474" s="1"/>
  <c r="AS25" i="474"/>
  <c r="AO41" i="474"/>
  <c r="AO46" i="474"/>
  <c r="AO47" i="474"/>
  <c r="AO45" i="474"/>
  <c r="AO39" i="474"/>
  <c r="AO40" i="474"/>
  <c r="AO43" i="474"/>
  <c r="AO42" i="474"/>
  <c r="AO44" i="474"/>
  <c r="AM43" i="474"/>
  <c r="AM44" i="474"/>
  <c r="AM41" i="474"/>
  <c r="AM45" i="474"/>
  <c r="AM42" i="474"/>
  <c r="AM40" i="474"/>
  <c r="AM39" i="474"/>
  <c r="AM46" i="474"/>
  <c r="Y39" i="474"/>
  <c r="V37" i="474"/>
  <c r="V49" i="474" s="1"/>
  <c r="V36" i="474" s="1"/>
  <c r="AE41" i="474"/>
  <c r="AE39" i="474"/>
  <c r="AE40" i="474"/>
  <c r="AE42" i="474"/>
  <c r="J29" i="474"/>
  <c r="AC41" i="474"/>
  <c r="AC39" i="474"/>
  <c r="AC40" i="474"/>
  <c r="AG41" i="474"/>
  <c r="AG43" i="474"/>
  <c r="AG42" i="474"/>
  <c r="AG39" i="474"/>
  <c r="AG40" i="474"/>
  <c r="AK45" i="474"/>
  <c r="AK43" i="474"/>
  <c r="AK44" i="474"/>
  <c r="AK40" i="474"/>
  <c r="AK42" i="474"/>
  <c r="AK41" i="474"/>
  <c r="AK39" i="474"/>
  <c r="Y23" i="474"/>
  <c r="AK23" i="473"/>
  <c r="AO23" i="473"/>
  <c r="AQ23" i="473"/>
  <c r="AI23" i="473"/>
  <c r="AM23" i="473"/>
  <c r="AF20" i="473"/>
  <c r="AF21" i="473" s="1"/>
  <c r="AC23" i="473"/>
  <c r="AG23" i="473"/>
  <c r="AE23" i="473"/>
  <c r="V20" i="473"/>
  <c r="V21" i="473" s="1"/>
  <c r="AO47" i="473"/>
  <c r="AO44" i="473"/>
  <c r="AO40" i="473"/>
  <c r="AO43" i="473"/>
  <c r="AO39" i="473"/>
  <c r="AO45" i="473"/>
  <c r="AO46" i="473"/>
  <c r="AO42" i="473"/>
  <c r="AO41" i="473"/>
  <c r="AS35" i="473"/>
  <c r="J35" i="473" s="1"/>
  <c r="AS30" i="473"/>
  <c r="J30" i="473" s="1"/>
  <c r="AS25" i="473"/>
  <c r="AS27" i="473"/>
  <c r="J27" i="473" s="1"/>
  <c r="AS28" i="473"/>
  <c r="J28" i="473" s="1"/>
  <c r="AS34" i="473"/>
  <c r="J34" i="473" s="1"/>
  <c r="AS33" i="473"/>
  <c r="J33" i="473" s="1"/>
  <c r="AS31" i="473"/>
  <c r="AS29" i="473"/>
  <c r="J29" i="473" s="1"/>
  <c r="AS32" i="473"/>
  <c r="J32" i="473" s="1"/>
  <c r="AS26" i="473"/>
  <c r="J26" i="473" s="1"/>
  <c r="AC39" i="473"/>
  <c r="AC41" i="473"/>
  <c r="AC40" i="473"/>
  <c r="AI44" i="473"/>
  <c r="AI40" i="473"/>
  <c r="AI41" i="473"/>
  <c r="AI39" i="473"/>
  <c r="AI43" i="473"/>
  <c r="AI42" i="473"/>
  <c r="AM44" i="473"/>
  <c r="AM40" i="473"/>
  <c r="AM45" i="473"/>
  <c r="AM41" i="473"/>
  <c r="AM39" i="473"/>
  <c r="AM46" i="473"/>
  <c r="AM43" i="473"/>
  <c r="AM42" i="473"/>
  <c r="V37" i="473"/>
  <c r="V49" i="473" s="1"/>
  <c r="V36" i="473" s="1"/>
  <c r="Y39" i="473"/>
  <c r="AE42" i="473"/>
  <c r="AE40" i="473"/>
  <c r="AE41" i="473"/>
  <c r="AE39" i="473"/>
  <c r="AA40" i="473"/>
  <c r="AA39" i="473"/>
  <c r="AK42" i="473"/>
  <c r="AK40" i="473"/>
  <c r="AK45" i="473"/>
  <c r="AK44" i="473"/>
  <c r="AK39" i="473"/>
  <c r="AK43" i="473"/>
  <c r="AK41" i="473"/>
  <c r="J31" i="473"/>
  <c r="Y23" i="473"/>
  <c r="AQ40" i="473"/>
  <c r="AQ44" i="473"/>
  <c r="AQ41" i="473"/>
  <c r="AQ46" i="473"/>
  <c r="AQ43" i="473"/>
  <c r="AQ39" i="473"/>
  <c r="AQ47" i="473"/>
  <c r="AQ42" i="473"/>
  <c r="AQ48" i="473"/>
  <c r="AQ45" i="473"/>
  <c r="AG42" i="473"/>
  <c r="AG40" i="473"/>
  <c r="AG41" i="473"/>
  <c r="AG39" i="473"/>
  <c r="AG43" i="473"/>
  <c r="R40" i="471"/>
  <c r="R43" i="471"/>
  <c r="AF20" i="471"/>
  <c r="AF21" i="471" s="1"/>
  <c r="T21" i="471"/>
  <c r="V20" i="471"/>
  <c r="V21" i="471" s="1"/>
  <c r="L28" i="471" s="1"/>
  <c r="V26" i="471"/>
  <c r="AA26" i="471" s="1"/>
  <c r="V27" i="471"/>
  <c r="V25" i="471"/>
  <c r="R23" i="471"/>
  <c r="V33" i="471"/>
  <c r="V34" i="471"/>
  <c r="V32" i="471"/>
  <c r="V30" i="471"/>
  <c r="V29" i="471"/>
  <c r="V31" i="471"/>
  <c r="R41" i="471"/>
  <c r="V28" i="471"/>
  <c r="R39" i="471"/>
  <c r="V40" i="471" s="1"/>
  <c r="P37" i="471"/>
  <c r="R44" i="471"/>
  <c r="Y19" i="435"/>
  <c r="Y18" i="435"/>
  <c r="Y17" i="435"/>
  <c r="O16" i="435"/>
  <c r="Y16" i="435"/>
  <c r="Y14" i="435"/>
  <c r="Y13" i="435"/>
  <c r="O13" i="435"/>
  <c r="Y11" i="435"/>
  <c r="Y10" i="435"/>
  <c r="Y9" i="435"/>
  <c r="Y8" i="435"/>
  <c r="Y6" i="435"/>
  <c r="Y5" i="435"/>
  <c r="O19" i="435"/>
  <c r="O18" i="435"/>
  <c r="O17" i="435"/>
  <c r="O14" i="435"/>
  <c r="O11" i="435"/>
  <c r="O10" i="435"/>
  <c r="O9" i="435"/>
  <c r="O6" i="435"/>
  <c r="O8" i="435"/>
  <c r="O5" i="435"/>
  <c r="P18" i="435"/>
  <c r="P13" i="285"/>
  <c r="Z13" i="285"/>
  <c r="P13" i="435"/>
  <c r="AS23" i="474" l="1"/>
  <c r="AS22" i="474" s="1"/>
  <c r="AE37" i="474"/>
  <c r="AQ37" i="474"/>
  <c r="AI37" i="474"/>
  <c r="AG37" i="474"/>
  <c r="AO37" i="474"/>
  <c r="AK37" i="474"/>
  <c r="AC37" i="474"/>
  <c r="AM37" i="474"/>
  <c r="H30" i="474"/>
  <c r="H32" i="474"/>
  <c r="H33" i="474"/>
  <c r="H35" i="474"/>
  <c r="J25" i="474"/>
  <c r="H27" i="474" s="1"/>
  <c r="H29" i="474"/>
  <c r="Y37" i="474"/>
  <c r="H31" i="474"/>
  <c r="AS46" i="474"/>
  <c r="J46" i="474" s="1"/>
  <c r="AS43" i="474"/>
  <c r="J43" i="474" s="1"/>
  <c r="AS45" i="474"/>
  <c r="J45" i="474" s="1"/>
  <c r="AS39" i="474"/>
  <c r="AS49" i="474"/>
  <c r="J49" i="474" s="1"/>
  <c r="AS41" i="474"/>
  <c r="J41" i="474" s="1"/>
  <c r="AS40" i="474"/>
  <c r="J40" i="474" s="1"/>
  <c r="AS48" i="474"/>
  <c r="J48" i="474" s="1"/>
  <c r="AS44" i="474"/>
  <c r="J44" i="474" s="1"/>
  <c r="AS47" i="474"/>
  <c r="J47" i="474" s="1"/>
  <c r="AS42" i="474"/>
  <c r="J42" i="474" s="1"/>
  <c r="H34" i="474"/>
  <c r="AS23" i="473"/>
  <c r="L42" i="473"/>
  <c r="AC21" i="473"/>
  <c r="L39" i="473" s="1"/>
  <c r="AG37" i="473"/>
  <c r="AK37" i="473"/>
  <c r="AO37" i="473"/>
  <c r="AA37" i="473"/>
  <c r="AI37" i="473"/>
  <c r="AQ37" i="473"/>
  <c r="AM37" i="473"/>
  <c r="J25" i="473"/>
  <c r="J23" i="473" s="1"/>
  <c r="AE37" i="473"/>
  <c r="AC37" i="473"/>
  <c r="AS22" i="473"/>
  <c r="L28" i="473"/>
  <c r="S21" i="473"/>
  <c r="L25" i="473" s="1"/>
  <c r="AS47" i="473"/>
  <c r="J47" i="473" s="1"/>
  <c r="AS44" i="473"/>
  <c r="J44" i="473" s="1"/>
  <c r="AS43" i="473"/>
  <c r="J43" i="473" s="1"/>
  <c r="AS49" i="473"/>
  <c r="J49" i="473" s="1"/>
  <c r="AS41" i="473"/>
  <c r="J41" i="473" s="1"/>
  <c r="AS46" i="473"/>
  <c r="J46" i="473" s="1"/>
  <c r="AS40" i="473"/>
  <c r="J40" i="473" s="1"/>
  <c r="AS45" i="473"/>
  <c r="J45" i="473" s="1"/>
  <c r="AS39" i="473"/>
  <c r="AS48" i="473"/>
  <c r="J48" i="473" s="1"/>
  <c r="AS42" i="473"/>
  <c r="J42" i="473" s="1"/>
  <c r="Y37" i="473"/>
  <c r="AA25" i="471"/>
  <c r="AA23" i="471" s="1"/>
  <c r="L42" i="471"/>
  <c r="AC21" i="471"/>
  <c r="L39" i="471" s="1"/>
  <c r="L37" i="471" s="1"/>
  <c r="V41" i="471"/>
  <c r="AC41" i="471" s="1"/>
  <c r="L26" i="471"/>
  <c r="S21" i="471"/>
  <c r="L25" i="471" s="1"/>
  <c r="AA40" i="471"/>
  <c r="AA39" i="471"/>
  <c r="AA37" i="471" s="1"/>
  <c r="AC27" i="471"/>
  <c r="AC25" i="471"/>
  <c r="AC26" i="471"/>
  <c r="AI26" i="471"/>
  <c r="AI27" i="471"/>
  <c r="AI28" i="471"/>
  <c r="AI29" i="471"/>
  <c r="AI30" i="471"/>
  <c r="AI25" i="471"/>
  <c r="AO31" i="471"/>
  <c r="AO30" i="471"/>
  <c r="AO33" i="471"/>
  <c r="AO29" i="471"/>
  <c r="AO25" i="471"/>
  <c r="AO32" i="471"/>
  <c r="AO27" i="471"/>
  <c r="AO26" i="471"/>
  <c r="AO28" i="471"/>
  <c r="AQ33" i="471"/>
  <c r="AQ34" i="471"/>
  <c r="AQ28" i="471"/>
  <c r="AQ30" i="471"/>
  <c r="AQ32" i="471"/>
  <c r="AQ26" i="471"/>
  <c r="AQ25" i="471"/>
  <c r="AQ31" i="471"/>
  <c r="AQ27" i="471"/>
  <c r="AQ29" i="471"/>
  <c r="AE27" i="471"/>
  <c r="AE26" i="471"/>
  <c r="AE28" i="471"/>
  <c r="AE25" i="471"/>
  <c r="AE23" i="471" s="1"/>
  <c r="AG28" i="471"/>
  <c r="AG29" i="471"/>
  <c r="AG27" i="471"/>
  <c r="AG25" i="471"/>
  <c r="AG23" i="471" s="1"/>
  <c r="AG26" i="471"/>
  <c r="R37" i="471"/>
  <c r="V39" i="471"/>
  <c r="V44" i="471"/>
  <c r="V46" i="471"/>
  <c r="V47" i="471"/>
  <c r="V43" i="471"/>
  <c r="V48" i="471"/>
  <c r="V45" i="471"/>
  <c r="AK26" i="471"/>
  <c r="AK29" i="471"/>
  <c r="AK31" i="471"/>
  <c r="AK25" i="471"/>
  <c r="AK30" i="471"/>
  <c r="AK27" i="471"/>
  <c r="AK28" i="471"/>
  <c r="AM31" i="471"/>
  <c r="AM28" i="471"/>
  <c r="AM25" i="471"/>
  <c r="AM27" i="471"/>
  <c r="AM26" i="471"/>
  <c r="AM29" i="471"/>
  <c r="AM30" i="471"/>
  <c r="AM32" i="471"/>
  <c r="Y25" i="471"/>
  <c r="V23" i="471"/>
  <c r="V35" i="471" s="1"/>
  <c r="V22" i="471" s="1"/>
  <c r="V42" i="471"/>
  <c r="Z13" i="435"/>
  <c r="H28" i="474" l="1"/>
  <c r="AS37" i="474"/>
  <c r="H47" i="474"/>
  <c r="BJ46" i="474" s="1"/>
  <c r="H43" i="474"/>
  <c r="BR18" i="474" s="1"/>
  <c r="H45" i="474"/>
  <c r="BJ44" i="474" s="1"/>
  <c r="H44" i="474"/>
  <c r="BN9" i="474" s="1"/>
  <c r="H46" i="474"/>
  <c r="BJ45" i="474" s="1"/>
  <c r="H48" i="474"/>
  <c r="BJ47" i="474" s="1"/>
  <c r="H49" i="474"/>
  <c r="BJ48" i="474" s="1"/>
  <c r="AS36" i="474"/>
  <c r="J23" i="474"/>
  <c r="H25" i="474"/>
  <c r="H26" i="474"/>
  <c r="J39" i="474"/>
  <c r="H41" i="474" s="1"/>
  <c r="L37" i="473"/>
  <c r="H35" i="473"/>
  <c r="H31" i="473"/>
  <c r="H26" i="473"/>
  <c r="AS37" i="473"/>
  <c r="AS36" i="473" s="1"/>
  <c r="J39" i="473"/>
  <c r="H42" i="473" s="1"/>
  <c r="H28" i="473"/>
  <c r="H30" i="473"/>
  <c r="H29" i="473"/>
  <c r="H33" i="473"/>
  <c r="H32" i="473"/>
  <c r="H34" i="473"/>
  <c r="H48" i="473"/>
  <c r="H46" i="473"/>
  <c r="H44" i="473"/>
  <c r="L23" i="473"/>
  <c r="H25" i="473"/>
  <c r="H27" i="473"/>
  <c r="H47" i="473"/>
  <c r="BJ51" i="473" s="1"/>
  <c r="H43" i="473"/>
  <c r="H49" i="473"/>
  <c r="H45" i="473"/>
  <c r="AM23" i="471"/>
  <c r="AO23" i="471"/>
  <c r="AC23" i="471"/>
  <c r="AK23" i="471"/>
  <c r="AQ23" i="471"/>
  <c r="AI23" i="471"/>
  <c r="L23" i="471"/>
  <c r="AC40" i="471"/>
  <c r="AC39" i="471"/>
  <c r="AK42" i="471"/>
  <c r="AK40" i="471"/>
  <c r="AK39" i="471"/>
  <c r="AK43" i="471"/>
  <c r="AK41" i="471"/>
  <c r="AK45" i="471"/>
  <c r="AK44" i="471"/>
  <c r="AE41" i="471"/>
  <c r="AE39" i="471"/>
  <c r="AE40" i="471"/>
  <c r="AE42" i="471"/>
  <c r="AQ39" i="471"/>
  <c r="AQ46" i="471"/>
  <c r="AQ48" i="471"/>
  <c r="AQ45" i="471"/>
  <c r="AQ42" i="471"/>
  <c r="AQ44" i="471"/>
  <c r="AQ40" i="471"/>
  <c r="AQ47" i="471"/>
  <c r="AQ41" i="471"/>
  <c r="AQ43" i="471"/>
  <c r="AM43" i="471"/>
  <c r="AM41" i="471"/>
  <c r="AM44" i="471"/>
  <c r="AM45" i="471"/>
  <c r="AM42" i="471"/>
  <c r="AM40" i="471"/>
  <c r="AM39" i="471"/>
  <c r="AM46" i="471"/>
  <c r="Y23" i="471"/>
  <c r="AO41" i="471"/>
  <c r="AO46" i="471"/>
  <c r="AO42" i="471"/>
  <c r="AO44" i="471"/>
  <c r="AO47" i="471"/>
  <c r="AO45" i="471"/>
  <c r="AO39" i="471"/>
  <c r="AO40" i="471"/>
  <c r="AO43" i="471"/>
  <c r="AI41" i="471"/>
  <c r="AI43" i="471"/>
  <c r="AI42" i="471"/>
  <c r="AI39" i="471"/>
  <c r="AI37" i="471" s="1"/>
  <c r="AI44" i="471"/>
  <c r="AI40" i="471"/>
  <c r="AS32" i="471"/>
  <c r="J32" i="471" s="1"/>
  <c r="AS33" i="471"/>
  <c r="J33" i="471" s="1"/>
  <c r="AS34" i="471"/>
  <c r="J34" i="471" s="1"/>
  <c r="AS31" i="471"/>
  <c r="J31" i="471" s="1"/>
  <c r="AS29" i="471"/>
  <c r="J29" i="471" s="1"/>
  <c r="AS30" i="471"/>
  <c r="J30" i="471" s="1"/>
  <c r="AS26" i="471"/>
  <c r="J26" i="471" s="1"/>
  <c r="AS28" i="471"/>
  <c r="J28" i="471" s="1"/>
  <c r="AS35" i="471"/>
  <c r="J35" i="471" s="1"/>
  <c r="AS27" i="471"/>
  <c r="J27" i="471" s="1"/>
  <c r="AS25" i="471"/>
  <c r="AG43" i="471"/>
  <c r="AG39" i="471"/>
  <c r="AG40" i="471"/>
  <c r="AG42" i="471"/>
  <c r="AG41" i="471"/>
  <c r="Y39" i="471"/>
  <c r="V36" i="471"/>
  <c r="V37" i="471"/>
  <c r="V49" i="471" s="1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E23" i="435" s="1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AF1" i="435"/>
  <c r="V1" i="435"/>
  <c r="S1" i="435"/>
  <c r="H40" i="473" l="1"/>
  <c r="BJ34" i="474"/>
  <c r="BJ54" i="474"/>
  <c r="BJ35" i="474"/>
  <c r="BJ31" i="474"/>
  <c r="BR28" i="474"/>
  <c r="BR46" i="474"/>
  <c r="BR47" i="474"/>
  <c r="BN11" i="474"/>
  <c r="BN12" i="474"/>
  <c r="BJ28" i="474"/>
  <c r="BJ24" i="474"/>
  <c r="BR29" i="474"/>
  <c r="BJ41" i="474"/>
  <c r="BR43" i="474"/>
  <c r="BJ51" i="474"/>
  <c r="BR35" i="474"/>
  <c r="BN8" i="474"/>
  <c r="BJ27" i="474"/>
  <c r="BJ26" i="474"/>
  <c r="BJ33" i="474"/>
  <c r="BR30" i="474"/>
  <c r="BR37" i="474"/>
  <c r="BN10" i="474"/>
  <c r="BR45" i="474"/>
  <c r="BR38" i="474"/>
  <c r="BN14" i="474"/>
  <c r="BJ58" i="474"/>
  <c r="BR22" i="474"/>
  <c r="BJ56" i="474"/>
  <c r="BJ59" i="474"/>
  <c r="BJ37" i="474"/>
  <c r="BR44" i="474"/>
  <c r="BJ32" i="474"/>
  <c r="BJ36" i="474"/>
  <c r="BJ25" i="474"/>
  <c r="BJ53" i="474"/>
  <c r="BR36" i="474"/>
  <c r="BJ55" i="474"/>
  <c r="BJ30" i="474"/>
  <c r="BJ40" i="474"/>
  <c r="BJ50" i="474"/>
  <c r="BR16" i="474"/>
  <c r="BR20" i="474"/>
  <c r="BR12" i="474"/>
  <c r="BN6" i="474"/>
  <c r="BR33" i="474"/>
  <c r="BR26" i="474"/>
  <c r="BR41" i="474"/>
  <c r="BR9" i="474"/>
  <c r="BJ29" i="474"/>
  <c r="BJ43" i="474"/>
  <c r="BR23" i="474"/>
  <c r="BJ42" i="474"/>
  <c r="J37" i="474"/>
  <c r="H39" i="474"/>
  <c r="BR4" i="474" s="1"/>
  <c r="BJ18" i="474"/>
  <c r="BJ21" i="474"/>
  <c r="BJ20" i="474"/>
  <c r="BJ19" i="474"/>
  <c r="BJ22" i="474"/>
  <c r="BJ16" i="474"/>
  <c r="BJ17" i="474"/>
  <c r="BJ14" i="474"/>
  <c r="H23" i="474"/>
  <c r="BJ13" i="474"/>
  <c r="BJ11" i="474"/>
  <c r="BJ10" i="474"/>
  <c r="BJ12" i="474"/>
  <c r="BJ9" i="474"/>
  <c r="BJ7" i="474"/>
  <c r="BJ8" i="474"/>
  <c r="BJ5" i="474"/>
  <c r="BN13" i="474"/>
  <c r="BJ57" i="474"/>
  <c r="BJ38" i="474"/>
  <c r="BJ39" i="474"/>
  <c r="BJ52" i="474"/>
  <c r="H40" i="474"/>
  <c r="H42" i="474"/>
  <c r="H39" i="473"/>
  <c r="BR24" i="473" s="1"/>
  <c r="J37" i="473"/>
  <c r="H41" i="473"/>
  <c r="BR20" i="473" s="1"/>
  <c r="BJ16" i="473"/>
  <c r="BJ21" i="473"/>
  <c r="BJ50" i="473"/>
  <c r="BJ18" i="473"/>
  <c r="H23" i="473"/>
  <c r="BJ54" i="473"/>
  <c r="BR38" i="473"/>
  <c r="BJ40" i="473"/>
  <c r="BR13" i="473"/>
  <c r="BJ42" i="473"/>
  <c r="BR11" i="473"/>
  <c r="BJ52" i="473"/>
  <c r="BR12" i="473"/>
  <c r="BJ41" i="473"/>
  <c r="BJ12" i="473"/>
  <c r="BJ38" i="473"/>
  <c r="BR36" i="473"/>
  <c r="BN11" i="473"/>
  <c r="BJ57" i="473"/>
  <c r="BR21" i="473"/>
  <c r="BJ19" i="473"/>
  <c r="BN12" i="473"/>
  <c r="BN7" i="473"/>
  <c r="BR29" i="473"/>
  <c r="BJ36" i="473"/>
  <c r="BR27" i="473"/>
  <c r="BJ32" i="473"/>
  <c r="BJ55" i="473"/>
  <c r="BR34" i="473"/>
  <c r="BR23" i="473"/>
  <c r="BJ34" i="473"/>
  <c r="BJ15" i="473"/>
  <c r="BJ37" i="473"/>
  <c r="BJ17" i="473"/>
  <c r="BJ10" i="473"/>
  <c r="BN13" i="473"/>
  <c r="BJ45" i="473"/>
  <c r="BJ6" i="473"/>
  <c r="BJ8" i="473"/>
  <c r="BJ29" i="473"/>
  <c r="BJ56" i="473"/>
  <c r="BJ35" i="473"/>
  <c r="BJ20" i="473"/>
  <c r="BJ25" i="473"/>
  <c r="BR28" i="473"/>
  <c r="BR35" i="473"/>
  <c r="BR22" i="473"/>
  <c r="BJ31" i="473"/>
  <c r="BR37" i="473"/>
  <c r="BR46" i="473"/>
  <c r="BR30" i="473"/>
  <c r="BJ58" i="473"/>
  <c r="BR17" i="473"/>
  <c r="BJ27" i="473"/>
  <c r="BJ47" i="473"/>
  <c r="BR44" i="473"/>
  <c r="BR42" i="473"/>
  <c r="BN9" i="473"/>
  <c r="BJ23" i="473"/>
  <c r="BJ39" i="473"/>
  <c r="BR5" i="473"/>
  <c r="BN4" i="473"/>
  <c r="BR19" i="473"/>
  <c r="BJ30" i="473"/>
  <c r="BJ48" i="473"/>
  <c r="BJ13" i="473"/>
  <c r="BJ59" i="473"/>
  <c r="BJ33" i="473"/>
  <c r="BJ7" i="473"/>
  <c r="BJ24" i="473"/>
  <c r="BR43" i="473"/>
  <c r="BR18" i="473"/>
  <c r="BJ22" i="473"/>
  <c r="BJ43" i="473"/>
  <c r="BR25" i="473"/>
  <c r="BR32" i="473"/>
  <c r="BJ9" i="473"/>
  <c r="BJ44" i="473"/>
  <c r="BJ26" i="473"/>
  <c r="BR45" i="473"/>
  <c r="BN14" i="473"/>
  <c r="BR40" i="473"/>
  <c r="BJ4" i="473"/>
  <c r="BR6" i="473"/>
  <c r="BR15" i="473"/>
  <c r="BR8" i="473"/>
  <c r="BN10" i="473"/>
  <c r="BJ53" i="473"/>
  <c r="BR7" i="473"/>
  <c r="BN5" i="473"/>
  <c r="BN8" i="473"/>
  <c r="BJ46" i="473"/>
  <c r="BR47" i="473"/>
  <c r="BJ28" i="473"/>
  <c r="BJ11" i="473"/>
  <c r="AK37" i="471"/>
  <c r="AO37" i="471"/>
  <c r="AM37" i="471"/>
  <c r="AQ37" i="471"/>
  <c r="AG37" i="471"/>
  <c r="AE37" i="471"/>
  <c r="AS23" i="471"/>
  <c r="AC37" i="471"/>
  <c r="H34" i="471"/>
  <c r="H33" i="471"/>
  <c r="H30" i="471"/>
  <c r="H29" i="471"/>
  <c r="H32" i="471"/>
  <c r="H31" i="471"/>
  <c r="AS22" i="471"/>
  <c r="AS46" i="471"/>
  <c r="J46" i="471" s="1"/>
  <c r="AS43" i="471"/>
  <c r="J43" i="471" s="1"/>
  <c r="AS45" i="471"/>
  <c r="AS42" i="471"/>
  <c r="J42" i="471" s="1"/>
  <c r="AS44" i="471"/>
  <c r="J44" i="471" s="1"/>
  <c r="AS49" i="471"/>
  <c r="J49" i="471" s="1"/>
  <c r="AS39" i="471"/>
  <c r="AS40" i="471"/>
  <c r="J40" i="471" s="1"/>
  <c r="AS48" i="471"/>
  <c r="J48" i="471" s="1"/>
  <c r="AS41" i="471"/>
  <c r="J41" i="471" s="1"/>
  <c r="AS47" i="471"/>
  <c r="J47" i="471" s="1"/>
  <c r="J25" i="471"/>
  <c r="H27" i="471" s="1"/>
  <c r="J45" i="471"/>
  <c r="Y37" i="471"/>
  <c r="H35" i="471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BN4" i="474" l="1"/>
  <c r="BR17" i="474"/>
  <c r="BJ23" i="474"/>
  <c r="BR34" i="474"/>
  <c r="BN7" i="474"/>
  <c r="BR13" i="474"/>
  <c r="BR42" i="474"/>
  <c r="BR21" i="474"/>
  <c r="BR27" i="474"/>
  <c r="BJ6" i="474"/>
  <c r="BJ15" i="474"/>
  <c r="BR15" i="474"/>
  <c r="BR19" i="474"/>
  <c r="BR40" i="474"/>
  <c r="BR6" i="474"/>
  <c r="BR32" i="474"/>
  <c r="BR8" i="474"/>
  <c r="BR11" i="474"/>
  <c r="BR25" i="474"/>
  <c r="H37" i="474"/>
  <c r="BR14" i="474"/>
  <c r="BJ49" i="474"/>
  <c r="BR24" i="474"/>
  <c r="BR7" i="474"/>
  <c r="BR5" i="474"/>
  <c r="BR10" i="474"/>
  <c r="BR39" i="474"/>
  <c r="BR31" i="474"/>
  <c r="BJ4" i="474"/>
  <c r="BN5" i="474"/>
  <c r="BJ49" i="473"/>
  <c r="BJ5" i="473"/>
  <c r="BR10" i="473"/>
  <c r="BR14" i="473"/>
  <c r="BR31" i="473"/>
  <c r="BR39" i="473"/>
  <c r="H37" i="473"/>
  <c r="BR4" i="473"/>
  <c r="BR9" i="473"/>
  <c r="BR16" i="473"/>
  <c r="BJ14" i="473"/>
  <c r="BN6" i="473"/>
  <c r="B37" i="473" s="1"/>
  <c r="BR26" i="473"/>
  <c r="BR41" i="473"/>
  <c r="BR33" i="473"/>
  <c r="AS37" i="471"/>
  <c r="AS36" i="471"/>
  <c r="J39" i="471"/>
  <c r="H41" i="471" s="1"/>
  <c r="H44" i="471"/>
  <c r="BJ25" i="471" s="1"/>
  <c r="H46" i="471"/>
  <c r="BJ40" i="471" s="1"/>
  <c r="H48" i="471"/>
  <c r="BJ29" i="471" s="1"/>
  <c r="J37" i="471"/>
  <c r="H39" i="471"/>
  <c r="H49" i="471"/>
  <c r="BJ43" i="471" s="1"/>
  <c r="H47" i="471"/>
  <c r="BJ41" i="471" s="1"/>
  <c r="H45" i="471"/>
  <c r="BR30" i="471" s="1"/>
  <c r="H43" i="471"/>
  <c r="BR28" i="471" s="1"/>
  <c r="J23" i="471"/>
  <c r="H25" i="471"/>
  <c r="H40" i="471"/>
  <c r="BR6" i="471" s="1"/>
  <c r="H26" i="471"/>
  <c r="H42" i="471"/>
  <c r="BR42" i="471" s="1"/>
  <c r="H28" i="471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B39" i="474" l="1"/>
  <c r="B38" i="474"/>
  <c r="B37" i="474"/>
  <c r="B38" i="473"/>
  <c r="B39" i="473"/>
  <c r="BN9" i="471"/>
  <c r="BR23" i="471"/>
  <c r="BR44" i="471"/>
  <c r="H37" i="471"/>
  <c r="BR36" i="471"/>
  <c r="BJ38" i="471"/>
  <c r="BR29" i="471"/>
  <c r="BN6" i="471"/>
  <c r="BR41" i="471"/>
  <c r="BR33" i="471"/>
  <c r="BR16" i="471"/>
  <c r="BR26" i="471"/>
  <c r="BR20" i="471"/>
  <c r="BR12" i="471"/>
  <c r="BJ44" i="471"/>
  <c r="BR38" i="471"/>
  <c r="BJ45" i="471"/>
  <c r="BJ50" i="471"/>
  <c r="BR37" i="471"/>
  <c r="BR24" i="471"/>
  <c r="BR46" i="471"/>
  <c r="BN11" i="471"/>
  <c r="BJ49" i="471"/>
  <c r="BR10" i="471"/>
  <c r="BR31" i="471"/>
  <c r="BR14" i="471"/>
  <c r="BR39" i="471"/>
  <c r="BJ42" i="471"/>
  <c r="BJ55" i="471"/>
  <c r="BN13" i="471"/>
  <c r="BJ57" i="471"/>
  <c r="BJ47" i="471"/>
  <c r="BJ52" i="471"/>
  <c r="BJ27" i="471"/>
  <c r="BR22" i="471"/>
  <c r="BR15" i="471"/>
  <c r="BR18" i="471"/>
  <c r="BR43" i="471"/>
  <c r="BR35" i="471"/>
  <c r="BN8" i="471"/>
  <c r="BJ48" i="471"/>
  <c r="BJ24" i="471"/>
  <c r="BJ26" i="471"/>
  <c r="BR45" i="471"/>
  <c r="BJ35" i="471"/>
  <c r="BJ33" i="471"/>
  <c r="BJ37" i="471"/>
  <c r="BJ36" i="471"/>
  <c r="BJ34" i="471"/>
  <c r="BJ32" i="471"/>
  <c r="BR8" i="471"/>
  <c r="BJ31" i="471"/>
  <c r="BR7" i="471"/>
  <c r="BR9" i="471"/>
  <c r="BN7" i="471"/>
  <c r="BN12" i="471"/>
  <c r="BJ21" i="471"/>
  <c r="BJ20" i="471"/>
  <c r="BJ19" i="471"/>
  <c r="BJ17" i="471"/>
  <c r="BJ22" i="471"/>
  <c r="BJ18" i="471"/>
  <c r="BJ14" i="471"/>
  <c r="BJ15" i="471"/>
  <c r="BJ16" i="471"/>
  <c r="BN5" i="471"/>
  <c r="BR4" i="471"/>
  <c r="BR21" i="471"/>
  <c r="BJ10" i="471"/>
  <c r="BJ8" i="471"/>
  <c r="BJ5" i="471"/>
  <c r="BN4" i="471"/>
  <c r="BJ13" i="471"/>
  <c r="BJ7" i="471"/>
  <c r="BJ6" i="471"/>
  <c r="BJ4" i="471"/>
  <c r="B38" i="471" s="1"/>
  <c r="H23" i="471"/>
  <c r="BJ12" i="471"/>
  <c r="BJ9" i="471"/>
  <c r="BJ11" i="471"/>
  <c r="BR47" i="471"/>
  <c r="BR40" i="471"/>
  <c r="BR11" i="471"/>
  <c r="BJ39" i="471"/>
  <c r="BR27" i="471"/>
  <c r="BR25" i="471"/>
  <c r="BJ54" i="471"/>
  <c r="BJ23" i="471"/>
  <c r="BJ28" i="471"/>
  <c r="BR32" i="471"/>
  <c r="BJ58" i="471"/>
  <c r="BR17" i="471"/>
  <c r="BJ46" i="471"/>
  <c r="BN10" i="471"/>
  <c r="BJ51" i="471"/>
  <c r="BJ59" i="471"/>
  <c r="BR13" i="471"/>
  <c r="BJ56" i="471"/>
  <c r="BR5" i="471"/>
  <c r="BJ30" i="471"/>
  <c r="BR34" i="471"/>
  <c r="BR19" i="471"/>
  <c r="BJ53" i="471"/>
  <c r="BN14" i="471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R5" i="435" s="1"/>
  <c r="P26" i="435"/>
  <c r="R31" i="435" s="1"/>
  <c r="R32" i="435"/>
  <c r="P25" i="435"/>
  <c r="N23" i="435"/>
  <c r="B36" i="474" l="1"/>
  <c r="B36" i="473"/>
  <c r="B39" i="471"/>
  <c r="B37" i="471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36" i="471" l="1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R5" i="285" s="1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T17" i="435" l="1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R11" i="285"/>
  <c r="S11" i="285" s="1"/>
  <c r="R6" i="285"/>
  <c r="S6" i="285" s="1"/>
  <c r="AB5" i="285"/>
  <c r="AC5" i="285" s="1"/>
  <c r="R7" i="285"/>
  <c r="S7" i="285" s="1"/>
  <c r="R12" i="285"/>
  <c r="S12" i="285" s="1"/>
  <c r="AB6" i="285"/>
  <c r="AC6" i="285" s="1"/>
  <c r="AB9" i="285"/>
  <c r="AC9" i="285" s="1"/>
  <c r="AB8" i="285"/>
  <c r="AC8" i="285" s="1"/>
  <c r="R16" i="285"/>
  <c r="S16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AM23" i="435" l="1"/>
  <c r="AE23" i="435"/>
  <c r="AO23" i="435"/>
  <c r="AK23" i="435"/>
  <c r="AI23" i="435"/>
  <c r="AQ23" i="435"/>
  <c r="AA23" i="435"/>
  <c r="AG23" i="435"/>
  <c r="AE20" i="435"/>
  <c r="AE21" i="435" s="1"/>
  <c r="L41" i="435" s="1"/>
  <c r="AD20" i="435"/>
  <c r="U20" i="435"/>
  <c r="U21" i="435" s="1"/>
  <c r="L27" i="435" s="1"/>
  <c r="T20" i="435"/>
  <c r="T21" i="435" s="1"/>
  <c r="L26" i="435" s="1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T7" i="285" s="1"/>
  <c r="R19" i="285"/>
  <c r="S19" i="285" s="1"/>
  <c r="AB16" i="285"/>
  <c r="AC16" i="285" s="1"/>
  <c r="AB19" i="285"/>
  <c r="AC19" i="285" s="1"/>
  <c r="AB7" i="285"/>
  <c r="AC7" i="285" s="1"/>
  <c r="S5" i="285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T10" i="285" l="1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D21" i="435"/>
  <c r="AF20" i="435"/>
  <c r="AF21" i="435" s="1"/>
  <c r="L42" i="435" s="1"/>
  <c r="V20" i="435"/>
  <c r="V21" i="435" s="1"/>
  <c r="L28" i="435" s="1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J37" i="435" l="1"/>
  <c r="AS37" i="435"/>
  <c r="AS36" i="435" s="1"/>
  <c r="L40" i="435"/>
  <c r="AC21" i="435"/>
  <c r="L39" i="435" s="1"/>
  <c r="S21" i="435"/>
  <c r="L25" i="435" s="1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37" i="435" l="1"/>
  <c r="H46" i="435"/>
  <c r="H49" i="435"/>
  <c r="H47" i="435"/>
  <c r="H45" i="435"/>
  <c r="H48" i="435"/>
  <c r="H43" i="435"/>
  <c r="H29" i="435"/>
  <c r="H31" i="435"/>
  <c r="L23" i="435"/>
  <c r="H33" i="435"/>
  <c r="H34" i="435"/>
  <c r="H26" i="435"/>
  <c r="H32" i="435"/>
  <c r="H30" i="435"/>
  <c r="H25" i="435"/>
  <c r="H28" i="435"/>
  <c r="H27" i="435"/>
  <c r="H35" i="435"/>
  <c r="BN14" i="435" s="1"/>
  <c r="H42" i="435"/>
  <c r="BR13" i="435" s="1"/>
  <c r="H39" i="435"/>
  <c r="H44" i="435"/>
  <c r="H41" i="435"/>
  <c r="H40" i="435"/>
  <c r="BR11" i="435" s="1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BR12" i="435" l="1"/>
  <c r="BJ40" i="435"/>
  <c r="BJ33" i="435"/>
  <c r="BN10" i="435"/>
  <c r="BN12" i="435"/>
  <c r="BJ17" i="435"/>
  <c r="BR37" i="435"/>
  <c r="BJ38" i="435"/>
  <c r="BR35" i="435"/>
  <c r="BJ24" i="435"/>
  <c r="BR44" i="435"/>
  <c r="BJ18" i="435"/>
  <c r="BR14" i="435"/>
  <c r="BR29" i="435"/>
  <c r="BJ42" i="435"/>
  <c r="BR10" i="435"/>
  <c r="BJ49" i="435"/>
  <c r="BR7" i="435"/>
  <c r="BJ23" i="435"/>
  <c r="BJ28" i="435"/>
  <c r="BJ25" i="435"/>
  <c r="BN6" i="435"/>
  <c r="BJ27" i="435"/>
  <c r="BJ29" i="435"/>
  <c r="BR6" i="435"/>
  <c r="BN4" i="435"/>
  <c r="H37" i="435"/>
  <c r="BJ47" i="435"/>
  <c r="BR30" i="435"/>
  <c r="BJ35" i="435"/>
  <c r="BR9" i="435"/>
  <c r="BJ37" i="435"/>
  <c r="BR8" i="435"/>
  <c r="BJ31" i="435"/>
  <c r="BJ32" i="435"/>
  <c r="BJ34" i="435"/>
  <c r="BN7" i="435"/>
  <c r="BJ21" i="435"/>
  <c r="BJ16" i="435"/>
  <c r="BJ15" i="435"/>
  <c r="BN5" i="435"/>
  <c r="BJ19" i="435"/>
  <c r="BJ20" i="435"/>
  <c r="BJ14" i="435"/>
  <c r="BJ22" i="435"/>
  <c r="BJ51" i="435"/>
  <c r="BR19" i="435"/>
  <c r="BR20" i="435"/>
  <c r="BJ50" i="435"/>
  <c r="BJ52" i="435"/>
  <c r="BR23" i="435"/>
  <c r="BR21" i="435"/>
  <c r="BR22" i="435"/>
  <c r="BJ53" i="435"/>
  <c r="BJ39" i="435"/>
  <c r="BJ57" i="435"/>
  <c r="BJ13" i="435"/>
  <c r="BJ12" i="435"/>
  <c r="BJ5" i="435"/>
  <c r="BJ11" i="435"/>
  <c r="BJ6" i="435"/>
  <c r="BJ8" i="435"/>
  <c r="H23" i="435"/>
  <c r="BJ4" i="435"/>
  <c r="BJ9" i="435"/>
  <c r="BJ10" i="435"/>
  <c r="BJ7" i="435"/>
  <c r="BR45" i="435"/>
  <c r="BR47" i="435"/>
  <c r="BR43" i="435"/>
  <c r="BR42" i="435"/>
  <c r="BJ59" i="435"/>
  <c r="BR41" i="435"/>
  <c r="BN13" i="435"/>
  <c r="BR40" i="435"/>
  <c r="BR46" i="435"/>
  <c r="BJ41" i="435"/>
  <c r="BJ55" i="435"/>
  <c r="BR27" i="435"/>
  <c r="BN11" i="435"/>
  <c r="BR26" i="435"/>
  <c r="BJ54" i="435"/>
  <c r="BR24" i="435"/>
  <c r="BR25" i="435"/>
  <c r="BJ56" i="435"/>
  <c r="BR28" i="435"/>
  <c r="BR5" i="435"/>
  <c r="BJ30" i="435"/>
  <c r="BR4" i="435"/>
  <c r="BR31" i="435"/>
  <c r="BJ26" i="435"/>
  <c r="BR39" i="435"/>
  <c r="BJ36" i="435"/>
  <c r="BJ46" i="435"/>
  <c r="BN9" i="435"/>
  <c r="BJ45" i="435"/>
  <c r="BR18" i="435"/>
  <c r="BJ48" i="435"/>
  <c r="BJ44" i="435"/>
  <c r="BR16" i="435"/>
  <c r="BR17" i="435"/>
  <c r="BR15" i="435"/>
  <c r="BJ58" i="435"/>
  <c r="BR38" i="435"/>
  <c r="BR33" i="435"/>
  <c r="BR36" i="435"/>
  <c r="BR32" i="435"/>
  <c r="BR34" i="435"/>
  <c r="BN8" i="435"/>
  <c r="BJ43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37" i="435" l="1"/>
  <c r="B39" i="435"/>
  <c r="B38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6" i="435" l="1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N11" i="285" l="1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<sst xmlns="http://schemas.openxmlformats.org/spreadsheetml/2006/main" count="1344" uniqueCount="158">
  <si>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</si>
  <si>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</si>
  <si>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</si>
  <si>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</si>
  <si>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</si>
  <si>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</si>
  <si>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</si>
  <si>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</si>
  <si>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</si>
  <si>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</si>
  <si>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</si>
  <si>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</si>
  <si>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</si>
  <si>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</si>
  <si>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</si>
  <si>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</si>
  <si>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</si>
  <si>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</si>
  <si>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</si>
  <si>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</si>
  <si>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</si>
  <si>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</si>
  <si>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</si>
  <si>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</si>
  <si>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</si>
  <si>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</si>
  <si>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</si>
  <si>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</si>
  <si>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</si>
  <si>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</si>
  <si>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</si>
  <si>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</si>
  <si>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</si>
  <si>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</si>
  <si>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</si>
  <si>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</si>
  <si>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</si>
  <si>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</si>
  <si>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</si>
  <si>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</si>
  <si>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</si>
  <si>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</si>
  <si>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</si>
  <si>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</si>
  <si>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</si>
  <si>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</si>
  <si>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</si>
  <si>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</si>
  <si>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</si>
  <si>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</si>
  <si>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</si>
  <si>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</si>
  <si>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</si>
  <si>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</si>
  <si>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</si>
  <si>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</si>
  <si>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</si>
  <si>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</si>
  <si>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</si>
  <si>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</si>
  <si>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</si>
  <si>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</si>
  <si>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</si>
  <si>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</si>
  <si>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</si>
  <si>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</si>
  <si>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</si>
  <si>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</si>
  <si>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</si>
  <si>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</si>
  <si>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</si>
  <si>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</si>
  <si>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</si>
  <si>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</si>
  <si>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</si>
  <si>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</si>
  <si>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</si>
  <si>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</si>
  <si>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</si>
  <si>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</si>
  <si>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</si>
  <si>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</si>
  <si>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</si>
  <si>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</si>
  <si>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</si>
  <si>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</si>
  <si>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</si>
  <si>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</si>
  <si>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</si>
  <si>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</si>
  <si>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</si>
  <si>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</si>
  <si>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</si>
  <si>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</si>
  <si>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</si>
  <si>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</si>
  <si>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</si>
  <si>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</si>
  <si>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</si>
  <si>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</si>
  <si>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</si>
  <si>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</si>
  <si>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</si>
  <si>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</si>
  <si>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</si>
  <si>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</si>
  <si>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</si>
  <si>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</si>
  <si>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</si>
  <si>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</si>
  <si>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</si>
  <si>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</si>
  <si>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</si>
  <si>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</si>
  <si>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</si>
  <si>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</si>
  <si>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</si>
  <si>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</si>
  <si>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</si>
  <si>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</si>
  <si>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</si>
  <si>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</si>
  <si>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</si>
  <si>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</si>
  <si>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</si>
  <si>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</si>
  <si>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</si>
  <si>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</si>
  <si>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</si>
  <si>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</si>
  <si>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</si>
  <si>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</si>
  <si>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</si>
  <si>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</si>
  <si>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</si>
  <si>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</si>
  <si>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</si>
  <si>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</si>
  <si>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</si>
  <si>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</si>
  <si>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</si>
  <si>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</si>
  <si>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</si>
  <si>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</si>
  <si>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CAB</t>
  </si>
  <si>
    <t>JC</t>
  </si>
  <si>
    <t>NEU</t>
  </si>
  <si>
    <t>IMP</t>
  </si>
  <si>
    <t>All</t>
  </si>
  <si>
    <t>0,4</t>
  </si>
  <si>
    <t>San Blas</t>
  </si>
  <si>
    <t>Badge</t>
  </si>
  <si>
    <t>DEF</t>
  </si>
  <si>
    <t>Belfordiz</t>
  </si>
  <si>
    <t>VADER</t>
  </si>
  <si>
    <t>AIM</t>
  </si>
  <si>
    <t>Pres</t>
  </si>
  <si>
    <t>AOW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</si>
</sst>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1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8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'VADER-SanBlas'!$G$25:$G$35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'VADER-SanBlas'!$H$25:$H$35</c:f>
              <c:numCache>
                <c:formatCode>0.0%</c:formatCode>
                <c:ptCount val="11"/>
                <c:pt idx="0">
                  <c:v>2.3950783431186808E-2</c:v>
                </c:pt>
                <c:pt idx="1">
                  <c:v>0.10394603975670559</c:v>
                </c:pt>
                <c:pt idx="2">
                  <c:v>0.20752070532921274</c:v>
                </c:pt>
                <c:pt idx="3">
                  <c:v>0.25247723749044509</c:v>
                </c:pt>
                <c:pt idx="4">
                  <c:v>0.20900758698605115</c:v>
                </c:pt>
                <c:pt idx="5">
                  <c:v>0.12444927257010416</c:v>
                </c:pt>
                <c:pt idx="6">
                  <c:v>5.4910338695140767E-2</c:v>
                </c:pt>
                <c:pt idx="7">
                  <c:v>1.8211532491148506E-2</c:v>
                </c:pt>
                <c:pt idx="8">
                  <c:v>4.550960399002376E-3</c:v>
                </c:pt>
                <c:pt idx="9">
                  <c:v>8.4880769758667531E-4</c:v>
                </c:pt>
                <c:pt idx="10">
                  <c:v>1.1525228498887895E-4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'VADER-SanBlas'!$H$39:$H$49</c:f>
              <c:numCache>
                <c:formatCode>0.0%</c:formatCode>
                <c:ptCount val="11"/>
                <c:pt idx="0">
                  <c:v>5.2635611100452909E-2</c:v>
                </c:pt>
                <c:pt idx="1">
                  <c:v>0.18418793746473719</c:v>
                </c:pt>
                <c:pt idx="2">
                  <c:v>0.27861733607304545</c:v>
                </c:pt>
                <c:pt idx="3">
                  <c:v>0.248557128746248</c:v>
                </c:pt>
                <c:pt idx="4">
                  <c:v>0.14812603818177122</c:v>
                </c:pt>
                <c:pt idx="5">
                  <c:v>6.2804693595861577E-2</c:v>
                </c:pt>
                <c:pt idx="6">
                  <c:v>1.9591871666488778E-2</c:v>
                </c:pt>
                <c:pt idx="7">
                  <c:v>4.5678472046113859E-3</c:v>
                </c:pt>
                <c:pt idx="8">
                  <c:v>7.9786837647966046E-4</c:v>
                </c:pt>
                <c:pt idx="9">
                  <c:v>1.0334402587110268E-4</c:v>
                </c:pt>
                <c:pt idx="10">
                  <c:v>9.6751691932727019E-6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83648"/>
        <c:axId val="278884040"/>
      </c:lineChart>
      <c:catAx>
        <c:axId val="2788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884040"/>
        <c:crosses val="autoZero"/>
        <c:auto val="1"/>
        <c:lblAlgn val="ctr"/>
        <c:lblOffset val="100"/>
        <c:noMultiLvlLbl val="0"/>
      </c:catAx>
      <c:valAx>
        <c:axId val="27888404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7888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0.19832500138188314</c:v>
                </c:pt>
                <c:pt idx="1">
                  <c:v>0.55248814107641242</c:v>
                </c:pt>
                <c:pt idx="2">
                  <c:v>0.24918581457750841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067360"/>
        <c:axId val="281064616"/>
      </c:lineChart>
      <c:catAx>
        <c:axId val="28106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1064616"/>
        <c:crosses val="autoZero"/>
        <c:auto val="1"/>
        <c:lblAlgn val="ctr"/>
        <c:lblOffset val="100"/>
        <c:noMultiLvlLbl val="0"/>
      </c:catAx>
      <c:valAx>
        <c:axId val="2810646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106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'VADER-SanBlas'!$B$37:$B$39</c:f>
              <c:numCache>
                <c:formatCode>0.0%</c:formatCode>
                <c:ptCount val="3"/>
                <c:pt idx="0">
                  <c:v>0.18091832206638853</c:v>
                </c:pt>
                <c:pt idx="1">
                  <c:v>0.28685489968290068</c:v>
                </c:pt>
                <c:pt idx="2">
                  <c:v>0.53209939589931521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'Badge-OBIWAN'!$G$25:$G$35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'Badge-OBIWAN'!$H$25:$H$35</c:f>
              <c:numCache>
                <c:formatCode>0.0%</c:formatCode>
                <c:ptCount val="11"/>
                <c:pt idx="0">
                  <c:v>5.6274869535013483E-2</c:v>
                </c:pt>
                <c:pt idx="1">
                  <c:v>0.18844889796416148</c:v>
                </c:pt>
                <c:pt idx="2">
                  <c:v>0.2787610140943943</c:v>
                </c:pt>
                <c:pt idx="3">
                  <c:v>0.24553852703124959</c:v>
                </c:pt>
                <c:pt idx="4">
                  <c:v>0.14521031978937685</c:v>
                </c:pt>
                <c:pt idx="5">
                  <c:v>6.1307288642760194E-2</c:v>
                </c:pt>
                <c:pt idx="6">
                  <c:v>1.9101079249969469E-2</c:v>
                </c:pt>
                <c:pt idx="7">
                  <c:v>4.4618639854800517E-3</c:v>
                </c:pt>
                <c:pt idx="8">
                  <c:v>7.8344794483337652E-4</c:v>
                </c:pt>
                <c:pt idx="9">
                  <c:v>1.0234582844008151E-4</c:v>
                </c:pt>
                <c:pt idx="10">
                  <c:v>9.6888725669844525E-6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'Badge-OBIWAN'!$H$39:$H$49</c:f>
              <c:numCache>
                <c:formatCode>0.0%</c:formatCode>
                <c:ptCount val="11"/>
                <c:pt idx="0">
                  <c:v>9.7121788499067149E-2</c:v>
                </c:pt>
                <c:pt idx="1">
                  <c:v>0.24630159390267647</c:v>
                </c:pt>
                <c:pt idx="2">
                  <c:v>0.28991027229283683</c:v>
                </c:pt>
                <c:pt idx="3">
                  <c:v>0.21021623342155887</c:v>
                </c:pt>
                <c:pt idx="4">
                  <c:v>0.10504263746658343</c:v>
                </c:pt>
                <c:pt idx="5">
                  <c:v>3.8298795057065398E-2</c:v>
                </c:pt>
                <c:pt idx="6">
                  <c:v>1.0508246954463072E-2</c:v>
                </c:pt>
                <c:pt idx="7">
                  <c:v>2.201234819852774E-3</c:v>
                </c:pt>
                <c:pt idx="8">
                  <c:v>3.5251248813805599E-4</c:v>
                </c:pt>
                <c:pt idx="9">
                  <c:v>4.2651373411448025E-5</c:v>
                </c:pt>
                <c:pt idx="10">
                  <c:v>3.7902168073808775E-6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84432"/>
        <c:axId val="278880120"/>
      </c:lineChart>
      <c:catAx>
        <c:axId val="27888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880120"/>
        <c:crosses val="autoZero"/>
        <c:auto val="1"/>
        <c:lblAlgn val="ctr"/>
        <c:lblOffset val="100"/>
        <c:noMultiLvlLbl val="0"/>
      </c:catAx>
      <c:valAx>
        <c:axId val="27888012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7888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'Badge-OBIWAN'!$B$37:$B$39</c:f>
              <c:numCache>
                <c:formatCode>0.0%</c:formatCode>
                <c:ptCount val="3"/>
                <c:pt idx="0">
                  <c:v>0.20212473703428283</c:v>
                </c:pt>
                <c:pt idx="1">
                  <c:v>0.32534223593304623</c:v>
                </c:pt>
                <c:pt idx="2">
                  <c:v>0.47252243763005308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'Belfordiz-VADER'!$G$25:$G$35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'Belfordiz-VADER'!$H$25:$H$35</c:f>
              <c:numCache>
                <c:formatCode>0.0%</c:formatCode>
                <c:ptCount val="11"/>
                <c:pt idx="0">
                  <c:v>2.983744009041861E-2</c:v>
                </c:pt>
                <c:pt idx="1">
                  <c:v>0.12557311000749552</c:v>
                </c:pt>
                <c:pt idx="2">
                  <c:v>0.23756695918983403</c:v>
                </c:pt>
                <c:pt idx="3">
                  <c:v>0.26624148514604673</c:v>
                </c:pt>
                <c:pt idx="4">
                  <c:v>0.19599216718847348</c:v>
                </c:pt>
                <c:pt idx="5">
                  <c:v>9.9263364409513291E-2</c:v>
                </c:pt>
                <c:pt idx="6">
                  <c:v>3.5188852204048181E-2</c:v>
                </c:pt>
                <c:pt idx="7">
                  <c:v>8.7011535435823628E-3</c:v>
                </c:pt>
                <c:pt idx="8">
                  <c:v>1.4653418043912209E-3</c:v>
                </c:pt>
                <c:pt idx="9">
                  <c:v>1.5966218472593307E-4</c:v>
                </c:pt>
                <c:pt idx="10">
                  <c:v>1.0166799466360731E-5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'Belfordiz-VADER'!$H$39:$H$49</c:f>
              <c:numCache>
                <c:formatCode>0.0%</c:formatCode>
                <c:ptCount val="11"/>
                <c:pt idx="0">
                  <c:v>3.4663443927535627E-2</c:v>
                </c:pt>
                <c:pt idx="1">
                  <c:v>0.13665395653119788</c:v>
                </c:pt>
                <c:pt idx="2">
                  <c:v>0.24412524111366488</c:v>
                </c:pt>
                <c:pt idx="3">
                  <c:v>0.26115842477516993</c:v>
                </c:pt>
                <c:pt idx="4">
                  <c:v>0.18621414648221704</c:v>
                </c:pt>
                <c:pt idx="5">
                  <c:v>9.3164949667489186E-2</c:v>
                </c:pt>
                <c:pt idx="6">
                  <c:v>3.3495544349820321E-2</c:v>
                </c:pt>
                <c:pt idx="7">
                  <c:v>8.6966069853940571E-3</c:v>
                </c:pt>
                <c:pt idx="8">
                  <c:v>1.6079587741855996E-3</c:v>
                </c:pt>
                <c:pt idx="9">
                  <c:v>2.0317347878736201E-4</c:v>
                </c:pt>
                <c:pt idx="10">
                  <c:v>1.594822656661616E-5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989608"/>
        <c:axId val="284992744"/>
      </c:lineChart>
      <c:catAx>
        <c:axId val="28498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992744"/>
        <c:crosses val="autoZero"/>
        <c:auto val="1"/>
        <c:lblAlgn val="ctr"/>
        <c:lblOffset val="100"/>
        <c:noMultiLvlLbl val="0"/>
      </c:catAx>
      <c:valAx>
        <c:axId val="28499274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498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'Belfordiz-VADER'!$B$37:$B$39</c:f>
              <c:numCache>
                <c:formatCode>0.0%</c:formatCode>
                <c:ptCount val="3"/>
                <c:pt idx="0">
                  <c:v>0.19272273837339191</c:v>
                </c:pt>
                <c:pt idx="1">
                  <c:v>0.39069957682708267</c:v>
                </c:pt>
                <c:pt idx="2">
                  <c:v>0.41656661504856363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066184"/>
        <c:axId val="281065400"/>
      </c:lineChart>
      <c:catAx>
        <c:axId val="28106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1065400"/>
        <c:crosses val="autoZero"/>
        <c:auto val="1"/>
        <c:lblAlgn val="ctr"/>
        <c:lblOffset val="100"/>
        <c:noMultiLvlLbl val="0"/>
      </c:catAx>
      <c:valAx>
        <c:axId val="2810654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106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0.14738075169875151</c:v>
                </c:pt>
                <c:pt idx="1">
                  <c:v>0.30607459614351773</c:v>
                </c:pt>
                <c:pt idx="2">
                  <c:v>0.29103044227892333</c:v>
                </c:pt>
                <c:pt idx="3">
                  <c:v>0.16769440117062107</c:v>
                </c:pt>
                <c:pt idx="4">
                  <c:v>6.531517512113745E-2</c:v>
                </c:pt>
                <c:pt idx="5">
                  <c:v>1.8159817087638242E-2</c:v>
                </c:pt>
                <c:pt idx="6">
                  <c:v>3.7101066798310152E-3</c:v>
                </c:pt>
                <c:pt idx="7">
                  <c:v>5.6473172578951742E-4</c:v>
                </c:pt>
                <c:pt idx="8">
                  <c:v>6.4218993790413949E-5</c:v>
                </c:pt>
                <c:pt idx="9">
                  <c:v>5.4134780884159974E-6</c:v>
                </c:pt>
                <c:pt idx="10">
                  <c:v>3.3117416353307858E-7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5.9501909237606246E-2</c:v>
                </c:pt>
                <c:pt idx="1">
                  <c:v>0.18913667156449956</c:v>
                </c:pt>
                <c:pt idx="2">
                  <c:v>0.27544784496860492</c:v>
                </c:pt>
                <c:pt idx="3">
                  <c:v>0.24330030848488476</c:v>
                </c:pt>
                <c:pt idx="4">
                  <c:v>0.1454230726245091</c:v>
                </c:pt>
                <c:pt idx="5">
                  <c:v>6.2134159523416999E-2</c:v>
                </c:pt>
                <c:pt idx="6">
                  <c:v>1.9542410342318937E-2</c:v>
                </c:pt>
                <c:pt idx="7">
                  <c:v>4.5896778609825772E-3</c:v>
                </c:pt>
                <c:pt idx="8">
                  <c:v>8.0751430873681157E-4</c:v>
                </c:pt>
                <c:pt idx="9">
                  <c:v>1.0566333059538167E-4</c:v>
                </c:pt>
                <c:pt idx="10">
                  <c:v>1.0070407983549551E-5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068928"/>
        <c:axId val="281065008"/>
      </c:lineChart>
      <c:catAx>
        <c:axId val="28106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1065008"/>
        <c:crosses val="autoZero"/>
        <c:auto val="1"/>
        <c:lblAlgn val="ctr"/>
        <c:lblOffset val="100"/>
        <c:noMultiLvlLbl val="0"/>
      </c:catAx>
      <c:valAx>
        <c:axId val="28106500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106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BR59"/>
  <sheetViews>
    <sheetView zoomScale="80" zoomScaleNormal="80" workbookViewId="0">
      <selection activeCell="F19" sqref="F19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5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8" t="s">
        <v>135</v>
      </c>
      <c r="Q1" s="198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5" t="s">
        <v>150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9" t="s">
        <v>23</v>
      </c>
      <c r="C3" s="19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4.4114454008548996E-3</v>
      </c>
      <c r="BL4">
        <v>0</v>
      </c>
      <c r="BM4">
        <v>0</v>
      </c>
      <c r="BN4" s="107">
        <f>H25*H39</f>
        <v>1.2606641222351199E-3</v>
      </c>
      <c r="BP4">
        <v>1</v>
      </c>
      <c r="BQ4">
        <v>0</v>
      </c>
      <c r="BR4" s="107">
        <f>$H$26*H39</f>
        <v>5.471263324066172E-3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COUNTIF(J5:J18,"IMP")*0.017</f>
        <v>1.7000000000000001E-2</v>
      </c>
      <c r="Z5" s="146" t="str">
        <f>Z3</f>
        <v>0,6</v>
      </c>
      <c r="AA5" s="19">
        <f>Z5*Y5</f>
        <v>1.0200000000000001E-2</v>
      </c>
      <c r="AB5" s="157">
        <f>IF($M$2="SI",AA5*$C$22/0.5*$S$1,AA5*$C$22/0.5*$S$2)</f>
        <v>9.8880329375308027E-3</v>
      </c>
      <c r="AC5" s="176">
        <f>(1-AB5)</f>
        <v>0.99011196706246918</v>
      </c>
      <c r="AD5" s="177">
        <f>AB5*PRODUCT(AC6:AC19)</f>
        <v>3.2537810594970291E-3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4.8514634365154612E-3</v>
      </c>
      <c r="AF5" s="18"/>
      <c r="BH5">
        <v>0</v>
      </c>
      <c r="BI5">
        <v>2</v>
      </c>
      <c r="BJ5" s="107">
        <f t="shared" si="0"/>
        <v>6.6731034764597038E-3</v>
      </c>
      <c r="BL5">
        <v>1</v>
      </c>
      <c r="BM5">
        <v>1</v>
      </c>
      <c r="BN5" s="107">
        <f>$H$26*H40</f>
        <v>1.9145606670415174E-2</v>
      </c>
      <c r="BP5">
        <f>BP4+1</f>
        <v>2</v>
      </c>
      <c r="BQ5">
        <v>0</v>
      </c>
      <c r="BR5" s="107">
        <f>$H$27*H39</f>
        <v>1.0922979141000128E-2</v>
      </c>
    </row>
    <row r="6" spans="1:70" x14ac:dyDescent="0.25">
      <c r="A6" s="2" t="s">
        <v>1</v>
      </c>
      <c r="B6" s="168">
        <v>15.5</v>
      </c>
      <c r="C6" s="169">
        <v>12.75</v>
      </c>
      <c r="E6" s="192" t="s">
        <v>17</v>
      </c>
      <c r="F6" s="167" t="s">
        <v>21</v>
      </c>
      <c r="G6" s="167"/>
      <c r="H6" s="10"/>
      <c r="I6" s="10"/>
      <c r="J6" s="166" t="s">
        <v>144</v>
      </c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>
        <f t="shared" ref="AB6:AB19" si="4">IF($M$2="SI",AA6*$C$22/0.5*$S$1,AA6*$C$22/0.5*$S$2)</f>
        <v>0</v>
      </c>
      <c r="AC6" s="176">
        <f t="shared" ref="AC6:AC19" si="5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BH6">
        <v>0</v>
      </c>
      <c r="BI6">
        <v>3</v>
      </c>
      <c r="BJ6" s="107">
        <f t="shared" si="0"/>
        <v>5.9531379608790029E-3</v>
      </c>
      <c r="BL6">
        <f>BH14+1</f>
        <v>2</v>
      </c>
      <c r="BM6">
        <v>2</v>
      </c>
      <c r="BN6" s="107">
        <f>$H$27*H41</f>
        <v>5.7818866098824702E-2</v>
      </c>
      <c r="BP6">
        <f>BL5+1</f>
        <v>2</v>
      </c>
      <c r="BQ6">
        <v>1</v>
      </c>
      <c r="BR6" s="107">
        <f>$H$27*H40</f>
        <v>3.8222810695815193E-2</v>
      </c>
    </row>
    <row r="7" spans="1:70" x14ac:dyDescent="0.25">
      <c r="A7" s="5" t="s">
        <v>2</v>
      </c>
      <c r="B7" s="168">
        <v>12.5</v>
      </c>
      <c r="C7" s="169">
        <v>14.25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3.5477346610113107E-3</v>
      </c>
      <c r="BL7">
        <f>BH23+1</f>
        <v>3</v>
      </c>
      <c r="BM7">
        <v>3</v>
      </c>
      <c r="BN7" s="107">
        <f>$H$28*H42</f>
        <v>6.2755017224409598E-2</v>
      </c>
      <c r="BP7">
        <f>BP5+1</f>
        <v>3</v>
      </c>
      <c r="BQ7">
        <v>0</v>
      </c>
      <c r="BR7" s="107">
        <f>$H$28*H39</f>
        <v>1.3289293684263757E-2</v>
      </c>
    </row>
    <row r="8" spans="1:70" x14ac:dyDescent="0.25">
      <c r="A8" s="5" t="s">
        <v>3</v>
      </c>
      <c r="B8" s="168">
        <v>12.25</v>
      </c>
      <c r="C8" s="169">
        <v>13.25</v>
      </c>
      <c r="E8" s="192" t="s">
        <v>18</v>
      </c>
      <c r="F8" s="167" t="s">
        <v>144</v>
      </c>
      <c r="G8" s="167"/>
      <c r="H8" s="10"/>
      <c r="I8" s="10"/>
      <c r="J8" s="166" t="s">
        <v>144</v>
      </c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>
        <f t="shared" si="6"/>
        <v>0</v>
      </c>
      <c r="S8" s="176">
        <f t="shared" si="2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>COUNTIF(J6:J18,"IMP")*0.01</f>
        <v>0.01</v>
      </c>
      <c r="Z8" s="146" t="str">
        <f>Z3</f>
        <v>0,6</v>
      </c>
      <c r="AA8" s="19">
        <f t="shared" si="3"/>
        <v>6.0000000000000001E-3</v>
      </c>
      <c r="AB8" s="157">
        <f t="shared" si="4"/>
        <v>5.816489963253413E-3</v>
      </c>
      <c r="AC8" s="176">
        <f t="shared" si="5"/>
        <v>0.99418351003674654</v>
      </c>
      <c r="AD8" s="177">
        <f>AB8*PRODUCT(AC5:AC7)*PRODUCT(AC9:AC19)</f>
        <v>1.9061503781957023E-3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2.8309626946506528E-3</v>
      </c>
      <c r="BH8">
        <v>0</v>
      </c>
      <c r="BI8">
        <v>5</v>
      </c>
      <c r="BJ8" s="107">
        <f t="shared" si="0"/>
        <v>1.5042216147765257E-3</v>
      </c>
      <c r="BL8">
        <f>BH31+1</f>
        <v>4</v>
      </c>
      <c r="BM8">
        <v>4</v>
      </c>
      <c r="BN8" s="107">
        <f>$H$29*H43</f>
        <v>3.0959465810175682E-2</v>
      </c>
      <c r="BP8">
        <f>BP6+1</f>
        <v>3</v>
      </c>
      <c r="BQ8">
        <v>1</v>
      </c>
      <c r="BR8" s="107">
        <f>$H$28*H40</f>
        <v>4.6503261630159699E-2</v>
      </c>
    </row>
    <row r="9" spans="1:70" x14ac:dyDescent="0.25">
      <c r="A9" s="5" t="s">
        <v>4</v>
      </c>
      <c r="B9" s="168">
        <v>13.75</v>
      </c>
      <c r="C9" s="169">
        <v>12.75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2.5000000000000001E-2</v>
      </c>
      <c r="P9" s="144">
        <v>0.5</v>
      </c>
      <c r="Q9" s="16">
        <f t="shared" si="1"/>
        <v>1.2500000000000001E-2</v>
      </c>
      <c r="R9" s="157">
        <f t="shared" si="6"/>
        <v>1.473130627948168E-2</v>
      </c>
      <c r="S9" s="176">
        <f t="shared" si="2"/>
        <v>0.98526869372051828</v>
      </c>
      <c r="T9" s="177">
        <f>R9*PRODUCT(S5:S8)*PRODUCT(S10:S19)</f>
        <v>7.5622745016388779E-3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5.7480177884576501E-3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BH9">
        <v>0</v>
      </c>
      <c r="BI9">
        <v>6</v>
      </c>
      <c r="BJ9" s="107">
        <f t="shared" si="0"/>
        <v>4.6924067529567772E-4</v>
      </c>
      <c r="BL9">
        <f>BH38+1</f>
        <v>5</v>
      </c>
      <c r="BM9">
        <v>5</v>
      </c>
      <c r="BN9" s="107">
        <f>$H$30*H44</f>
        <v>7.815998431993253E-3</v>
      </c>
      <c r="BP9">
        <f>BL6+1</f>
        <v>3</v>
      </c>
      <c r="BQ9">
        <v>2</v>
      </c>
      <c r="BR9" s="107">
        <f>$H$28*H41</f>
        <v>7.0344535328669452E-2</v>
      </c>
    </row>
    <row r="10" spans="1:70" x14ac:dyDescent="0.25">
      <c r="A10" s="6" t="s">
        <v>5</v>
      </c>
      <c r="B10" s="168">
        <v>13.75</v>
      </c>
      <c r="C10" s="169">
        <v>13</v>
      </c>
      <c r="E10" s="192" t="s">
        <v>17</v>
      </c>
      <c r="F10" s="167" t="s">
        <v>16</v>
      </c>
      <c r="G10" s="167"/>
      <c r="H10" s="10"/>
      <c r="I10" s="10"/>
      <c r="J10" s="166" t="s">
        <v>144</v>
      </c>
      <c r="K10" s="166"/>
      <c r="L10" s="10"/>
      <c r="M10" s="10"/>
      <c r="O10" s="67">
        <f>COUNTIF(F14:F18,"RAP")*0.085</f>
        <v>8.5000000000000006E-2</v>
      </c>
      <c r="P10" s="16" t="str">
        <f>R3</f>
        <v>0,72</v>
      </c>
      <c r="Q10" s="16">
        <f t="shared" si="1"/>
        <v>6.1200000000000004E-2</v>
      </c>
      <c r="R10" s="157">
        <f t="shared" si="6"/>
        <v>7.2124475544342315E-2</v>
      </c>
      <c r="S10" s="176">
        <f t="shared" si="2"/>
        <v>0.92787552445565769</v>
      </c>
      <c r="T10" s="177">
        <f>R10*PRODUCT(S5:S9)*PRODUCT(S11:S19)</f>
        <v>3.9315048103108166E-2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2.6827030611721786E-2</v>
      </c>
      <c r="W10" s="186" t="s">
        <v>46</v>
      </c>
      <c r="X10" s="15" t="s">
        <v>47</v>
      </c>
      <c r="Y10" s="69">
        <f>COUNTIF(J14:J18,"RAP")*0.085</f>
        <v>0.17</v>
      </c>
      <c r="Z10" s="146" t="str">
        <f>AB3</f>
        <v>0,72</v>
      </c>
      <c r="AA10" s="19">
        <f t="shared" si="3"/>
        <v>0.12240000000000001</v>
      </c>
      <c r="AB10" s="157">
        <f t="shared" si="4"/>
        <v>0.11865639525036961</v>
      </c>
      <c r="AC10" s="176">
        <f t="shared" si="5"/>
        <v>0.88134360474963036</v>
      </c>
      <c r="AD10" s="177">
        <f>AB10*PRODUCT(AC5:AC9)*PRODUCT(AC11:AC19)</f>
        <v>4.3864039602911416E-2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5.9240207837973485E-2</v>
      </c>
      <c r="BH10">
        <v>0</v>
      </c>
      <c r="BI10">
        <v>7</v>
      </c>
      <c r="BJ10" s="107">
        <f t="shared" si="0"/>
        <v>1.0940351914439935E-4</v>
      </c>
      <c r="BL10">
        <f>BH44+1</f>
        <v>6</v>
      </c>
      <c r="BM10">
        <v>6</v>
      </c>
      <c r="BN10" s="107">
        <f>$H$31*H45</f>
        <v>1.0757963088786307E-3</v>
      </c>
      <c r="BP10">
        <f>BP7+1</f>
        <v>4</v>
      </c>
      <c r="BQ10">
        <v>0</v>
      </c>
      <c r="BR10" s="107">
        <f>$H$29*H39</f>
        <v>1.1001242065641872E-2</v>
      </c>
    </row>
    <row r="11" spans="1:70" x14ac:dyDescent="0.25">
      <c r="A11" s="6" t="s">
        <v>6</v>
      </c>
      <c r="B11" s="168">
        <v>13.25</v>
      </c>
      <c r="C11" s="169">
        <v>12.75</v>
      </c>
      <c r="E11" s="192" t="s">
        <v>19</v>
      </c>
      <c r="F11" s="167" t="s">
        <v>123</v>
      </c>
      <c r="G11" s="167"/>
      <c r="H11" s="10"/>
      <c r="I11" s="10"/>
      <c r="J11" s="166" t="s">
        <v>144</v>
      </c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8.5000000000000006E-2</v>
      </c>
      <c r="P11" s="16" t="str">
        <f>R3</f>
        <v>0,72</v>
      </c>
      <c r="Q11" s="16">
        <f t="shared" si="1"/>
        <v>6.1200000000000004E-2</v>
      </c>
      <c r="R11" s="157">
        <f t="shared" si="6"/>
        <v>7.2124475544342315E-2</v>
      </c>
      <c r="S11" s="176">
        <f t="shared" si="2"/>
        <v>0.92787552445565769</v>
      </c>
      <c r="T11" s="177">
        <f>R11*PRODUCT(S5:S10)*PRODUCT(S12:S19)</f>
        <v>3.9315048103108159E-2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2.3771041795656426E-2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0.17</v>
      </c>
      <c r="Z11" s="146" t="str">
        <f>AB3</f>
        <v>0,72</v>
      </c>
      <c r="AA11" s="19">
        <f t="shared" si="3"/>
        <v>0.12240000000000001</v>
      </c>
      <c r="AB11" s="157">
        <f t="shared" si="4"/>
        <v>0.11865639525036961</v>
      </c>
      <c r="AC11" s="176">
        <f t="shared" si="5"/>
        <v>0.88134360474963036</v>
      </c>
      <c r="AD11" s="177">
        <f>AB11*PRODUCT(AC5:AC10)*PRODUCT(AC12:AC19)</f>
        <v>4.3864039602911423E-2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5.3334737153949555E-2</v>
      </c>
      <c r="BH11">
        <v>0</v>
      </c>
      <c r="BI11">
        <v>8</v>
      </c>
      <c r="BJ11" s="107">
        <f t="shared" si="0"/>
        <v>1.9109572691656972E-5</v>
      </c>
      <c r="BL11">
        <f>BH50+1</f>
        <v>7</v>
      </c>
      <c r="BM11">
        <v>7</v>
      </c>
      <c r="BN11" s="107">
        <f>$H$32*H46</f>
        <v>8.3187497781382128E-5</v>
      </c>
      <c r="BP11">
        <f>BP8+1</f>
        <v>4</v>
      </c>
      <c r="BQ11">
        <v>1</v>
      </c>
      <c r="BR11" s="107">
        <f>$H$29*H40</f>
        <v>3.8496676361442411E-2</v>
      </c>
    </row>
    <row r="12" spans="1:70" x14ac:dyDescent="0.25">
      <c r="A12" s="6" t="s">
        <v>7</v>
      </c>
      <c r="B12" s="168">
        <v>9</v>
      </c>
      <c r="C12" s="169">
        <v>12.5</v>
      </c>
      <c r="E12" s="192" t="s">
        <v>19</v>
      </c>
      <c r="F12" s="167" t="s">
        <v>144</v>
      </c>
      <c r="G12" s="167"/>
      <c r="H12" s="10"/>
      <c r="I12" s="10"/>
      <c r="J12" s="166" t="s">
        <v>147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2.4751703825457471E-6</v>
      </c>
      <c r="BL12">
        <f>BH54+1</f>
        <v>8</v>
      </c>
      <c r="BM12">
        <v>8</v>
      </c>
      <c r="BN12" s="107">
        <f>$H$33*H47</f>
        <v>3.6310673849752535E-6</v>
      </c>
      <c r="BP12">
        <f>BP9+1</f>
        <v>4</v>
      </c>
      <c r="BQ12">
        <v>2</v>
      </c>
      <c r="BR12" s="107">
        <f>$H$29*H41</f>
        <v>5.8233137105108898E-2</v>
      </c>
    </row>
    <row r="13" spans="1:70" x14ac:dyDescent="0.25">
      <c r="A13" s="7" t="s">
        <v>8</v>
      </c>
      <c r="B13" s="168">
        <v>11.75</v>
      </c>
      <c r="C13" s="169">
        <v>8.25</v>
      </c>
      <c r="E13" s="192" t="s">
        <v>19</v>
      </c>
      <c r="F13" s="167" t="s">
        <v>131</v>
      </c>
      <c r="G13" s="167"/>
      <c r="H13" s="10"/>
      <c r="I13" s="10"/>
      <c r="J13" s="166" t="s">
        <v>144</v>
      </c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>
        <f t="shared" si="6"/>
        <v>5.8925225117926722E-2</v>
      </c>
      <c r="S13" s="176">
        <f t="shared" si="2"/>
        <v>0.94107477488207325</v>
      </c>
      <c r="T13" s="177">
        <f>R13*PRODUCT(S5:S12)*PRODUCT(S14:S19)</f>
        <v>3.1669629315988809E-2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1.7165407240722907E-2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>
        <f t="shared" si="4"/>
        <v>4.8470749693778438E-2</v>
      </c>
      <c r="AC13" s="176">
        <f t="shared" si="5"/>
        <v>0.9515292503062216</v>
      </c>
      <c r="AD13" s="177">
        <f>AB13*PRODUCT(AC5:AC12)*PRODUCT(AC14:AC19)</f>
        <v>1.6596645812014404E-2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1.9334601921546894E-2</v>
      </c>
      <c r="BH13">
        <v>0</v>
      </c>
      <c r="BI13">
        <v>10</v>
      </c>
      <c r="BJ13" s="107">
        <f t="shared" si="0"/>
        <v>2.3172788200816486E-7</v>
      </c>
      <c r="BL13">
        <f>BH57+1</f>
        <v>9</v>
      </c>
      <c r="BM13">
        <v>9</v>
      </c>
      <c r="BN13" s="107">
        <f>$H$34*H48</f>
        <v>8.7719204658988475E-8</v>
      </c>
      <c r="BP13">
        <f>BL7+1</f>
        <v>4</v>
      </c>
      <c r="BQ13">
        <v>3</v>
      </c>
      <c r="BR13" s="107">
        <f>$H$29*H42</f>
        <v>5.195032570743454E-2</v>
      </c>
    </row>
    <row r="14" spans="1:70" x14ac:dyDescent="0.25">
      <c r="A14" s="7" t="s">
        <v>9</v>
      </c>
      <c r="B14" s="168">
        <v>9.25</v>
      </c>
      <c r="C14" s="169">
        <v>6</v>
      </c>
      <c r="E14" s="192" t="s">
        <v>20</v>
      </c>
      <c r="F14" s="167" t="s">
        <v>144</v>
      </c>
      <c r="G14" s="167"/>
      <c r="H14" s="10"/>
      <c r="I14" s="10"/>
      <c r="J14" s="166" t="s">
        <v>123</v>
      </c>
      <c r="K14" s="166"/>
      <c r="L14" s="10"/>
      <c r="M14" s="10"/>
      <c r="O14" s="67">
        <f>COUNTIF(F6:F18,"CAB")*0.095</f>
        <v>0.28500000000000003</v>
      </c>
      <c r="P14" s="144">
        <v>0.95</v>
      </c>
      <c r="Q14" s="16">
        <f t="shared" si="1"/>
        <v>0.27074999999999999</v>
      </c>
      <c r="R14" s="157">
        <f t="shared" si="6"/>
        <v>0.31908009401357312</v>
      </c>
      <c r="S14" s="176">
        <f t="shared" si="2"/>
        <v>0.68091990598642682</v>
      </c>
      <c r="T14" s="177">
        <f>R14*PRODUCT(S5:S13)*PRODUCT(S15:S19)</f>
        <v>0.23701156777428042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1.7399795512627873E-2</v>
      </c>
      <c r="W14" s="186" t="s">
        <v>54</v>
      </c>
      <c r="X14" s="15" t="s">
        <v>55</v>
      </c>
      <c r="Y14" s="69">
        <f>COUNTIF(J6:J18,"CAB")*0.095</f>
        <v>0.57000000000000006</v>
      </c>
      <c r="Z14" s="147">
        <v>0.95</v>
      </c>
      <c r="AA14" s="19">
        <f t="shared" si="3"/>
        <v>0.54149999999999998</v>
      </c>
      <c r="AB14" s="157">
        <f t="shared" si="4"/>
        <v>0.52493821918362049</v>
      </c>
      <c r="AC14" s="176">
        <f t="shared" si="5"/>
        <v>0.47506178081637951</v>
      </c>
      <c r="AD14" s="177">
        <f>AB14*PRODUCT(AC5:AC13)*PRODUCT(AC15:AC19)</f>
        <v>0.36001519666184656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2.1594098933179189E-2</v>
      </c>
      <c r="BH14">
        <v>1</v>
      </c>
      <c r="BI14">
        <v>2</v>
      </c>
      <c r="BJ14" s="107">
        <f t="shared" ref="BJ14:BJ22" si="7">$H$26*H41</f>
        <v>2.8961168692356185E-2</v>
      </c>
      <c r="BL14">
        <f>BP39+1</f>
        <v>10</v>
      </c>
      <c r="BM14">
        <v>10</v>
      </c>
      <c r="BN14" s="107">
        <f>$H$35*H49</f>
        <v>1.1150853571786875E-9</v>
      </c>
      <c r="BP14">
        <f>BP10+1</f>
        <v>5</v>
      </c>
      <c r="BQ14">
        <v>0</v>
      </c>
      <c r="BR14" s="107">
        <f>$H$30*H39</f>
        <v>6.5504635127342642E-3</v>
      </c>
    </row>
    <row r="15" spans="1:70" x14ac:dyDescent="0.25">
      <c r="A15" s="189" t="s">
        <v>71</v>
      </c>
      <c r="B15" s="170">
        <v>7.75</v>
      </c>
      <c r="C15" s="171">
        <v>10.75</v>
      </c>
      <c r="E15" s="192" t="s">
        <v>20</v>
      </c>
      <c r="F15" s="167" t="s">
        <v>16</v>
      </c>
      <c r="G15" s="167"/>
      <c r="H15" s="10"/>
      <c r="I15" s="10"/>
      <c r="J15" s="166" t="s">
        <v>123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2.5836529186470083E-2</v>
      </c>
      <c r="BP15">
        <f>BP11+1</f>
        <v>5</v>
      </c>
      <c r="BQ15">
        <v>1</v>
      </c>
      <c r="BR15" s="107">
        <f>$H$30*H40</f>
        <v>2.2922054833674377E-2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1.5397115053845683E-2</v>
      </c>
      <c r="BP16">
        <f>BP12+1</f>
        <v>5</v>
      </c>
      <c r="BQ16">
        <v>2</v>
      </c>
      <c r="BR16" s="107">
        <f>$H$30*H41</f>
        <v>3.4673724799710745E-2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2.8284108056604824E-2</v>
      </c>
      <c r="S17" s="176">
        <f t="shared" si="2"/>
        <v>0.97171589194339514</v>
      </c>
      <c r="T17" s="177">
        <f>R17*PRODUCT(S5:S16)*PRODUCT(S18:S19)</f>
        <v>1.4722075631981042E-2</v>
      </c>
      <c r="U17" s="177">
        <f>R17*R18*PRODUCT(S5:S16)*S19+R17*R19*PRODUCT(S5:S16)*S18</f>
        <v>6.5227467821032264E-4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2.3265959853013652E-2</v>
      </c>
      <c r="AC17" s="176">
        <f t="shared" si="5"/>
        <v>0.97673404014698639</v>
      </c>
      <c r="AD17" s="177">
        <f>AB17*PRODUCT(AC5:AC16)*PRODUCT(AC18:AC19)</f>
        <v>7.7608159263796795E-3</v>
      </c>
      <c r="AE17" s="177">
        <f>AB17*AB18*PRODUCT(AC5:AC16)*AC19+AB17*AB19*PRODUCT(AC5:AC16)*AC18</f>
        <v>2.8063822413871642E-4</v>
      </c>
      <c r="BH17">
        <v>1</v>
      </c>
      <c r="BI17">
        <v>5</v>
      </c>
      <c r="BJ17" s="107">
        <f t="shared" si="7"/>
        <v>6.5282991774231408E-3</v>
      </c>
      <c r="BP17">
        <f>BP13+1</f>
        <v>5</v>
      </c>
      <c r="BQ17">
        <v>3</v>
      </c>
      <c r="BR17" s="107">
        <f>$H$30*H42</f>
        <v>3.093275386458429E-2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21</v>
      </c>
      <c r="G18" s="167"/>
      <c r="H18" s="10"/>
      <c r="I18" s="10"/>
      <c r="J18" s="166" t="s">
        <v>144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2.0364974711531165E-3</v>
      </c>
      <c r="BP18">
        <f>BL8+1</f>
        <v>5</v>
      </c>
      <c r="BQ18">
        <v>4</v>
      </c>
      <c r="BR18" s="107">
        <f>$H$30*H43</f>
        <v>1.8434177700412904E-2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0.06</v>
      </c>
      <c r="P19" s="16" t="str">
        <f>P3</f>
        <v>0,6</v>
      </c>
      <c r="Q19" s="16">
        <f t="shared" si="1"/>
        <v>3.5999999999999997E-2</v>
      </c>
      <c r="R19" s="157">
        <f t="shared" si="6"/>
        <v>4.2426162084907237E-2</v>
      </c>
      <c r="S19" s="178">
        <f t="shared" si="2"/>
        <v>0.95757383791509276</v>
      </c>
      <c r="T19" s="179">
        <f>R19*PRODUCT(S5:S18)</f>
        <v>2.2409250787076722E-2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0.06</v>
      </c>
      <c r="Z19" s="146" t="str">
        <f>Z3</f>
        <v>0,6</v>
      </c>
      <c r="AA19" s="19">
        <f t="shared" si="3"/>
        <v>3.5999999999999997E-2</v>
      </c>
      <c r="AB19" s="157">
        <f t="shared" si="4"/>
        <v>3.4898939779520466E-2</v>
      </c>
      <c r="AC19" s="178">
        <f t="shared" si="5"/>
        <v>0.96510106022047948</v>
      </c>
      <c r="AD19" s="179">
        <f>AB19*PRODUCT(AC5:AC18)</f>
        <v>1.1781543001638875E-2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4.7480962713309163E-4</v>
      </c>
      <c r="BP19">
        <f>BP15+1</f>
        <v>6</v>
      </c>
      <c r="BQ19">
        <v>1</v>
      </c>
      <c r="BR19" s="107">
        <f>$H$31*H40</f>
        <v>1.0113822029748126E-2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0.50578490314627267</v>
      </c>
      <c r="T20" s="181">
        <f>SUM(T5:T19)</f>
        <v>0.39200489421718221</v>
      </c>
      <c r="U20" s="181">
        <f>SUM(U5:U19)</f>
        <v>9.156356762739698E-2</v>
      </c>
      <c r="V20" s="181">
        <f>1-S20-T20-U20</f>
        <v>1.0646635009148142E-2</v>
      </c>
      <c r="W20" s="21"/>
      <c r="X20" s="22"/>
      <c r="Y20" s="22"/>
      <c r="Z20" s="22"/>
      <c r="AA20" s="22"/>
      <c r="AB20" s="23"/>
      <c r="AC20" s="184">
        <f>PRODUCT(AC5:AC19)</f>
        <v>0.32580874128982162</v>
      </c>
      <c r="AD20" s="181">
        <f>SUM(AD5:AD19)</f>
        <v>0.48904221204539505</v>
      </c>
      <c r="AE20" s="181">
        <f>SUM(AE5:AE19)</f>
        <v>0.16146671020195394</v>
      </c>
      <c r="AF20" s="181">
        <f>1-AC20-AD20-AE20</f>
        <v>2.3682336462829384E-2</v>
      </c>
      <c r="BH20">
        <v>1</v>
      </c>
      <c r="BI20">
        <v>8</v>
      </c>
      <c r="BJ20" s="107">
        <f t="shared" si="7"/>
        <v>8.2935257982172928E-5</v>
      </c>
      <c r="BP20">
        <f>BP16+1</f>
        <v>6</v>
      </c>
      <c r="BQ20">
        <v>2</v>
      </c>
      <c r="BR20" s="107">
        <f>$H$31*H41</f>
        <v>1.5298972290108787E-2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0.50578490314627267</v>
      </c>
      <c r="T21" s="183">
        <f>T20*V1</f>
        <v>0.39200489421718221</v>
      </c>
      <c r="U21" s="183">
        <f>U20*V1</f>
        <v>9.156356762739698E-2</v>
      </c>
      <c r="V21" s="183">
        <f>V20*V1</f>
        <v>1.0646635009148142E-2</v>
      </c>
      <c r="W21" s="21"/>
      <c r="X21" s="22"/>
      <c r="Y21" s="22"/>
      <c r="Z21" s="22"/>
      <c r="AA21" s="22"/>
      <c r="AB21" s="23"/>
      <c r="AC21" s="185">
        <f>1-AD21-AE21-AF21</f>
        <v>0.32580874128982173</v>
      </c>
      <c r="AD21" s="183">
        <f>AD20*V1</f>
        <v>0.48904221204539505</v>
      </c>
      <c r="AE21" s="183">
        <f>AE20*V1</f>
        <v>0.16146671020195394</v>
      </c>
      <c r="AF21" s="183">
        <f>AF20*V1</f>
        <v>2.3682336462829384E-2</v>
      </c>
      <c r="BH21" s="18">
        <v>1</v>
      </c>
      <c r="BI21">
        <v>9</v>
      </c>
      <c r="BJ21" s="107">
        <f t="shared" si="7"/>
        <v>1.0742202221815651E-5</v>
      </c>
      <c r="BP21">
        <f>BP17+1</f>
        <v>6</v>
      </c>
      <c r="BQ21">
        <v>3</v>
      </c>
      <c r="BR21" s="107">
        <f>$H$31*H42</f>
        <v>1.3648356124548186E-2</v>
      </c>
    </row>
    <row r="22" spans="1:70" x14ac:dyDescent="0.25">
      <c r="A22" s="26" t="s">
        <v>77</v>
      </c>
      <c r="B22" s="62">
        <f>(B6)/((B6)+(C6))</f>
        <v>0.54867256637168138</v>
      </c>
      <c r="C22" s="63">
        <f>1-B22</f>
        <v>0.45132743362831862</v>
      </c>
      <c r="D22" s="24"/>
      <c r="E22" s="24"/>
      <c r="V22" s="59">
        <f>SUM(V25:V35)</f>
        <v>1</v>
      </c>
      <c r="AS22" s="82">
        <f>Y23+AA23+AC23+AE23+AG23+AI23+AK23+AM23+AO23+AQ23+AS23</f>
        <v>1.0000000000000004</v>
      </c>
      <c r="BH22">
        <v>1</v>
      </c>
      <c r="BI22">
        <v>10</v>
      </c>
      <c r="BJ22" s="107">
        <f t="shared" si="7"/>
        <v>1.0056955216167773E-6</v>
      </c>
      <c r="BP22">
        <f>BP18+1</f>
        <v>6</v>
      </c>
      <c r="BQ22">
        <v>4</v>
      </c>
      <c r="BR22" s="107">
        <f>$H$31*H43</f>
        <v>8.1336509261304112E-3</v>
      </c>
    </row>
    <row r="23" spans="1:70" ht="15.75" thickBot="1" x14ac:dyDescent="0.3">
      <c r="A23" s="40" t="s">
        <v>67</v>
      </c>
      <c r="B23" s="56">
        <f>((B22^2.8)/((B22^2.8)+(C22^2.8)))*B21</f>
        <v>3.1670391353272147</v>
      </c>
      <c r="C23" s="57">
        <f>B21-B23</f>
        <v>1.8329608646727853</v>
      </c>
      <c r="D23" s="151">
        <f>SUM(D25:D30)</f>
        <v>1</v>
      </c>
      <c r="E23" s="151">
        <f>SUM(E25:E30)</f>
        <v>1</v>
      </c>
      <c r="H23" s="59">
        <f>SUM(H25:H35)</f>
        <v>0.99998851713157266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0.99999999999999989</v>
      </c>
      <c r="O23" s="34"/>
      <c r="P23" s="59">
        <f>SUM(P25:P35)</f>
        <v>0.99999999999999989</v>
      </c>
      <c r="R23" s="59">
        <f>SUM(R25:R35)</f>
        <v>0.99999999999999989</v>
      </c>
      <c r="T23" s="59">
        <f>SUM(T25:T35)</f>
        <v>1</v>
      </c>
      <c r="V23" s="59">
        <f>SUM(V25:V34)</f>
        <v>0.98900071682670332</v>
      </c>
      <c r="Y23" s="80">
        <f>SUM(Y25:Y35)</f>
        <v>4.3398832161907376E-5</v>
      </c>
      <c r="Z23" s="81"/>
      <c r="AA23" s="80">
        <f>SUM(AA25:AA35)</f>
        <v>7.5029287660345753E-4</v>
      </c>
      <c r="AB23" s="81"/>
      <c r="AC23" s="80">
        <f>SUM(AC25:AC35)</f>
        <v>5.8378390863268546E-3</v>
      </c>
      <c r="AD23" s="81"/>
      <c r="AE23" s="80">
        <f>SUM(AE25:AE35)</f>
        <v>2.6921954489159839E-2</v>
      </c>
      <c r="AF23" s="81"/>
      <c r="AG23" s="80">
        <f>SUM(AG25:AG35)</f>
        <v>8.1496732977526992E-2</v>
      </c>
      <c r="AH23" s="81"/>
      <c r="AI23" s="80">
        <f>SUM(AI25:AI35)</f>
        <v>0.16923163902475749</v>
      </c>
      <c r="AJ23" s="81"/>
      <c r="AK23" s="80">
        <f>SUM(AK25:AK35)</f>
        <v>0.24418741266027763</v>
      </c>
      <c r="AL23" s="81"/>
      <c r="AM23" s="80">
        <f>SUM(AM25:AM35)</f>
        <v>0.24186165545367394</v>
      </c>
      <c r="AN23" s="81"/>
      <c r="AO23" s="80">
        <f>SUM(AO25:AO35)</f>
        <v>0.15754116603005705</v>
      </c>
      <c r="AP23" s="81"/>
      <c r="AQ23" s="80">
        <f>SUM(AQ25:AQ35)</f>
        <v>6.1128625396158411E-2</v>
      </c>
      <c r="AR23" s="81"/>
      <c r="AS23" s="80">
        <f>SUM(AS25:AS35)</f>
        <v>1.0999283173296686E-2</v>
      </c>
      <c r="BH23">
        <f t="shared" ref="BH23:BH30" si="8">BH15+1</f>
        <v>2</v>
      </c>
      <c r="BI23">
        <v>3</v>
      </c>
      <c r="BJ23" s="107">
        <f t="shared" ref="BJ23:BJ30" si="9">$H$27*H42</f>
        <v>5.1580750672025326E-2</v>
      </c>
      <c r="BP23">
        <f>BL9+1</f>
        <v>6</v>
      </c>
      <c r="BQ23">
        <v>5</v>
      </c>
      <c r="BR23" s="107">
        <f>$H$31*H44</f>
        <v>3.4486269969932976E-3</v>
      </c>
    </row>
    <row r="24" spans="1:70" ht="15.75" thickBot="1" x14ac:dyDescent="0.3">
      <c r="A24" s="26" t="s">
        <v>76</v>
      </c>
      <c r="B24" s="64">
        <f>B23/B21</f>
        <v>0.63340782706544296</v>
      </c>
      <c r="C24" s="65">
        <f>C23/B21</f>
        <v>0.36659217293455704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3.073921992110306E-2</v>
      </c>
      <c r="BP24">
        <f>BH49+1</f>
        <v>7</v>
      </c>
      <c r="BQ24">
        <v>0</v>
      </c>
      <c r="BR24" s="107">
        <f t="shared" ref="BR24:BR30" si="10">$H$32*H39</f>
        <v>9.5857514174735509E-4</v>
      </c>
    </row>
    <row r="25" spans="1:70" x14ac:dyDescent="0.25">
      <c r="A25" s="26" t="s">
        <v>69</v>
      </c>
      <c r="B25" s="117">
        <f>1/(1+EXP(-3.1416*4*((B11/(B11+C8))-(3.1416/6))))</f>
        <v>0.42639691249266598</v>
      </c>
      <c r="C25" s="118">
        <f>1/(1+EXP(-3.1416*4*((C11/(C11+B8))-(3.1416/6))))</f>
        <v>0.45737793111358466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2.3950783431186808E-2</v>
      </c>
      <c r="I25" s="97">
        <v>0</v>
      </c>
      <c r="J25" s="98">
        <f t="shared" ref="J25:J35" si="11">Y25+AA25+AC25+AE25+AG25+AI25+AK25+AM25+AO25+AQ25+AS25</f>
        <v>4.735369379789546E-2</v>
      </c>
      <c r="K25" s="97">
        <v>0</v>
      </c>
      <c r="L25" s="98">
        <f>S21</f>
        <v>0.50578490314627267</v>
      </c>
      <c r="M25" s="84">
        <v>0</v>
      </c>
      <c r="N25" s="71">
        <f>(1-$B$24)^$B$21</f>
        <v>6.6208834177770058E-3</v>
      </c>
      <c r="O25" s="70">
        <v>0</v>
      </c>
      <c r="P25" s="71">
        <f>N25</f>
        <v>6.6208834177770058E-3</v>
      </c>
      <c r="Q25" s="12">
        <v>0</v>
      </c>
      <c r="R25" s="73">
        <f>P25*N25</f>
        <v>4.3836097231794527E-5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4.3398832161907376E-5</v>
      </c>
      <c r="W25" s="136">
        <f>B31</f>
        <v>0.41454987780407154</v>
      </c>
      <c r="X25" s="12">
        <v>0</v>
      </c>
      <c r="Y25" s="79">
        <f>V25</f>
        <v>4.3398832161907376E-5</v>
      </c>
      <c r="Z25" s="12">
        <v>0</v>
      </c>
      <c r="AA25" s="78">
        <f>((1-W25)^Z26)*V26</f>
        <v>4.3925905629022894E-4</v>
      </c>
      <c r="AB25" s="12">
        <v>0</v>
      </c>
      <c r="AC25" s="79">
        <f>(((1-$W$25)^AB27))*V27</f>
        <v>2.0009301210330813E-3</v>
      </c>
      <c r="AD25" s="12">
        <v>0</v>
      </c>
      <c r="AE25" s="79">
        <f>(((1-$W$25)^AB28))*V28</f>
        <v>5.4022700337227917E-3</v>
      </c>
      <c r="AF25" s="12">
        <v>0</v>
      </c>
      <c r="AG25" s="79">
        <f>(((1-$W$25)^AB29))*V29</f>
        <v>9.5741406473392552E-3</v>
      </c>
      <c r="AH25" s="12">
        <v>0</v>
      </c>
      <c r="AI25" s="79">
        <f>(((1-$W$25)^AB30))*V30</f>
        <v>1.1639412653782657E-2</v>
      </c>
      <c r="AJ25" s="12">
        <v>0</v>
      </c>
      <c r="AK25" s="79">
        <f>(((1-$W$25)^AB31))*V31</f>
        <v>9.8324711123566645E-3</v>
      </c>
      <c r="AL25" s="12">
        <v>0</v>
      </c>
      <c r="AM25" s="79">
        <f>(((1-$W$25)^AB32))*V32</f>
        <v>5.7015945153098329E-3</v>
      </c>
      <c r="AN25" s="12">
        <v>0</v>
      </c>
      <c r="AO25" s="79">
        <f>(((1-$W$25)^AB33))*V33</f>
        <v>2.1742689476218877E-3</v>
      </c>
      <c r="AP25" s="12">
        <v>0</v>
      </c>
      <c r="AQ25" s="79">
        <f>(((1-$W$25)^AB34))*V34</f>
        <v>4.9391673211489318E-4</v>
      </c>
      <c r="AR25" s="12">
        <v>0</v>
      </c>
      <c r="AS25" s="79">
        <f>(((1-$W$25)^AB35))*V35</f>
        <v>5.2031146162266301E-5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1.3033274312998284E-2</v>
      </c>
      <c r="BP25">
        <f>BP19+1</f>
        <v>7</v>
      </c>
      <c r="BQ25">
        <v>1</v>
      </c>
      <c r="BR25" s="107">
        <f t="shared" si="10"/>
        <v>3.3543446076166905E-3</v>
      </c>
    </row>
    <row r="26" spans="1:70" x14ac:dyDescent="0.25">
      <c r="A26" s="40" t="s">
        <v>24</v>
      </c>
      <c r="B26" s="119">
        <f>1/(1+EXP(-3.1416*4*((B10/(B10+C9))-(3.1416/6))))</f>
        <v>0.48513809087860921</v>
      </c>
      <c r="C26" s="120">
        <f>1/(1+EXP(-3.1416*4*((C10/(C10+B9))-(3.1416/6))))</f>
        <v>0.38396993214444053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0.10394603975670559</v>
      </c>
      <c r="I26" s="93">
        <v>1</v>
      </c>
      <c r="J26" s="86">
        <f t="shared" si="11"/>
        <v>0.16881318421632682</v>
      </c>
      <c r="K26" s="93">
        <v>1</v>
      </c>
      <c r="L26" s="86">
        <f>T21</f>
        <v>0.39200489421718221</v>
      </c>
      <c r="M26" s="85">
        <v>1</v>
      </c>
      <c r="N26" s="71">
        <f>(($B$24)^M26)*((1-($B$24))^($B$21-M26))*HLOOKUP($B$21,$AV$24:$BF$34,M26+1)</f>
        <v>5.7198703198395984E-2</v>
      </c>
      <c r="O26" s="72">
        <v>1</v>
      </c>
      <c r="P26" s="71">
        <f t="shared" ref="P26:P30" si="12">N26</f>
        <v>5.7198703198395984E-2</v>
      </c>
      <c r="Q26" s="28">
        <v>1</v>
      </c>
      <c r="R26" s="37">
        <f>N26*P25+P26*N25</f>
        <v>7.5741189104921709E-4</v>
      </c>
      <c r="S26" s="72">
        <v>1</v>
      </c>
      <c r="T26" s="135">
        <f t="shared" ref="T26:T35" si="13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7.5029287660345753E-4</v>
      </c>
      <c r="W26" s="137"/>
      <c r="X26" s="28">
        <v>1</v>
      </c>
      <c r="Y26" s="73"/>
      <c r="Z26" s="28">
        <v>1</v>
      </c>
      <c r="AA26" s="79">
        <f>(1-((1-W25)^Z26))*V26</f>
        <v>3.1103382031322859E-4</v>
      </c>
      <c r="AB26" s="28">
        <v>1</v>
      </c>
      <c r="AC26" s="79">
        <f>((($W$25)^M26)*((1-($W$25))^($U$27-M26))*HLOOKUP($U$27,$AV$24:$BF$34,M26+1))*V27</f>
        <v>2.833666970834287E-3</v>
      </c>
      <c r="AD26" s="28">
        <v>1</v>
      </c>
      <c r="AE26" s="79">
        <f>((($W$25)^M26)*((1-($W$25))^($U$28-M26))*HLOOKUP($U$28,$AV$24:$BF$34,M26+1))*V28</f>
        <v>1.147583866211014E-2</v>
      </c>
      <c r="AF26" s="28">
        <v>1</v>
      </c>
      <c r="AG26" s="79">
        <f>((($W$25)^M26)*((1-($W$25))^($U$29-M26))*HLOOKUP($U$29,$AV$24:$BF$34,M26+1))*V29</f>
        <v>2.7117314933996849E-2</v>
      </c>
      <c r="AH26" s="28">
        <v>1</v>
      </c>
      <c r="AI26" s="79">
        <f>((($W$25)^M26)*((1-($W$25))^($U$30-M26))*HLOOKUP($U$30,$AV$24:$BF$34,M26+1))*V30</f>
        <v>4.1208609498948702E-2</v>
      </c>
      <c r="AJ26" s="28">
        <v>1</v>
      </c>
      <c r="AK26" s="79">
        <f>((($W$25)^M26)*((1-($W$25))^($U$31-M26))*HLOOKUP($U$31,$AV$24:$BF$34,M26+1))*V31</f>
        <v>4.1773495745641848E-2</v>
      </c>
      <c r="AL26" s="28">
        <v>1</v>
      </c>
      <c r="AM26" s="79">
        <f>((($W$25)^Q26)*((1-($W$25))^($U$32-Q26))*HLOOKUP($U$32,$AV$24:$BF$34,Q26+1))*V32</f>
        <v>2.826059221785137E-2</v>
      </c>
      <c r="AN26" s="28">
        <v>1</v>
      </c>
      <c r="AO26" s="79">
        <f>((($W$25)^Q26)*((1-($W$25))^($U$33-Q26))*HLOOKUP($U$33,$AV$24:$BF$34,Q26+1))*V33</f>
        <v>1.2316580250000455E-2</v>
      </c>
      <c r="AP26" s="28">
        <v>1</v>
      </c>
      <c r="AQ26" s="79">
        <f>((($W$25)^Q26)*((1-($W$25))^($U$34-Q26))*HLOOKUP($U$34,$AV$24:$BF$34,Q26+1))*V34</f>
        <v>3.1476261061840344E-3</v>
      </c>
      <c r="AR26" s="28">
        <v>1</v>
      </c>
      <c r="AS26" s="79">
        <f>((($W$25)^Q26)*((1-($W$25))^($U$35-Q26))*HLOOKUP($U$35,$AV$24:$BF$34,Q26+1))*V35</f>
        <v>3.6842601044593799E-4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4.0657190269491701E-3</v>
      </c>
      <c r="BP26">
        <f>BP20+1</f>
        <v>7</v>
      </c>
      <c r="BQ26">
        <v>2</v>
      </c>
      <c r="BR26" s="107">
        <f t="shared" si="10"/>
        <v>5.0740486684915098E-3</v>
      </c>
    </row>
    <row r="27" spans="1:70" x14ac:dyDescent="0.25">
      <c r="A27" s="26" t="s">
        <v>25</v>
      </c>
      <c r="B27" s="119">
        <f>1/(1+EXP(-3.1416*4*((B12/(B12+C7))-(3.1416/6))))</f>
        <v>0.15247054851327255</v>
      </c>
      <c r="C27" s="120">
        <f>1/(1+EXP(-3.1416*4*((C12/(C12+B7))-(3.1416/6))))</f>
        <v>0.42639691249266598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0.20752070532921274</v>
      </c>
      <c r="I27" s="93">
        <v>2</v>
      </c>
      <c r="J27" s="86">
        <f t="shared" si="11"/>
        <v>0.27088439554300459</v>
      </c>
      <c r="K27" s="93">
        <v>2</v>
      </c>
      <c r="L27" s="86">
        <f>U21</f>
        <v>9.156356762739698E-2</v>
      </c>
      <c r="M27" s="85">
        <v>2</v>
      </c>
      <c r="N27" s="71">
        <f>(($B$24)^M27)*((1-($B$24))^($B$21-M27))*HLOOKUP($B$21,$AV$24:$BF$34,M27+1)</f>
        <v>0.19765891897711027</v>
      </c>
      <c r="O27" s="72">
        <v>2</v>
      </c>
      <c r="P27" s="71">
        <f t="shared" si="12"/>
        <v>0.19765891897711027</v>
      </c>
      <c r="Q27" s="28">
        <v>2</v>
      </c>
      <c r="R27" s="37">
        <f>P25*N27+P26*N26+P27*N25</f>
        <v>5.8890449656407509E-3</v>
      </c>
      <c r="S27" s="72">
        <v>2</v>
      </c>
      <c r="T27" s="135">
        <f t="shared" si="13"/>
        <v>2.5000000000000001E-5</v>
      </c>
      <c r="U27" s="93">
        <v>2</v>
      </c>
      <c r="V27" s="86">
        <f>R27*T25+T26*R26+R25*T27</f>
        <v>5.8378390863268546E-3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1.0032419944594867E-3</v>
      </c>
      <c r="AD27" s="28">
        <v>2</v>
      </c>
      <c r="AE27" s="79">
        <f>((($W$25)^M27)*((1-($W$25))^($U$28-M27))*HLOOKUP($U$28,$AV$24:$BF$34,M27+1))*V28</f>
        <v>8.1258972109068996E-3</v>
      </c>
      <c r="AF27" s="28">
        <v>2</v>
      </c>
      <c r="AG27" s="79">
        <f>((($W$25)^M27)*((1-($W$25))^($U$29-M27))*HLOOKUP($U$29,$AV$24:$BF$34,M27+1))*V29</f>
        <v>2.8802145134323186E-2</v>
      </c>
      <c r="AH27" s="28">
        <v>2</v>
      </c>
      <c r="AI27" s="79">
        <f>((($W$25)^M27)*((1-($W$25))^($U$30-M27))*HLOOKUP($U$30,$AV$24:$BF$34,M27+1))*V30</f>
        <v>5.8358597546070132E-2</v>
      </c>
      <c r="AJ27" s="28">
        <v>2</v>
      </c>
      <c r="AK27" s="79">
        <f>((($W$25)^M27)*((1-($W$25))^($U$31-M27))*HLOOKUP($U$31,$AV$24:$BF$34,M27+1))*V31</f>
        <v>7.3948219072235921E-2</v>
      </c>
      <c r="AL27" s="28">
        <v>2</v>
      </c>
      <c r="AM27" s="79">
        <f>((($W$25)^Q27)*((1-($W$25))^($U$32-Q27))*HLOOKUP($U$32,$AV$24:$BF$34,Q27+1))*V32</f>
        <v>6.0032911121300936E-2</v>
      </c>
      <c r="AN27" s="28">
        <v>2</v>
      </c>
      <c r="AO27" s="79">
        <f>((($W$25)^Q27)*((1-($W$25))^($U$33-Q27))*HLOOKUP($U$33,$AV$24:$BF$34,Q27+1))*V33</f>
        <v>3.052425519116295E-2</v>
      </c>
      <c r="AP27" s="28">
        <v>2</v>
      </c>
      <c r="AQ27" s="79">
        <f>((($W$25)^Q27)*((1-($W$25))^($U$34-Q27))*HLOOKUP($U$34,$AV$24:$BF$34,Q27+1))*V34</f>
        <v>8.9151780363268089E-3</v>
      </c>
      <c r="AR27" s="28">
        <v>2</v>
      </c>
      <c r="AS27" s="79">
        <f>((($W$25)^Q27)*((1-($W$25))^($U$35-Q27))*HLOOKUP($U$35,$AV$24:$BF$34,Q27+1))*V35</f>
        <v>1.1739502362182665E-3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9.4792287373702752E-4</v>
      </c>
      <c r="BP27">
        <f>BP21+1</f>
        <v>7</v>
      </c>
      <c r="BQ27">
        <v>3</v>
      </c>
      <c r="BR27" s="107">
        <f t="shared" si="10"/>
        <v>4.5266062260688779E-3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0.25247723749044509</v>
      </c>
      <c r="I28" s="93">
        <v>3</v>
      </c>
      <c r="J28" s="86">
        <f t="shared" si="11"/>
        <v>0.25767462207001557</v>
      </c>
      <c r="K28" s="93">
        <v>3</v>
      </c>
      <c r="L28" s="86">
        <f>V21</f>
        <v>1.0646635009148142E-2</v>
      </c>
      <c r="M28" s="85">
        <v>3</v>
      </c>
      <c r="N28" s="71">
        <f>(($B$24)^M28)*((1-($B$24))^($B$21-M28))*HLOOKUP($B$21,$AV$24:$BF$34,M28+1)</f>
        <v>0.34152040226932495</v>
      </c>
      <c r="O28" s="72">
        <v>3</v>
      </c>
      <c r="P28" s="71">
        <f t="shared" si="12"/>
        <v>0.34152040226932495</v>
      </c>
      <c r="Q28" s="28">
        <v>3</v>
      </c>
      <c r="R28" s="37">
        <f>P25*N28+P26*N27+P27*N26+P28*N25</f>
        <v>2.7134001218610069E-2</v>
      </c>
      <c r="S28" s="72">
        <v>3</v>
      </c>
      <c r="T28" s="135">
        <f t="shared" si="13"/>
        <v>0</v>
      </c>
      <c r="U28" s="93">
        <v>3</v>
      </c>
      <c r="V28" s="86">
        <f>R28*T25+R27*T26+R26*T27+R25*T28</f>
        <v>2.6921954489159836E-2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1.9179485824200057E-3</v>
      </c>
      <c r="AF28" s="28">
        <v>3</v>
      </c>
      <c r="AG28" s="79">
        <f>((($W$25)^M28)*((1-($W$25))^($U$29-M28))*HLOOKUP($U$29,$AV$24:$BF$34,M28+1))*V29</f>
        <v>1.3596291461054595E-2</v>
      </c>
      <c r="AH28" s="28">
        <v>3</v>
      </c>
      <c r="AI28" s="79">
        <f>((($W$25)^M28)*((1-($W$25))^($U$30-M28))*HLOOKUP($U$30,$AV$24:$BF$34,M28+1))*V30</f>
        <v>4.1322989891603455E-2</v>
      </c>
      <c r="AJ28" s="28">
        <v>3</v>
      </c>
      <c r="AK28" s="79">
        <f>((($W$25)^M28)*((1-($W$25))^($U$31-M28))*HLOOKUP($U$31,$AV$24:$BF$34,M28+1))*V31</f>
        <v>6.9815740101516727E-2</v>
      </c>
      <c r="AL28" s="28">
        <v>3</v>
      </c>
      <c r="AM28" s="79">
        <f>((($W$25)^Q28)*((1-($W$25))^($U$32-Q28))*HLOOKUP($U$32,$AV$24:$BF$34,Q28+1))*V32</f>
        <v>7.0847583839172737E-2</v>
      </c>
      <c r="AN28" s="28">
        <v>3</v>
      </c>
      <c r="AO28" s="79">
        <f>((($W$25)^Q28)*((1-($W$25))^($U$33-Q28))*HLOOKUP($U$33,$AV$24:$BF$34,Q28+1))*V33</f>
        <v>4.3227683383494551E-2</v>
      </c>
      <c r="AP28" s="28">
        <v>3</v>
      </c>
      <c r="AQ28" s="79">
        <f>((($W$25)^Q28)*((1-($W$25))^($U$34-Q28))*HLOOKUP($U$34,$AV$24:$BF$34,Q28+1))*V34</f>
        <v>1.4729693033393228E-2</v>
      </c>
      <c r="AR28" s="28">
        <v>3</v>
      </c>
      <c r="AS28" s="79">
        <f>((($W$25)^Q28)*((1-($W$25))^($U$35-Q28))*HLOOKUP($U$35,$AV$24:$BF$34,Q28+1))*V35</f>
        <v>2.2166917773602168E-3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1.65574208246933E-4</v>
      </c>
      <c r="BP28">
        <f>BP22+1</f>
        <v>7</v>
      </c>
      <c r="BQ28">
        <v>4</v>
      </c>
      <c r="BR28" s="107">
        <f t="shared" si="10"/>
        <v>2.6976021571324307E-3</v>
      </c>
    </row>
    <row r="29" spans="1:70" x14ac:dyDescent="0.25">
      <c r="A29" s="26" t="s">
        <v>27</v>
      </c>
      <c r="B29" s="123">
        <f>1/(1+EXP(-3.1416*4*((B14/(B14+C13))-(3.1416/6))))</f>
        <v>0.51561316231743082</v>
      </c>
      <c r="C29" s="118">
        <f>1/(1+EXP(-3.1416*4*((C14/(C14+B13))-(3.1416/6))))</f>
        <v>8.8509614873740983E-2</v>
      </c>
      <c r="D29" s="153">
        <v>0.04</v>
      </c>
      <c r="E29" s="153">
        <v>0.04</v>
      </c>
      <c r="G29" s="87">
        <v>4</v>
      </c>
      <c r="H29" s="128">
        <f>J29*L25+J28*L26+J27*L27+J26*L28</f>
        <v>0.20900758698605115</v>
      </c>
      <c r="I29" s="93">
        <v>4</v>
      </c>
      <c r="J29" s="86">
        <f t="shared" si="11"/>
        <v>0.16093291730360415</v>
      </c>
      <c r="K29" s="93">
        <v>4</v>
      </c>
      <c r="L29" s="86"/>
      <c r="M29" s="85">
        <v>4</v>
      </c>
      <c r="N29" s="71">
        <f>(($B$24)^M29)*((1-($B$24))^($B$21-M29))*HLOOKUP($B$21,$AV$24:$BF$34,M29+1)</f>
        <v>0.29504407332033544</v>
      </c>
      <c r="O29" s="72">
        <v>4</v>
      </c>
      <c r="P29" s="71">
        <f t="shared" si="12"/>
        <v>0.29504407332033544</v>
      </c>
      <c r="Q29" s="28">
        <v>4</v>
      </c>
      <c r="R29" s="37">
        <f>P25*N29+P26*N28+P27*N27+P28*N26+P29*N25</f>
        <v>8.204500132751967E-2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8.1496732977526978E-2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2.4068408008131089E-3</v>
      </c>
      <c r="AH29" s="28">
        <v>4</v>
      </c>
      <c r="AI29" s="79">
        <f>((($W$25)^M29)*((1-($W$25))^($U$30-M29))*HLOOKUP($U$30,$AV$24:$BF$34,M29+1))*V30</f>
        <v>1.4630145046182236E-2</v>
      </c>
      <c r="AJ29" s="28">
        <v>4</v>
      </c>
      <c r="AK29" s="79">
        <f>((($W$25)^M29)*((1-($W$25))^($U$31-M29))*HLOOKUP($U$31,$AV$24:$BF$34,M29+1))*V31</f>
        <v>3.7076736468164992E-2</v>
      </c>
      <c r="AL29" s="28">
        <v>4</v>
      </c>
      <c r="AM29" s="79">
        <f>((($W$25)^Q29)*((1-($W$25))^($U$32-Q29))*HLOOKUP($U$32,$AV$24:$BF$34,Q29+1))*V32</f>
        <v>5.0166284214069691E-2</v>
      </c>
      <c r="AN29" s="28">
        <v>4</v>
      </c>
      <c r="AO29" s="79">
        <f>((($W$25)^Q29)*((1-($W$25))^($U$33-Q29))*HLOOKUP($U$33,$AV$24:$BF$34,Q29+1))*V33</f>
        <v>3.8261224536869233E-2</v>
      </c>
      <c r="AP29" s="28">
        <v>4</v>
      </c>
      <c r="AQ29" s="79">
        <f>((($W$25)^Q29)*((1-($W$25))^($U$34-Q29))*HLOOKUP($U$34,$AV$24:$BF$34,Q29+1))*V34</f>
        <v>1.564486593028961E-2</v>
      </c>
      <c r="AR29" s="28">
        <v>4</v>
      </c>
      <c r="AS29" s="79">
        <f>((($W$25)^Q29)*((1-($W$25))^($U$35-Q29))*HLOOKUP($U$35,$AV$24:$BF$34,Q29+1))*V35</f>
        <v>2.7468203072152806E-3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2.1446025140331637E-5</v>
      </c>
      <c r="BP29">
        <f>BP23+1</f>
        <v>7</v>
      </c>
      <c r="BQ29">
        <v>5</v>
      </c>
      <c r="BR29" s="107">
        <f t="shared" si="10"/>
        <v>1.1437697180176596E-3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0.12444927257010416</v>
      </c>
      <c r="I30" s="93">
        <v>5</v>
      </c>
      <c r="J30" s="86">
        <f t="shared" si="11"/>
        <v>6.8972336178174928E-2</v>
      </c>
      <c r="K30" s="93">
        <v>5</v>
      </c>
      <c r="L30" s="86"/>
      <c r="M30" s="85">
        <v>5</v>
      </c>
      <c r="N30" s="71">
        <f>(($B$24)^M30)*((1-($B$24))^($B$21-M30))*HLOOKUP($B$21,$AV$24:$BF$34,M30+1)</f>
        <v>0.10195701881705628</v>
      </c>
      <c r="O30" s="72">
        <v>5</v>
      </c>
      <c r="P30" s="71">
        <f t="shared" si="12"/>
        <v>0.10195701881705628</v>
      </c>
      <c r="Q30" s="28">
        <v>5</v>
      </c>
      <c r="R30" s="37">
        <f>P25*N30+P26*N29+P27*N28+P28*N27+P29*N26+P30*N25</f>
        <v>0.17011147487338016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0.16923163902475746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2.0718843881702984E-3</v>
      </c>
      <c r="AJ30" s="28">
        <v>5</v>
      </c>
      <c r="AK30" s="79">
        <f>((($W$25)^M30)*((1-($W$25))^($U$31-M30))*HLOOKUP($U$31,$AV$24:$BF$34,M30+1))*V31</f>
        <v>1.0501428551829894E-2</v>
      </c>
      <c r="AL30" s="28">
        <v>5</v>
      </c>
      <c r="AM30" s="79">
        <f>((($W$25)^Q30)*((1-($W$25))^($U$32-Q30))*HLOOKUP($U$32,$AV$24:$BF$34,Q30+1))*V32</f>
        <v>2.1313269433942093E-2</v>
      </c>
      <c r="AN30" s="28">
        <v>5</v>
      </c>
      <c r="AO30" s="79">
        <f>((($W$25)^Q30)*((1-($W$25))^($U$33-Q30))*HLOOKUP($U$33,$AV$24:$BF$34,Q30+1))*V33</f>
        <v>2.167383400232361E-2</v>
      </c>
      <c r="AP30" s="28">
        <v>5</v>
      </c>
      <c r="AQ30" s="79">
        <f>((($W$25)^Q30)*((1-($W$25))^($U$34-Q30))*HLOOKUP($U$34,$AV$24:$BF$34,Q30+1))*V34</f>
        <v>1.107793305318016E-2</v>
      </c>
      <c r="AR30" s="28">
        <v>5</v>
      </c>
      <c r="AS30" s="79">
        <f>((($W$25)^Q30)*((1-($W$25))^($U$35-Q30))*HLOOKUP($U$35,$AV$24:$BF$34,Q30+1))*V35</f>
        <v>2.3339867487288867E-3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2.0077979351674215E-6</v>
      </c>
      <c r="BP30">
        <f>BL10+1</f>
        <v>7</v>
      </c>
      <c r="BQ30">
        <v>6</v>
      </c>
      <c r="BR30" s="107">
        <f t="shared" si="10"/>
        <v>3.5679800741667222E-4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0.41454987780407154</v>
      </c>
      <c r="C31" s="61">
        <f>(C25*E25)+(C26*E26)+(C27*E27)+(C28*E28)+(C29*E29)+(C30*E30)/(C25+C26+C27+C28+C29+C30)</f>
        <v>0.45302305641616841</v>
      </c>
      <c r="G31" s="87">
        <v>6</v>
      </c>
      <c r="H31" s="128">
        <f>J31*L25+J30*L26+J29*L27+J28*L28</f>
        <v>5.4910338695140767E-2</v>
      </c>
      <c r="I31" s="93">
        <v>6</v>
      </c>
      <c r="J31" s="86">
        <f t="shared" si="11"/>
        <v>2.0550011623013949E-2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0.24493598884902326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0.2441874126602776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1.2393216085315976E-3</v>
      </c>
      <c r="AL31" s="28">
        <v>6</v>
      </c>
      <c r="AM31" s="79">
        <f>((($W$25)^Q31)*((1-($W$25))^($U$32-Q31))*HLOOKUP($U$32,$AV$24:$BF$34,Q31+1))*V32</f>
        <v>5.0305527914747857E-3</v>
      </c>
      <c r="AN31" s="28">
        <v>6</v>
      </c>
      <c r="AO31" s="79">
        <f>((($W$25)^Q31)*((1-($W$25))^($U$33-Q31))*HLOOKUP($U$33,$AV$24:$BF$34,Q31+1))*V33</f>
        <v>7.6734848081576393E-3</v>
      </c>
      <c r="AP31" s="28">
        <v>6</v>
      </c>
      <c r="AQ31" s="79">
        <f>((($W$25)^Q31)*((1-($W$25))^($U$34-Q31))*HLOOKUP($U$34,$AV$24:$BF$34,Q31+1))*V34</f>
        <v>5.2294301648246732E-3</v>
      </c>
      <c r="AR31" s="28">
        <v>6</v>
      </c>
      <c r="AS31" s="79">
        <f>((($W$25)^Q31)*((1-($W$25))^($U$35-Q31))*HLOOKUP($U$35,$AV$24:$BF$34,Q31+1))*V35</f>
        <v>1.3772222500252511E-3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3.7398452920537791E-2</v>
      </c>
      <c r="BP31">
        <f t="shared" ref="BP31:BP37" si="17">BP24+1</f>
        <v>8</v>
      </c>
      <c r="BQ31">
        <v>0</v>
      </c>
      <c r="BR31" s="107">
        <f t="shared" ref="BR31:BR38" si="18">$H$33*H39</f>
        <v>2.3954258169545106E-4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1.8211532491148506E-2</v>
      </c>
      <c r="I32" s="93">
        <v>7</v>
      </c>
      <c r="J32" s="86">
        <f t="shared" si="11"/>
        <v>4.2055034579257349E-3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0.24183256945809881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0.24186165545367388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5.0886732055249327E-4</v>
      </c>
      <c r="AN32" s="28">
        <v>7</v>
      </c>
      <c r="AO32" s="79">
        <f>((($W$25)^Q32)*((1-($W$25))^($U$33-Q32))*HLOOKUP($U$33,$AV$24:$BF$34,Q32+1))*V33</f>
        <v>1.5524280592959215E-3</v>
      </c>
      <c r="AP32" s="28">
        <v>7</v>
      </c>
      <c r="AQ32" s="79">
        <f>((($W$25)^Q32)*((1-($W$25))^($U$34-Q32))*HLOOKUP($U$34,$AV$24:$BF$34,Q32+1))*V34</f>
        <v>1.5869544916616862E-3</v>
      </c>
      <c r="AR32" s="28">
        <v>7</v>
      </c>
      <c r="AS32" s="79">
        <f>((($W$25)^Q32)*((1-($W$25))^($U$35-Q32))*HLOOKUP($U$35,$AV$24:$BF$34,Q32+1))*V35</f>
        <v>5.5725358641563378E-4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1.5856755540516979E-2</v>
      </c>
      <c r="BP32">
        <f t="shared" si="17"/>
        <v>8</v>
      </c>
      <c r="BQ32">
        <v>1</v>
      </c>
      <c r="BR32" s="107">
        <f t="shared" si="18"/>
        <v>8.3823200937594507E-4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4.550960399002376E-3</v>
      </c>
      <c r="I33" s="93">
        <v>8</v>
      </c>
      <c r="J33" s="86">
        <f t="shared" si="11"/>
        <v>5.6630158603299704E-4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0.15669180936261987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0.15754116603005702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1.3740685113081269E-4</v>
      </c>
      <c r="AP33" s="28">
        <v>8</v>
      </c>
      <c r="AQ33" s="79">
        <f>((($W$25)^Q33)*((1-($W$25))^($U$34-Q33))*HLOOKUP($U$34,$AV$24:$BF$34,Q33+1))*V34</f>
        <v>2.8092563553125757E-4</v>
      </c>
      <c r="AR33" s="28">
        <v>8</v>
      </c>
      <c r="AS33" s="79">
        <f>((($W$25)^Q33)*((1-($W$25))^($U$35-Q33))*HLOOKUP($U$35,$AV$24:$BF$34,Q33+1))*V35</f>
        <v>1.4796909937092687E-4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4.9465016356224096E-3</v>
      </c>
      <c r="BP33">
        <f t="shared" si="17"/>
        <v>8</v>
      </c>
      <c r="BQ33">
        <v>2</v>
      </c>
      <c r="BR33" s="107">
        <f t="shared" si="18"/>
        <v>1.267976462943966E-3</v>
      </c>
    </row>
    <row r="34" spans="1:70" x14ac:dyDescent="0.25">
      <c r="A34" s="40" t="s">
        <v>86</v>
      </c>
      <c r="B34" s="56">
        <f>B23*2</f>
        <v>6.3340782706544294</v>
      </c>
      <c r="C34" s="57">
        <f>C23*2</f>
        <v>3.6659217293455706</v>
      </c>
      <c r="G34" s="87">
        <v>9</v>
      </c>
      <c r="H34" s="128">
        <f>J34*L25+J33*L26+J32*L27+J31*L28</f>
        <v>8.4880769758667531E-4</v>
      </c>
      <c r="I34" s="93">
        <v>9</v>
      </c>
      <c r="J34" s="86">
        <f t="shared" si="11"/>
        <v>4.5385559464064919E-5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6.0163628270764748E-2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6.112862539615839E-2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2.2102212652055002E-5</v>
      </c>
      <c r="AR34" s="28">
        <v>9</v>
      </c>
      <c r="AS34" s="79">
        <f>((($W$25)^Q34)*((1-($W$25))^($U$35-Q34))*HLOOKUP($U$35,$AV$24:$BF$34,Q34+1))*V35</f>
        <v>2.3283346812009917E-5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1.1532774434987346E-3</v>
      </c>
      <c r="BP34">
        <f t="shared" si="17"/>
        <v>8</v>
      </c>
      <c r="BQ34">
        <v>3</v>
      </c>
      <c r="BR34" s="107">
        <f t="shared" si="18"/>
        <v>1.1311736498139098E-3</v>
      </c>
    </row>
    <row r="35" spans="1:70" ht="15.75" thickBot="1" x14ac:dyDescent="0.3">
      <c r="G35" s="88">
        <v>10</v>
      </c>
      <c r="H35" s="129">
        <f>J35*L25+J34*L26+J33*L27+J32*L28</f>
        <v>1.1525228498887895E-4</v>
      </c>
      <c r="I35" s="94">
        <v>10</v>
      </c>
      <c r="J35" s="89">
        <f t="shared" si="11"/>
        <v>1.6486645420082987E-6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1.0395233686061569E-2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1.0999283173296681E-2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1.6486645420082987E-6</v>
      </c>
      <c r="BH35">
        <f t="shared" si="15"/>
        <v>3</v>
      </c>
      <c r="BI35">
        <v>8</v>
      </c>
      <c r="BJ35" s="107">
        <f t="shared" si="16"/>
        <v>2.0144360357457109E-4</v>
      </c>
      <c r="BP35">
        <f t="shared" si="17"/>
        <v>8</v>
      </c>
      <c r="BQ35">
        <v>4</v>
      </c>
      <c r="BR35" s="107">
        <f t="shared" si="18"/>
        <v>6.741157338263548E-4</v>
      </c>
    </row>
    <row r="36" spans="1:70" x14ac:dyDescent="0.25">
      <c r="A36" s="1"/>
      <c r="B36" s="108">
        <f>SUM(B37:B39)</f>
        <v>0.99987261764860436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1.0000000000000004</v>
      </c>
      <c r="BH36">
        <f t="shared" si="15"/>
        <v>3</v>
      </c>
      <c r="BI36">
        <v>9</v>
      </c>
      <c r="BJ36" s="107">
        <f t="shared" si="16"/>
        <v>2.6092014163077094E-5</v>
      </c>
      <c r="BP36">
        <f t="shared" si="17"/>
        <v>8</v>
      </c>
      <c r="BQ36">
        <v>5</v>
      </c>
      <c r="BR36" s="107">
        <f t="shared" si="18"/>
        <v>2.858216734262442E-4</v>
      </c>
    </row>
    <row r="37" spans="1:70" ht="15.75" thickBot="1" x14ac:dyDescent="0.3">
      <c r="A37" s="109" t="s">
        <v>104</v>
      </c>
      <c r="B37" s="107">
        <f>SUM(BN4:BN14)</f>
        <v>0.18091832206638853</v>
      </c>
      <c r="G37" s="13"/>
      <c r="H37" s="59">
        <f>SUM(H39:H49)</f>
        <v>0.9999993516047605</v>
      </c>
      <c r="I37" s="13"/>
      <c r="J37" s="59">
        <f>SUM(J39:J49)</f>
        <v>1.0000000000000002</v>
      </c>
      <c r="K37" s="59"/>
      <c r="L37" s="59">
        <f>SUM(L39:L49)</f>
        <v>1.0000000000000002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0.99994441583775628</v>
      </c>
      <c r="W37" s="13"/>
      <c r="X37" s="13"/>
      <c r="Y37" s="80">
        <f>SUM(Y39:Y49)</f>
        <v>1.024008352389289E-2</v>
      </c>
      <c r="Z37" s="81"/>
      <c r="AA37" s="80">
        <f>SUM(AA39:AA49)</f>
        <v>5.9420051716820702E-2</v>
      </c>
      <c r="AB37" s="81"/>
      <c r="AC37" s="80">
        <f>SUM(AC39:AC49)</f>
        <v>0.15524739270690188</v>
      </c>
      <c r="AD37" s="81"/>
      <c r="AE37" s="80">
        <f>SUM(AE39:AE49)</f>
        <v>0.2405546112684929</v>
      </c>
      <c r="AF37" s="81"/>
      <c r="AG37" s="80">
        <f>SUM(AG39:AG49)</f>
        <v>0.24488329358884658</v>
      </c>
      <c r="AH37" s="81"/>
      <c r="AI37" s="80">
        <f>SUM(AI39:AI49)</f>
        <v>0.17122799747433645</v>
      </c>
      <c r="AJ37" s="81"/>
      <c r="AK37" s="80">
        <f>SUM(AK39:AK49)</f>
        <v>8.3364997197993118E-2</v>
      </c>
      <c r="AL37" s="81"/>
      <c r="AM37" s="80">
        <f>SUM(AM39:AM49)</f>
        <v>2.7960147081072365E-2</v>
      </c>
      <c r="AN37" s="81"/>
      <c r="AO37" s="80">
        <f>SUM(AO39:AO49)</f>
        <v>6.2102441989031858E-3</v>
      </c>
      <c r="AP37" s="81"/>
      <c r="AQ37" s="80">
        <f>SUM(AQ39:AQ49)</f>
        <v>8.3559708049655353E-4</v>
      </c>
      <c r="AR37" s="81"/>
      <c r="AS37" s="80">
        <f>SUM(AS39:AS49)</f>
        <v>5.5584162243715894E-5</v>
      </c>
      <c r="BH37">
        <f t="shared" si="15"/>
        <v>3</v>
      </c>
      <c r="BI37">
        <v>10</v>
      </c>
      <c r="BJ37" s="107">
        <f t="shared" si="16"/>
        <v>2.4427599901701499E-6</v>
      </c>
      <c r="BP37">
        <f t="shared" si="17"/>
        <v>8</v>
      </c>
      <c r="BQ37">
        <v>6</v>
      </c>
      <c r="BR37" s="107">
        <f t="shared" si="18"/>
        <v>8.9161832096527107E-5</v>
      </c>
    </row>
    <row r="38" spans="1:70" ht="15.75" thickBot="1" x14ac:dyDescent="0.3">
      <c r="A38" s="110" t="s">
        <v>105</v>
      </c>
      <c r="B38" s="107">
        <f>SUM(BJ4:BJ59)</f>
        <v>0.28685489968290068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1.3126657459869328E-2</v>
      </c>
      <c r="BP38">
        <f>BL11+1</f>
        <v>8</v>
      </c>
      <c r="BQ38">
        <v>7</v>
      </c>
      <c r="BR38" s="107">
        <f t="shared" si="18"/>
        <v>2.0788091736880121E-5</v>
      </c>
    </row>
    <row r="39" spans="1:70" x14ac:dyDescent="0.25">
      <c r="A39" s="111" t="s">
        <v>0</v>
      </c>
      <c r="B39" s="107">
        <f>SUM(BR4:BR47)</f>
        <v>0.53209939589931521</v>
      </c>
      <c r="G39" s="130">
        <v>0</v>
      </c>
      <c r="H39" s="131">
        <f>L39*J39</f>
        <v>5.2635611100452909E-2</v>
      </c>
      <c r="I39" s="97">
        <v>0</v>
      </c>
      <c r="J39" s="98">
        <f t="shared" ref="J39:J49" si="33">Y39+AA39+AC39+AE39+AG39+AI39+AK39+AM39+AO39+AQ39+AS39</f>
        <v>0.16155371059744261</v>
      </c>
      <c r="K39" s="102">
        <v>0</v>
      </c>
      <c r="L39" s="98">
        <f>AC21</f>
        <v>0.32580874128982173</v>
      </c>
      <c r="M39" s="84">
        <v>0</v>
      </c>
      <c r="N39" s="71">
        <f>(1-$C$24)^$B$21</f>
        <v>0.10195701881705628</v>
      </c>
      <c r="O39" s="70">
        <v>0</v>
      </c>
      <c r="P39" s="71">
        <f>N39</f>
        <v>0.10195701881705628</v>
      </c>
      <c r="Q39" s="12">
        <v>0</v>
      </c>
      <c r="R39" s="73">
        <f>P39*N39</f>
        <v>1.0395233686061569E-2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1.024008352389289E-2</v>
      </c>
      <c r="W39" s="136">
        <f>C31</f>
        <v>0.45302305641616841</v>
      </c>
      <c r="X39" s="12">
        <v>0</v>
      </c>
      <c r="Y39" s="79">
        <f>V39</f>
        <v>1.024008352389289E-2</v>
      </c>
      <c r="Z39" s="12">
        <v>0</v>
      </c>
      <c r="AA39" s="78">
        <f>((1-W39)^Z40)*V40</f>
        <v>3.2501398275659794E-2</v>
      </c>
      <c r="AB39" s="12">
        <v>0</v>
      </c>
      <c r="AC39" s="79">
        <f>(((1-$W$39)^AB41))*V41</f>
        <v>4.6447501290314795E-2</v>
      </c>
      <c r="AD39" s="12">
        <v>0</v>
      </c>
      <c r="AE39" s="79">
        <f>(((1-$W$39)^AB42))*V42</f>
        <v>3.9365950938394158E-2</v>
      </c>
      <c r="AF39" s="12">
        <v>0</v>
      </c>
      <c r="AG39" s="79">
        <f>(((1-$W$39)^AB43))*V43</f>
        <v>2.1919731915712524E-2</v>
      </c>
      <c r="AH39" s="12">
        <v>0</v>
      </c>
      <c r="AI39" s="79">
        <f>(((1-$W$39)^AB44))*V44</f>
        <v>8.3833940164692589E-3</v>
      </c>
      <c r="AJ39" s="12">
        <v>0</v>
      </c>
      <c r="AK39" s="79">
        <f>(((1-$W$39)^AB45))*V45</f>
        <v>2.2325328647069616E-3</v>
      </c>
      <c r="AL39" s="12">
        <v>0</v>
      </c>
      <c r="AM39" s="79">
        <f>(((1-$W$39)^AB46))*V46</f>
        <v>4.0956477025996026E-4</v>
      </c>
      <c r="AN39" s="12">
        <v>0</v>
      </c>
      <c r="AO39" s="79">
        <f>(((1-$W$39)^AB47))*V47</f>
        <v>4.9757762058244441E-5</v>
      </c>
      <c r="AP39" s="12">
        <v>0</v>
      </c>
      <c r="AQ39" s="79">
        <f>(((1-$W$39)^AB48))*V48</f>
        <v>3.6619979363239532E-6</v>
      </c>
      <c r="AR39" s="12">
        <v>0</v>
      </c>
      <c r="AS39" s="79">
        <f>(((1-$W$39)^AB49))*V49</f>
        <v>1.3324203771141977E-7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4.0948498215532042E-3</v>
      </c>
      <c r="BP39">
        <f t="shared" ref="BP39:BP46" si="34">BP31+1</f>
        <v>9</v>
      </c>
      <c r="BQ39">
        <v>0</v>
      </c>
      <c r="BR39" s="107">
        <f t="shared" ref="BR39:BR47" si="35">$H$34*H39</f>
        <v>4.4677511869243083E-5</v>
      </c>
    </row>
    <row r="40" spans="1:70" x14ac:dyDescent="0.25">
      <c r="G40" s="91">
        <v>1</v>
      </c>
      <c r="H40" s="132">
        <f>L39*J40+L40*J39</f>
        <v>0.18418793746473719</v>
      </c>
      <c r="I40" s="93">
        <v>1</v>
      </c>
      <c r="J40" s="86">
        <f t="shared" si="33"/>
        <v>0.32283158841480764</v>
      </c>
      <c r="K40" s="95">
        <v>1</v>
      </c>
      <c r="L40" s="86">
        <f>AD21</f>
        <v>0.48904221204539505</v>
      </c>
      <c r="M40" s="85">
        <v>1</v>
      </c>
      <c r="N40" s="71">
        <f>(($C$24)^M26)*((1-($C$24))^($B$21-M26))*HLOOKUP($B$21,$AV$24:$BF$34,M26+1)</f>
        <v>0.29504407332033544</v>
      </c>
      <c r="O40" s="72">
        <v>1</v>
      </c>
      <c r="P40" s="71">
        <f t="shared" ref="P40:P44" si="36">N40</f>
        <v>0.29504407332033544</v>
      </c>
      <c r="Q40" s="28">
        <v>1</v>
      </c>
      <c r="R40" s="37">
        <f>P40*N39+P39*N40</f>
        <v>6.0163628270764748E-2</v>
      </c>
      <c r="S40" s="72">
        <v>1</v>
      </c>
      <c r="T40" s="135">
        <f t="shared" ref="T40:T49" si="37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5.9420051716820695E-2</v>
      </c>
      <c r="W40" s="137"/>
      <c r="X40" s="28">
        <v>1</v>
      </c>
      <c r="Y40" s="73"/>
      <c r="Z40" s="28">
        <v>1</v>
      </c>
      <c r="AA40" s="79">
        <f>(1-((1-W39)^Z40))*V40</f>
        <v>2.6918653441160904E-2</v>
      </c>
      <c r="AB40" s="28">
        <v>1</v>
      </c>
      <c r="AC40" s="79">
        <f>((($W$39)^M40)*((1-($W$39))^($U$27-M40))*HLOOKUP($U$27,$AV$24:$BF$34,M40+1))*V41</f>
        <v>7.6938486143730458E-2</v>
      </c>
      <c r="AD40" s="28">
        <v>1</v>
      </c>
      <c r="AE40" s="79">
        <f>((($W$39)^M40)*((1-($W$39))^($U$28-M40))*HLOOKUP($U$28,$AV$24:$BF$34,M40+1))*V42</f>
        <v>9.7812258571591898E-2</v>
      </c>
      <c r="AF40" s="28">
        <v>1</v>
      </c>
      <c r="AG40" s="79">
        <f>((($W$39)^M40)*((1-($W$39))^($U$29-M40))*HLOOKUP($U$29,$AV$24:$BF$34,M40+1))*V43</f>
        <v>7.2618373149084633E-2</v>
      </c>
      <c r="AH40" s="28">
        <v>1</v>
      </c>
      <c r="AI40" s="79">
        <f>((($W$39)^M40)*((1-($W$39))^($U$30-M40))*HLOOKUP($U$30,$AV$24:$BF$34,M40+1))*V44</f>
        <v>3.4716918373176794E-2</v>
      </c>
      <c r="AJ40" s="28">
        <v>1</v>
      </c>
      <c r="AK40" s="79">
        <f>((($W$39)^M40)*((1-($W$39))^($U$31-M40))*HLOOKUP($U$31,$AV$24:$BF$34,M40+1))*V45</f>
        <v>1.1094312553202708E-2</v>
      </c>
      <c r="AL40" s="28">
        <v>1</v>
      </c>
      <c r="AM40" s="79">
        <f>((($W$39)^Q40)*((1-($W$39))^($U$32-Q40))*HLOOKUP($U$32,$AV$24:$BF$34,Q40+1))*V46</f>
        <v>2.3744986025463306E-3</v>
      </c>
      <c r="AN40" s="28">
        <v>1</v>
      </c>
      <c r="AO40" s="79">
        <f>((($W$39)^Q40)*((1-($W$39))^($U$33-Q40))*HLOOKUP($U$33,$AV$24:$BF$34,Q40+1))*V47</f>
        <v>3.2968721936045678E-4</v>
      </c>
      <c r="AP40" s="28">
        <v>1</v>
      </c>
      <c r="AQ40" s="79">
        <f>((($W$39)^Q40)*((1-($W$39))^($U$34-Q40))*HLOOKUP($U$34,$AV$24:$BF$34,Q40+1))*V48</f>
        <v>2.7296809590366711E-5</v>
      </c>
      <c r="AR40" s="28">
        <v>1</v>
      </c>
      <c r="AS40" s="79">
        <f>((($W$39)^Q40)*((1-($W$39))^($U$35-Q40))*HLOOKUP($U$35,$AV$24:$BF$34,Q40+1))*V49</f>
        <v>1.1035513630913133E-6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9.5471472195680484E-4</v>
      </c>
      <c r="BP40">
        <f t="shared" si="34"/>
        <v>9</v>
      </c>
      <c r="BQ40">
        <v>1</v>
      </c>
      <c r="BR40" s="107">
        <f t="shared" si="35"/>
        <v>1.5634013912268211E-4</v>
      </c>
    </row>
    <row r="41" spans="1:70" x14ac:dyDescent="0.25">
      <c r="G41" s="91">
        <v>2</v>
      </c>
      <c r="H41" s="132">
        <f>L39*J41+J40*L40+J39*L41</f>
        <v>0.27861733607304545</v>
      </c>
      <c r="I41" s="93">
        <v>2</v>
      </c>
      <c r="J41" s="86">
        <f t="shared" si="33"/>
        <v>0.29051865033066487</v>
      </c>
      <c r="K41" s="95">
        <v>2</v>
      </c>
      <c r="L41" s="86">
        <f>AE21</f>
        <v>0.16146671020195394</v>
      </c>
      <c r="M41" s="85">
        <v>2</v>
      </c>
      <c r="N41" s="71">
        <f>(($C$24)^M27)*((1-($C$24))^($B$21-M27))*HLOOKUP($B$21,$AV$24:$BF$34,M27+1)</f>
        <v>0.34152040226932495</v>
      </c>
      <c r="O41" s="72">
        <v>2</v>
      </c>
      <c r="P41" s="71">
        <f t="shared" si="36"/>
        <v>0.34152040226932495</v>
      </c>
      <c r="Q41" s="28">
        <v>2</v>
      </c>
      <c r="R41" s="37">
        <f>P41*N39+P40*N40+P39*N41</f>
        <v>0.15669180936261987</v>
      </c>
      <c r="S41" s="72">
        <v>2</v>
      </c>
      <c r="T41" s="135">
        <f t="shared" si="37"/>
        <v>7.4625000000000011E-5</v>
      </c>
      <c r="U41" s="93">
        <v>2</v>
      </c>
      <c r="V41" s="86">
        <f>R41*T39+T40*R40+R39*T41</f>
        <v>0.15524739270690188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3.1861405272856635E-2</v>
      </c>
      <c r="AD41" s="28">
        <v>2</v>
      </c>
      <c r="AE41" s="79">
        <f>((($W$39)^M41)*((1-($W$39))^($U$28-M41))*HLOOKUP($U$28,$AV$24:$BF$34,M41+1))*V42</f>
        <v>8.1011108151544664E-2</v>
      </c>
      <c r="AF41" s="28">
        <v>2</v>
      </c>
      <c r="AG41" s="79">
        <f>((($W$39)^M41)*((1-($W$39))^($U$29-M41))*HLOOKUP($U$29,$AV$24:$BF$34,M41+1))*V43</f>
        <v>9.0217140983364238E-2</v>
      </c>
      <c r="AH41" s="28">
        <v>2</v>
      </c>
      <c r="AI41" s="79">
        <f>((($W$39)^M41)*((1-($W$39))^($U$30-M41))*HLOOKUP($U$30,$AV$24:$BF$34,M41+1))*V44</f>
        <v>5.7507230077081757E-2</v>
      </c>
      <c r="AJ41" s="28">
        <v>2</v>
      </c>
      <c r="AK41" s="79">
        <f>((($W$39)^M41)*((1-($W$39))^($U$31-M41))*HLOOKUP($U$31,$AV$24:$BF$34,M41+1))*V45</f>
        <v>2.297162357867218E-2</v>
      </c>
      <c r="AL41" s="28">
        <v>2</v>
      </c>
      <c r="AM41" s="79">
        <f>((($W$39)^Q41)*((1-($W$39))^($U$32-Q41))*HLOOKUP($U$32,$AV$24:$BF$34,Q41+1))*V46</f>
        <v>5.899897392383926E-3</v>
      </c>
      <c r="AN41" s="28">
        <v>2</v>
      </c>
      <c r="AO41" s="79">
        <f>((($W$39)^Q41)*((1-($W$39))^($U$33-Q41))*HLOOKUP($U$33,$AV$24:$BF$34,Q41+1))*V47</f>
        <v>9.5569968231386487E-4</v>
      </c>
      <c r="AP41" s="28">
        <v>2</v>
      </c>
      <c r="AQ41" s="79">
        <f>((($W$39)^Q41)*((1-($W$39))^($U$34-Q41))*HLOOKUP($U$34,$AV$24:$BF$34,Q41+1))*V48</f>
        <v>9.0432214784152694E-5</v>
      </c>
      <c r="AR41" s="28">
        <v>2</v>
      </c>
      <c r="AS41" s="79">
        <f>((($W$39)^Q41)*((1-($W$39))^($U$35-Q41))*HLOOKUP($U$35,$AV$24:$BF$34,Q41+1))*V49</f>
        <v>4.1129776634626149E-6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1.6676054410049205E-4</v>
      </c>
      <c r="BP41">
        <f t="shared" si="34"/>
        <v>9</v>
      </c>
      <c r="BQ41">
        <v>2</v>
      </c>
      <c r="BR41" s="107">
        <f t="shared" si="35"/>
        <v>2.3649253953989465E-4</v>
      </c>
    </row>
    <row r="42" spans="1:70" ht="15" customHeight="1" x14ac:dyDescent="0.25">
      <c r="G42" s="91">
        <v>3</v>
      </c>
      <c r="H42" s="132">
        <f>J42*L39+J41*L40+L42*J39+L41*J40</f>
        <v>0.248557128746248</v>
      </c>
      <c r="I42" s="93">
        <v>3</v>
      </c>
      <c r="J42" s="86">
        <f t="shared" si="33"/>
        <v>0.15508706514829809</v>
      </c>
      <c r="K42" s="95">
        <v>3</v>
      </c>
      <c r="L42" s="86">
        <f>AF21</f>
        <v>2.3682336462829384E-2</v>
      </c>
      <c r="M42" s="85">
        <v>3</v>
      </c>
      <c r="N42" s="71">
        <f>(($C$24)^M28)*((1-($C$24))^($B$21-M28))*HLOOKUP($B$21,$AV$24:$BF$34,M28+1)</f>
        <v>0.19765891897711027</v>
      </c>
      <c r="O42" s="72">
        <v>3</v>
      </c>
      <c r="P42" s="71">
        <f t="shared" si="36"/>
        <v>0.19765891897711027</v>
      </c>
      <c r="Q42" s="28">
        <v>3</v>
      </c>
      <c r="R42" s="37">
        <f>P42*N39+P41*N40+P40*N41+P39*N42</f>
        <v>0.24183256945809881</v>
      </c>
      <c r="S42" s="72">
        <v>3</v>
      </c>
      <c r="T42" s="135">
        <f t="shared" si="37"/>
        <v>1.2500000000000002E-7</v>
      </c>
      <c r="U42" s="93">
        <v>3</v>
      </c>
      <c r="V42" s="86">
        <f>R42*T39+R41*T40+R40*T41+R39*T42</f>
        <v>0.24055461126849284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2.2365293606962173E-2</v>
      </c>
      <c r="AF42" s="28">
        <v>3</v>
      </c>
      <c r="AG42" s="79">
        <f>((($W$39)^M42)*((1-($W$39))^($U$29-M42))*HLOOKUP($U$29,$AV$24:$BF$34,M42+1))*V43</f>
        <v>4.9813732771045144E-2</v>
      </c>
      <c r="AH42" s="28">
        <v>3</v>
      </c>
      <c r="AI42" s="79">
        <f>((($W$39)^M42)*((1-($W$39))^($U$30-M42))*HLOOKUP($U$30,$AV$24:$BF$34,M42+1))*V44</f>
        <v>4.7629249168808049E-2</v>
      </c>
      <c r="AJ42" s="28">
        <v>3</v>
      </c>
      <c r="AK42" s="79">
        <f>((($W$39)^M42)*((1-($W$39))^($U$31-M42))*HLOOKUP($U$31,$AV$24:$BF$34,M42+1))*V45</f>
        <v>2.5367736237086505E-2</v>
      </c>
      <c r="AL42" s="28">
        <v>3</v>
      </c>
      <c r="AM42" s="79">
        <f>((($W$39)^Q42)*((1-($W$39))^($U$32-Q42))*HLOOKUP($U$32,$AV$24:$BF$34,Q42+1))*V46</f>
        <v>8.1441261848175968E-3</v>
      </c>
      <c r="AN42" s="28">
        <v>3</v>
      </c>
      <c r="AO42" s="79">
        <f>((($W$39)^Q42)*((1-($W$39))^($U$33-Q42))*HLOOKUP($U$33,$AV$24:$BF$34,Q42+1))*V47</f>
        <v>1.5830794923860703E-3</v>
      </c>
      <c r="AP42" s="28">
        <v>3</v>
      </c>
      <c r="AQ42" s="79">
        <f>((($W$39)^Q42)*((1-($W$39))^($U$34-Q42))*HLOOKUP($U$34,$AV$24:$BF$34,Q42+1))*V48</f>
        <v>1.7476370301889433E-4</v>
      </c>
      <c r="AR42" s="28">
        <v>3</v>
      </c>
      <c r="AS42" s="79">
        <f>((($W$39)^Q42)*((1-($W$39))^($U$35-Q42))*HLOOKUP($U$35,$AV$24:$BF$34,Q42+1))*V49</f>
        <v>9.0839841736409742E-6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2.1599685476743216E-5</v>
      </c>
      <c r="BP42">
        <f t="shared" si="34"/>
        <v>9</v>
      </c>
      <c r="BQ42">
        <v>3</v>
      </c>
      <c r="BR42" s="107">
        <f t="shared" si="35"/>
        <v>2.1097720416985758E-4</v>
      </c>
    </row>
    <row r="43" spans="1:70" ht="15" customHeight="1" x14ac:dyDescent="0.25">
      <c r="G43" s="91">
        <v>4</v>
      </c>
      <c r="H43" s="132">
        <f>J43*L39+J42*L40+J41*L41+J40*L42</f>
        <v>0.14812603818177122</v>
      </c>
      <c r="I43" s="93">
        <v>4</v>
      </c>
      <c r="J43" s="86">
        <f t="shared" si="33"/>
        <v>5.441050996043259E-2</v>
      </c>
      <c r="K43" s="95">
        <v>4</v>
      </c>
      <c r="L43" s="86"/>
      <c r="M43" s="85">
        <v>4</v>
      </c>
      <c r="N43" s="71">
        <f>(($C$24)^M29)*((1-($C$24))^($B$21-M29))*HLOOKUP($B$21,$AV$24:$BF$34,M29+1)</f>
        <v>5.7198703198395984E-2</v>
      </c>
      <c r="O43" s="72">
        <v>4</v>
      </c>
      <c r="P43" s="71">
        <f t="shared" si="36"/>
        <v>5.7198703198395984E-2</v>
      </c>
      <c r="Q43" s="28">
        <v>4</v>
      </c>
      <c r="R43" s="37">
        <f>P43*N39+P42*N40+P41*N41+P40*N42+P39*N43</f>
        <v>0.24493598884902326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0.24488329358884653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1.0314314769640039E-2</v>
      </c>
      <c r="AH43" s="28">
        <v>4</v>
      </c>
      <c r="AI43" s="79">
        <f>((($W$39)^M43)*((1-($W$39))^($U$30-M43))*HLOOKUP($U$30,$AV$24:$BF$34,M43+1))*V44</f>
        <v>1.9724001428548042E-2</v>
      </c>
      <c r="AJ43" s="28">
        <v>4</v>
      </c>
      <c r="AK43" s="79">
        <f>((($W$39)^M43)*((1-($W$39))^($U$31-M43))*HLOOKUP($U$31,$AV$24:$BF$34,M43+1))*V45</f>
        <v>1.5757752048724323E-2</v>
      </c>
      <c r="AL43" s="28">
        <v>4</v>
      </c>
      <c r="AM43" s="79">
        <f>((($W$39)^Q43)*((1-($W$39))^($U$32-Q43))*HLOOKUP($U$32,$AV$24:$BF$34,Q43+1))*V46</f>
        <v>6.7452147286342704E-3</v>
      </c>
      <c r="AN43" s="28">
        <v>4</v>
      </c>
      <c r="AO43" s="79">
        <f>((($W$39)^Q43)*((1-($W$39))^($U$33-Q43))*HLOOKUP($U$33,$AV$24:$BF$34,Q43+1))*V47</f>
        <v>1.63894364882077E-3</v>
      </c>
      <c r="AP43" s="28">
        <v>4</v>
      </c>
      <c r="AQ43" s="79">
        <f>((($W$39)^Q43)*((1-($W$39))^($U$34-Q43))*HLOOKUP($U$34,$AV$24:$BF$34,Q43+1))*V48</f>
        <v>2.1711697674170677E-4</v>
      </c>
      <c r="AR43" s="28">
        <v>4</v>
      </c>
      <c r="AS43" s="79">
        <f>((($W$39)^Q43)*((1-($W$39))^($U$35-Q43))*HLOOKUP($U$35,$AV$24:$BF$34,Q43+1))*V49</f>
        <v>1.3166359323442639E-5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2.0221837667677067E-6</v>
      </c>
      <c r="BP43">
        <f t="shared" si="34"/>
        <v>9</v>
      </c>
      <c r="BQ43">
        <v>4</v>
      </c>
      <c r="BR43" s="107">
        <f t="shared" si="35"/>
        <v>1.2573052142170519E-4</v>
      </c>
    </row>
    <row r="44" spans="1:70" ht="15" customHeight="1" thickBot="1" x14ac:dyDescent="0.3">
      <c r="G44" s="91">
        <v>5</v>
      </c>
      <c r="H44" s="132">
        <f>J44*L39+J43*L40+J42*L41+J41*L42</f>
        <v>6.2804693595861577E-2</v>
      </c>
      <c r="I44" s="93">
        <v>5</v>
      </c>
      <c r="J44" s="86">
        <f t="shared" si="33"/>
        <v>1.3118428925950571E-2</v>
      </c>
      <c r="K44" s="95">
        <v>5</v>
      </c>
      <c r="L44" s="86"/>
      <c r="M44" s="85">
        <v>5</v>
      </c>
      <c r="N44" s="71">
        <f>(($C$24)^M30)*((1-($C$24))^($B$21-M30))*HLOOKUP($B$21,$AV$24:$BF$34,M30+1)</f>
        <v>6.6208834177770058E-3</v>
      </c>
      <c r="O44" s="72">
        <v>5</v>
      </c>
      <c r="P44" s="71">
        <f t="shared" si="36"/>
        <v>6.6208834177770058E-3</v>
      </c>
      <c r="Q44" s="28">
        <v>5</v>
      </c>
      <c r="R44" s="37">
        <f>P44*N39+P43*N40+P42*N41+P41*N42+P40*N43+P39*N44</f>
        <v>0.17011147487338016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0.1712279974743364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3.2672044102525256E-3</v>
      </c>
      <c r="AJ44" s="28">
        <v>5</v>
      </c>
      <c r="AK44" s="79">
        <f>((($W$39)^M44)*((1-($W$39))^($U$31-M44))*HLOOKUP($U$31,$AV$24:$BF$34,M44+1))*V45</f>
        <v>5.2204211377455574E-3</v>
      </c>
      <c r="AL44" s="28">
        <v>5</v>
      </c>
      <c r="AM44" s="79">
        <f>((($W$39)^Q44)*((1-($W$39))^($U$32-Q44))*HLOOKUP($U$32,$AV$24:$BF$34,Q44+1))*V46</f>
        <v>3.351956050499507E-3</v>
      </c>
      <c r="AN44" s="28">
        <v>5</v>
      </c>
      <c r="AO44" s="79">
        <f>((($W$39)^Q44)*((1-($W$39))^($U$33-Q44))*HLOOKUP($U$33,$AV$24:$BF$34,Q44+1))*V47</f>
        <v>1.0859386594511663E-3</v>
      </c>
      <c r="AP44" s="28">
        <v>5</v>
      </c>
      <c r="AQ44" s="79">
        <f>((($W$39)^Q44)*((1-($W$39))^($U$34-Q44))*HLOOKUP($U$34,$AV$24:$BF$34,Q44+1))*V48</f>
        <v>1.7982292957160326E-4</v>
      </c>
      <c r="AR44" s="28">
        <v>5</v>
      </c>
      <c r="AS44" s="79">
        <f>((($W$39)^Q44)*((1-($W$39))^($U$35-Q44))*HLOOKUP($U$35,$AV$24:$BF$34,Q44+1))*V49</f>
        <v>1.3085738430213011E-5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2.4381941771813628E-3</v>
      </c>
      <c r="BP44">
        <f t="shared" si="34"/>
        <v>9</v>
      </c>
      <c r="BQ44">
        <v>5</v>
      </c>
      <c r="BR44" s="107">
        <f t="shared" si="35"/>
        <v>5.3309107368739876E-5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1.9591871666488778E-2</v>
      </c>
      <c r="I45" s="93">
        <v>6</v>
      </c>
      <c r="J45" s="86">
        <f t="shared" si="33"/>
        <v>2.2040417379299254E-3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8.204500132751967E-2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8.336499719799309E-2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7.2061877785487775E-4</v>
      </c>
      <c r="AL45" s="28">
        <v>6</v>
      </c>
      <c r="AM45" s="79">
        <f>((($W$39)^Q45)*((1-($W$39))^($U$32-Q45))*HLOOKUP($U$32,$AV$24:$BF$34,Q45+1))*V46</f>
        <v>9.2539755272592666E-4</v>
      </c>
      <c r="AN45" s="28">
        <v>6</v>
      </c>
      <c r="AO45" s="79">
        <f>((($W$39)^Q45)*((1-($W$39))^($U$33-Q45))*HLOOKUP($U$33,$AV$24:$BF$34,Q45+1))*V47</f>
        <v>4.4970382788140782E-4</v>
      </c>
      <c r="AP45" s="28">
        <v>6</v>
      </c>
      <c r="AQ45" s="79">
        <f>((($W$39)^Q45)*((1-($W$39))^($U$34-Q45))*HLOOKUP($U$34,$AV$24:$BF$34,Q45+1))*V48</f>
        <v>9.9289905024124847E-5</v>
      </c>
      <c r="AR45" s="28">
        <v>6</v>
      </c>
      <c r="AS45" s="79">
        <f>((($W$39)^Q45)*((1-($W$39))^($U$35-Q45))*HLOOKUP($U$35,$AV$24:$BF$34,Q45+1))*V49</f>
        <v>9.0316744435880772E-6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5.6846526182527065E-4</v>
      </c>
      <c r="BP45">
        <f t="shared" si="34"/>
        <v>9</v>
      </c>
      <c r="BQ45">
        <v>6</v>
      </c>
      <c r="BR45" s="107">
        <f t="shared" si="35"/>
        <v>1.6629731480645958E-5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4.5678472046113859E-3</v>
      </c>
      <c r="I46" s="93">
        <v>7</v>
      </c>
      <c r="J46" s="86">
        <f t="shared" si="33"/>
        <v>2.5542651690626633E-4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2.7134001218610069E-2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2.7960147081072358E-2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1.0949179920484934E-4</v>
      </c>
      <c r="AN46" s="28">
        <v>7</v>
      </c>
      <c r="AO46" s="79">
        <f>((($W$39)^Q46)*((1-($W$39))^($U$33-Q46))*HLOOKUP($U$33,$AV$24:$BF$34,Q46+1))*V47</f>
        <v>1.064167094001949E-4</v>
      </c>
      <c r="AP46" s="28">
        <v>7</v>
      </c>
      <c r="AQ46" s="79">
        <f>((($W$39)^Q46)*((1-($W$39))^($U$34-Q46))*HLOOKUP($U$34,$AV$24:$BF$34,Q46+1))*V48</f>
        <v>3.5243545799141994E-5</v>
      </c>
      <c r="AR46" s="28">
        <v>7</v>
      </c>
      <c r="AS46" s="79">
        <f>((($W$39)^Q46)*((1-($W$39))^($U$35-Q46))*HLOOKUP($U$35,$AV$24:$BF$34,Q46+1))*V49</f>
        <v>4.2744625020800946E-6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9.9294139059583742E-5</v>
      </c>
      <c r="BP46">
        <f t="shared" si="34"/>
        <v>9</v>
      </c>
      <c r="BQ46">
        <v>7</v>
      </c>
      <c r="BR46" s="107">
        <f t="shared" si="35"/>
        <v>3.8772238686739211E-6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7.9786837647966046E-4</v>
      </c>
      <c r="I47" s="93">
        <v>8</v>
      </c>
      <c r="J47" s="86">
        <f t="shared" si="33"/>
        <v>1.9642233514108186E-5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5.8890449656407509E-3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6.210244198903184E-3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1.101719723101061E-5</v>
      </c>
      <c r="AP47" s="28">
        <v>8</v>
      </c>
      <c r="AQ47" s="79">
        <f>((($W$39)^Q47)*((1-($W$39))^($U$34-Q47))*HLOOKUP($U$34,$AV$24:$BF$34,Q47+1))*V48</f>
        <v>7.2974460003100172E-6</v>
      </c>
      <c r="AR47" s="28">
        <v>8</v>
      </c>
      <c r="AS47" s="79">
        <f>((($W$39)^Q47)*((1-($W$39))^($U$35-Q47))*HLOOKUP($U$35,$AV$24:$BF$34,Q47+1))*V49</f>
        <v>1.3275902827875616E-6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1.2861088844124753E-5</v>
      </c>
      <c r="BP47">
        <f>BL12+1</f>
        <v>9</v>
      </c>
      <c r="BQ47">
        <v>8</v>
      </c>
      <c r="BR47" s="107">
        <f t="shared" si="35"/>
        <v>6.7723681961691919E-7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1.0334402587110268E-4</v>
      </c>
      <c r="I48" s="93">
        <v>9</v>
      </c>
      <c r="J48" s="86">
        <f t="shared" si="33"/>
        <v>9.1589668127188627E-7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7.5741189104921709E-4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8.3559708049655321E-4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6.7155202992892833E-7</v>
      </c>
      <c r="AR48" s="28">
        <v>9</v>
      </c>
      <c r="AS48" s="79">
        <f>((($W$39)^Q48)*((1-($W$39))^($U$35-Q48))*HLOOKUP($U$35,$AV$24:$BF$34,Q48+1))*V49</f>
        <v>2.4434465134295794E-7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1.2040677680954693E-6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9.6751691932727019E-6</v>
      </c>
      <c r="I49" s="94">
        <v>10</v>
      </c>
      <c r="J49" s="89">
        <f t="shared" si="33"/>
        <v>2.023737235523247E-8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4.3836097231794527E-5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5.5584162243715873E-5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2.023737235523247E-8</v>
      </c>
      <c r="BH49">
        <f>BP14+1</f>
        <v>6</v>
      </c>
      <c r="BI49">
        <v>0</v>
      </c>
      <c r="BJ49" s="107">
        <f>$H$31*H39</f>
        <v>2.8902392329515801E-3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2.5082203711286318E-4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4.3811222786640242E-5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5.6746554627016385E-6</v>
      </c>
    </row>
    <row r="53" spans="1:62" x14ac:dyDescent="0.25">
      <c r="BH53">
        <f>BH48+1</f>
        <v>6</v>
      </c>
      <c r="BI53">
        <v>10</v>
      </c>
      <c r="BJ53" s="107">
        <f>$H$31*H49</f>
        <v>5.3126681733539594E-7</v>
      </c>
    </row>
    <row r="54" spans="1:62" x14ac:dyDescent="0.25">
      <c r="BH54">
        <f>BH51+1</f>
        <v>7</v>
      </c>
      <c r="BI54">
        <v>8</v>
      </c>
      <c r="BJ54" s="107">
        <f>$H$32*H47</f>
        <v>1.4530405861919246E-5</v>
      </c>
    </row>
    <row r="55" spans="1:62" x14ac:dyDescent="0.25">
      <c r="BH55">
        <f>BH52+1</f>
        <v>7</v>
      </c>
      <c r="BI55">
        <v>9</v>
      </c>
      <c r="BJ55" s="107">
        <f>$H$32*H48</f>
        <v>1.8820530849176783E-6</v>
      </c>
    </row>
    <row r="56" spans="1:62" x14ac:dyDescent="0.25">
      <c r="BH56">
        <f>BH53+1</f>
        <v>7</v>
      </c>
      <c r="BI56">
        <v>10</v>
      </c>
      <c r="BJ56" s="107">
        <f>$H$32*H49</f>
        <v>1.7619965812064489E-7</v>
      </c>
    </row>
    <row r="57" spans="1:62" x14ac:dyDescent="0.25">
      <c r="BH57">
        <f>BH55+1</f>
        <v>8</v>
      </c>
      <c r="BI57">
        <v>9</v>
      </c>
      <c r="BJ57" s="107">
        <f>$H$33*H48</f>
        <v>4.7031456921286535E-7</v>
      </c>
    </row>
    <row r="58" spans="1:62" x14ac:dyDescent="0.25">
      <c r="BH58">
        <f>BH56+1</f>
        <v>8</v>
      </c>
      <c r="BI58">
        <v>10</v>
      </c>
      <c r="BJ58" s="107">
        <f>$H$33*H49</f>
        <v>4.4031311852231833E-8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8.2123580867033324E-9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abSelected="1" zoomScale="80" zoomScaleNormal="80" workbookViewId="0">
      <selection activeCell="E11" sqref="E11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6" t="s">
        <v>151</v>
      </c>
      <c r="B1" t="s">
        <v>152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8" t="s">
        <v>135</v>
      </c>
      <c r="Q1" s="198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6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9" t="s">
        <v>130</v>
      </c>
      <c r="C3" s="19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6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1.3860590063138991E-2</v>
      </c>
      <c r="BL4">
        <v>0</v>
      </c>
      <c r="BM4">
        <v>0</v>
      </c>
      <c r="BN4" s="107">
        <f>H25*H39</f>
        <v>5.4655159767921764E-3</v>
      </c>
      <c r="BP4">
        <v>1</v>
      </c>
      <c r="BQ4">
        <v>0</v>
      </c>
      <c r="BR4" s="107">
        <f>$H$26*H39</f>
        <v>1.8302494010957578E-2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1.7000000000000001E-2</v>
      </c>
      <c r="P5" s="16" t="str">
        <f>P3</f>
        <v>0,6</v>
      </c>
      <c r="Q5" s="16">
        <f>P5*O5</f>
        <v>1.0200000000000001E-2</v>
      </c>
      <c r="R5" s="157">
        <f>IF($M$2="SI",Q5*$B$22/0.5*$S$1,Q5*$B$22/0.5*$S$2)</f>
        <v>1.0822408835242192E-2</v>
      </c>
      <c r="S5" s="176">
        <f>(1-R5)</f>
        <v>0.98917759116475779</v>
      </c>
      <c r="T5" s="177">
        <f>R5*PRODUCT(S6:S19)</f>
        <v>4.1769778768262098E-3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5.1324840274131868E-3</v>
      </c>
      <c r="V5" s="18"/>
      <c r="W5" s="186" t="s">
        <v>36</v>
      </c>
      <c r="X5" s="15" t="s">
        <v>37</v>
      </c>
      <c r="Y5" s="69">
        <f>COUNTIF(J5:J18,"IMP")*0.017</f>
        <v>1.7000000000000001E-2</v>
      </c>
      <c r="Z5" s="146" t="str">
        <f>Z3</f>
        <v>0,6</v>
      </c>
      <c r="AA5" s="19">
        <f>Z5*Y5</f>
        <v>1.0200000000000001E-2</v>
      </c>
      <c r="AB5" s="157">
        <f>IF($M$2="SI",AA5*$C$22/0.5*$S$1,AA5*$C$22/0.5*$S$2)</f>
        <v>1.1086370026345663E-2</v>
      </c>
      <c r="AC5" s="176">
        <f>(1-AB5)</f>
        <v>0.98891362997365428</v>
      </c>
      <c r="AD5" s="177">
        <f>AB5*PRODUCT(AC6:AC19)</f>
        <v>7.168074610330242E-3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3.2398193185829778E-3</v>
      </c>
      <c r="AF5" s="18"/>
      <c r="BH5">
        <v>0</v>
      </c>
      <c r="BI5">
        <v>2</v>
      </c>
      <c r="BJ5" s="107">
        <f t="shared" si="0"/>
        <v>1.6314662750139628E-2</v>
      </c>
      <c r="BL5">
        <v>1</v>
      </c>
      <c r="BM5">
        <v>1</v>
      </c>
      <c r="BN5" s="107">
        <f>$H$26*H40</f>
        <v>4.6415263937775814E-2</v>
      </c>
      <c r="BP5">
        <f>BP4+1</f>
        <v>2</v>
      </c>
      <c r="BQ5">
        <v>0</v>
      </c>
      <c r="BR5" s="107">
        <f>$H$27*H39</f>
        <v>2.7073768252661241E-2</v>
      </c>
    </row>
    <row r="6" spans="1:70" x14ac:dyDescent="0.25">
      <c r="A6" s="2" t="s">
        <v>1</v>
      </c>
      <c r="B6" s="168">
        <v>10.25</v>
      </c>
      <c r="C6" s="169">
        <v>10.5</v>
      </c>
      <c r="E6" s="192" t="s">
        <v>17</v>
      </c>
      <c r="F6" s="167" t="s">
        <v>144</v>
      </c>
      <c r="G6" s="167"/>
      <c r="H6" s="10"/>
      <c r="I6" s="10"/>
      <c r="J6" s="166" t="s">
        <v>16</v>
      </c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COUNTIF(J14:J18,"IMP")*0.017</f>
        <v>1.7000000000000001E-2</v>
      </c>
      <c r="Z6" s="146" t="str">
        <f>Z3</f>
        <v>0,6</v>
      </c>
      <c r="AA6" s="19">
        <f t="shared" ref="AA6:AA19" si="3">Z6*Y6</f>
        <v>1.0200000000000001E-2</v>
      </c>
      <c r="AB6" s="157">
        <f t="shared" ref="AB6:AB19" si="4">IF($M$2="SI",AA6*$C$22/0.5*$S$1,AA6*$C$22/0.5*$S$2)</f>
        <v>1.1086370026345663E-2</v>
      </c>
      <c r="AC6" s="176">
        <f t="shared" ref="AC6:AC19" si="5">(1-AB6)</f>
        <v>0.98891362997365428</v>
      </c>
      <c r="AD6" s="177">
        <f>AB6*AC5*PRODUCT(AC7:AC19)</f>
        <v>7.168074610330242E-3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3.1594605035177108E-3</v>
      </c>
      <c r="AF6" s="18"/>
      <c r="BH6">
        <v>0</v>
      </c>
      <c r="BI6">
        <v>3</v>
      </c>
      <c r="BJ6" s="107">
        <f t="shared" si="0"/>
        <v>1.1829891109940167E-2</v>
      </c>
      <c r="BL6">
        <f>BH14+1</f>
        <v>2</v>
      </c>
      <c r="BM6">
        <v>2</v>
      </c>
      <c r="BN6" s="107">
        <f>$H$27*H41</f>
        <v>8.0815681500733177E-2</v>
      </c>
      <c r="BP6">
        <f>BL5+1</f>
        <v>2</v>
      </c>
      <c r="BQ6">
        <v>1</v>
      </c>
      <c r="BR6" s="107">
        <f>$H$27*H40</f>
        <v>6.8659282089375773E-2</v>
      </c>
    </row>
    <row r="7" spans="1:70" x14ac:dyDescent="0.25">
      <c r="A7" s="5" t="s">
        <v>2</v>
      </c>
      <c r="B7" s="168">
        <v>17</v>
      </c>
      <c r="C7" s="169">
        <v>14.25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5.9112607190457021E-3</v>
      </c>
      <c r="BL7">
        <f>BH23+1</f>
        <v>3</v>
      </c>
      <c r="BM7">
        <v>3</v>
      </c>
      <c r="BN7" s="107">
        <f>$H$28*H42</f>
        <v>5.161618431238691E-2</v>
      </c>
      <c r="BP7">
        <f>BP5+1</f>
        <v>3</v>
      </c>
      <c r="BQ7">
        <v>0</v>
      </c>
      <c r="BR7" s="107">
        <f>$H$28*H39</f>
        <v>2.3847140890701505E-2</v>
      </c>
    </row>
    <row r="8" spans="1:70" x14ac:dyDescent="0.25">
      <c r="A8" s="5" t="s">
        <v>3</v>
      </c>
      <c r="B8" s="168">
        <v>14</v>
      </c>
      <c r="C8" s="169">
        <v>11</v>
      </c>
      <c r="E8" s="192" t="s">
        <v>18</v>
      </c>
      <c r="F8" s="167" t="s">
        <v>16</v>
      </c>
      <c r="G8" s="167"/>
      <c r="H8" s="10"/>
      <c r="I8" s="10"/>
      <c r="J8" s="166" t="s">
        <v>16</v>
      </c>
      <c r="K8" s="166"/>
      <c r="L8" s="10"/>
      <c r="M8" s="10"/>
      <c r="O8" s="67">
        <f>COUNTIF(F6:F18,"IMP")*0.01</f>
        <v>0.01</v>
      </c>
      <c r="P8" s="16" t="str">
        <f>P3</f>
        <v>0,6</v>
      </c>
      <c r="Q8" s="16">
        <f t="shared" si="1"/>
        <v>6.0000000000000001E-3</v>
      </c>
      <c r="R8" s="157">
        <f t="shared" si="6"/>
        <v>6.3661228442601124E-3</v>
      </c>
      <c r="S8" s="176">
        <f t="shared" si="2"/>
        <v>0.99363387715573992</v>
      </c>
      <c r="T8" s="177">
        <f>R8*PRODUCT(S5:S7)*PRODUCT(S9:S19)</f>
        <v>2.4460263599035826E-3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2.9898965721875392E-3</v>
      </c>
      <c r="W8" s="186" t="s">
        <v>42</v>
      </c>
      <c r="X8" s="15" t="s">
        <v>43</v>
      </c>
      <c r="Y8" s="69">
        <f>COUNTIF(J6:J18,"IMP")*0.01</f>
        <v>0.01</v>
      </c>
      <c r="Z8" s="146" t="str">
        <f>Z3</f>
        <v>0,6</v>
      </c>
      <c r="AA8" s="19">
        <f t="shared" si="3"/>
        <v>6.0000000000000001E-3</v>
      </c>
      <c r="AB8" s="157">
        <f t="shared" si="4"/>
        <v>6.5213941331445065E-3</v>
      </c>
      <c r="AC8" s="176">
        <f t="shared" si="5"/>
        <v>0.99347860586685555</v>
      </c>
      <c r="AD8" s="177">
        <f>AB8*PRODUCT(AC5:AC7)*PRODUCT(AC9:AC19)</f>
        <v>4.1971398400842104E-3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1.8224155784808314E-3</v>
      </c>
      <c r="BH8">
        <v>0</v>
      </c>
      <c r="BI8">
        <v>5</v>
      </c>
      <c r="BJ8" s="107">
        <f t="shared" si="0"/>
        <v>2.1552596951845745E-3</v>
      </c>
      <c r="BL8">
        <f>BH31+1</f>
        <v>4</v>
      </c>
      <c r="BM8">
        <v>4</v>
      </c>
      <c r="BN8" s="107">
        <f>$H$29*H43</f>
        <v>1.5253274978042158E-2</v>
      </c>
      <c r="BP8">
        <f>BP6+1</f>
        <v>3</v>
      </c>
      <c r="BQ8">
        <v>1</v>
      </c>
      <c r="BR8" s="107">
        <f>$H$28*H40</f>
        <v>6.0476530572312184E-2</v>
      </c>
    </row>
    <row r="9" spans="1:70" x14ac:dyDescent="0.25">
      <c r="A9" s="5" t="s">
        <v>4</v>
      </c>
      <c r="B9" s="168">
        <v>16.75</v>
      </c>
      <c r="C9" s="169">
        <v>15.5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>
        <f t="shared" si="6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COUNTIF(F6:F13,"IMP")*0.025</f>
        <v>2.5000000000000001E-2</v>
      </c>
      <c r="Z9" s="146">
        <v>0.5</v>
      </c>
      <c r="AA9" s="19">
        <f t="shared" si="3"/>
        <v>1.2500000000000001E-2</v>
      </c>
      <c r="AB9" s="157">
        <f t="shared" si="4"/>
        <v>1.3586237777384389E-2</v>
      </c>
      <c r="AC9" s="176">
        <f t="shared" si="5"/>
        <v>0.98641376222261556</v>
      </c>
      <c r="AD9" s="177">
        <f>AB9*PRODUCT(AC5:AC8)*PRODUCT(AC10:AC19)</f>
        <v>8.8066674719568163E-3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3.7025941973141273E-3</v>
      </c>
      <c r="BH9">
        <v>0</v>
      </c>
      <c r="BI9">
        <v>6</v>
      </c>
      <c r="BJ9" s="107">
        <f t="shared" si="0"/>
        <v>5.9135022640411218E-4</v>
      </c>
      <c r="BL9">
        <f>BH38+1</f>
        <v>5</v>
      </c>
      <c r="BM9">
        <v>5</v>
      </c>
      <c r="BN9" s="107">
        <f>$H$30*H44</f>
        <v>2.3479952832334257E-3</v>
      </c>
      <c r="BP9">
        <f>BL6+1</f>
        <v>3</v>
      </c>
      <c r="BQ9">
        <v>2</v>
      </c>
      <c r="BR9" s="107">
        <f>$H$28*H41</f>
        <v>7.1184141230011641E-2</v>
      </c>
    </row>
    <row r="10" spans="1:70" x14ac:dyDescent="0.25">
      <c r="A10" s="6" t="s">
        <v>5</v>
      </c>
      <c r="B10" s="168">
        <v>13.75</v>
      </c>
      <c r="C10" s="169">
        <v>14.5</v>
      </c>
      <c r="E10" s="192" t="s">
        <v>17</v>
      </c>
      <c r="F10" s="167" t="s">
        <v>144</v>
      </c>
      <c r="G10" s="167"/>
      <c r="H10" s="10"/>
      <c r="I10" s="10"/>
      <c r="J10" s="166" t="s">
        <v>144</v>
      </c>
      <c r="K10" s="166"/>
      <c r="L10" s="10"/>
      <c r="M10" s="10"/>
      <c r="O10" s="67">
        <f>COUNTIF(F14:F18,"RAP")*0.085</f>
        <v>8.5000000000000006E-2</v>
      </c>
      <c r="P10" s="16" t="str">
        <f>R3</f>
        <v>0,72</v>
      </c>
      <c r="Q10" s="16">
        <f t="shared" si="1"/>
        <v>6.1200000000000004E-2</v>
      </c>
      <c r="R10" s="157">
        <f t="shared" si="6"/>
        <v>6.4934453011453147E-2</v>
      </c>
      <c r="S10" s="176">
        <f t="shared" si="2"/>
        <v>0.93506554698854683</v>
      </c>
      <c r="T10" s="177">
        <f>R10*PRODUCT(S5:S9)*PRODUCT(S11:S19)</f>
        <v>2.6512192184948779E-2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3.0566031581658729E-2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>
        <f t="shared" si="4"/>
        <v>6.6518220158073973E-2</v>
      </c>
      <c r="AC10" s="176">
        <f t="shared" si="5"/>
        <v>0.93348177984192604</v>
      </c>
      <c r="AD10" s="177">
        <f>AB10*PRODUCT(AC5:AC9)*PRODUCT(AC11:AC19)</f>
        <v>4.5562367702714261E-2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1.5909130664360231E-2</v>
      </c>
      <c r="BH10">
        <v>0</v>
      </c>
      <c r="BI10">
        <v>7</v>
      </c>
      <c r="BJ10" s="107">
        <f t="shared" si="0"/>
        <v>1.2387420230314377E-4</v>
      </c>
      <c r="BL10">
        <f>BH44+1</f>
        <v>6</v>
      </c>
      <c r="BM10">
        <v>6</v>
      </c>
      <c r="BN10" s="107">
        <f>$H$31*H45</f>
        <v>2.0071885785544945E-4</v>
      </c>
      <c r="BP10">
        <f>BP7+1</f>
        <v>4</v>
      </c>
      <c r="BQ10">
        <v>0</v>
      </c>
      <c r="BR10" s="107">
        <f>$H$29*H39</f>
        <v>1.4103085966465763E-2</v>
      </c>
    </row>
    <row r="11" spans="1:70" x14ac:dyDescent="0.25">
      <c r="A11" s="6" t="s">
        <v>6</v>
      </c>
      <c r="B11" s="168">
        <v>8.25</v>
      </c>
      <c r="C11" s="169">
        <v>9</v>
      </c>
      <c r="E11" s="192" t="s">
        <v>19</v>
      </c>
      <c r="F11" s="167" t="s">
        <v>144</v>
      </c>
      <c r="G11" s="167"/>
      <c r="H11" s="10"/>
      <c r="I11" s="10"/>
      <c r="J11" s="166" t="s">
        <v>21</v>
      </c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8.5000000000000006E-2</v>
      </c>
      <c r="P11" s="16" t="str">
        <f>R3</f>
        <v>0,72</v>
      </c>
      <c r="Q11" s="16">
        <f t="shared" si="1"/>
        <v>6.1200000000000004E-2</v>
      </c>
      <c r="R11" s="157">
        <f t="shared" si="6"/>
        <v>6.4934453011453147E-2</v>
      </c>
      <c r="S11" s="176">
        <f t="shared" si="2"/>
        <v>0.93506554698854683</v>
      </c>
      <c r="T11" s="177">
        <f>R11*PRODUCT(S5:S10)*PRODUCT(S12:S19)</f>
        <v>2.6512192184948779E-2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2.8724925679287954E-2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8.5000000000000006E-2</v>
      </c>
      <c r="Z11" s="146" t="str">
        <f>AB3</f>
        <v>0,72</v>
      </c>
      <c r="AA11" s="19">
        <f t="shared" si="3"/>
        <v>6.1200000000000004E-2</v>
      </c>
      <c r="AB11" s="157">
        <f t="shared" si="4"/>
        <v>6.6518220158073973E-2</v>
      </c>
      <c r="AC11" s="176">
        <f t="shared" si="5"/>
        <v>0.93348177984192604</v>
      </c>
      <c r="AD11" s="177">
        <f>AB11*PRODUCT(AC5:AC10)*PRODUCT(AC12:AC19)</f>
        <v>4.5562367702714261E-2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1.2662438901093588E-2</v>
      </c>
      <c r="BH11">
        <v>0</v>
      </c>
      <c r="BI11">
        <v>8</v>
      </c>
      <c r="BJ11" s="107">
        <f t="shared" si="0"/>
        <v>1.9837594279432088E-5</v>
      </c>
      <c r="BL11">
        <f>BH50+1</f>
        <v>7</v>
      </c>
      <c r="BM11">
        <v>7</v>
      </c>
      <c r="BN11" s="107">
        <f>$H$32*H46</f>
        <v>9.8216103662857625E-6</v>
      </c>
      <c r="BP11">
        <f>BP8+1</f>
        <v>4</v>
      </c>
      <c r="BQ11">
        <v>1</v>
      </c>
      <c r="BR11" s="107">
        <f>$H$29*H40</f>
        <v>3.5765533215240883E-2</v>
      </c>
    </row>
    <row r="12" spans="1:70" x14ac:dyDescent="0.25">
      <c r="A12" s="6" t="s">
        <v>7</v>
      </c>
      <c r="B12" s="168">
        <v>14.25</v>
      </c>
      <c r="C12" s="169">
        <v>14.5</v>
      </c>
      <c r="E12" s="192" t="s">
        <v>19</v>
      </c>
      <c r="F12" s="167" t="s">
        <v>144</v>
      </c>
      <c r="G12" s="167"/>
      <c r="H12" s="10"/>
      <c r="I12" s="10"/>
      <c r="J12" s="166" t="s">
        <v>16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2.4002004742183805E-6</v>
      </c>
      <c r="BL12">
        <f>BH54+1</f>
        <v>8</v>
      </c>
      <c r="BM12">
        <v>8</v>
      </c>
      <c r="BN12" s="107">
        <f>$H$33*H47</f>
        <v>2.7617518435985996E-7</v>
      </c>
      <c r="BP12">
        <f>BP9+1</f>
        <v>4</v>
      </c>
      <c r="BQ12">
        <v>2</v>
      </c>
      <c r="BR12" s="107">
        <f>$H$29*H41</f>
        <v>4.2097963349868157E-2</v>
      </c>
    </row>
    <row r="13" spans="1:70" x14ac:dyDescent="0.25">
      <c r="A13" s="7" t="s">
        <v>8</v>
      </c>
      <c r="B13" s="168">
        <v>9</v>
      </c>
      <c r="C13" s="169">
        <v>12.5</v>
      </c>
      <c r="E13" s="192" t="s">
        <v>19</v>
      </c>
      <c r="F13" s="167" t="s">
        <v>147</v>
      </c>
      <c r="G13" s="167"/>
      <c r="H13" s="10"/>
      <c r="I13" s="10"/>
      <c r="J13" s="166" t="s">
        <v>21</v>
      </c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>
        <f t="shared" si="6"/>
        <v>5.3051023702167605E-2</v>
      </c>
      <c r="S13" s="176">
        <f t="shared" si="2"/>
        <v>0.94694897629783237</v>
      </c>
      <c r="T13" s="177">
        <f>R13*PRODUCT(S5:S12)*PRODUCT(S14:S19)</f>
        <v>2.1388468971142296E-2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2.1975323030947503E-2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>
        <f t="shared" si="4"/>
        <v>5.4344951109537555E-2</v>
      </c>
      <c r="AC13" s="176">
        <f t="shared" si="5"/>
        <v>0.94565504889046248</v>
      </c>
      <c r="AD13" s="177">
        <f>AB13*PRODUCT(AC5:AC12)*PRODUCT(AC14:AC19)</f>
        <v>3.6744975893055025E-2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8.1002964968101485E-3</v>
      </c>
      <c r="BH13">
        <v>0</v>
      </c>
      <c r="BI13">
        <v>10</v>
      </c>
      <c r="BJ13" s="107">
        <f t="shared" si="0"/>
        <v>2.132939563447742E-7</v>
      </c>
      <c r="BL13">
        <f>BH57+1</f>
        <v>9</v>
      </c>
      <c r="BM13">
        <v>9</v>
      </c>
      <c r="BN13" s="107">
        <f>$H$34*H48</f>
        <v>4.3651901459019131E-9</v>
      </c>
      <c r="BP13">
        <f>BL7+1</f>
        <v>4</v>
      </c>
      <c r="BQ13">
        <v>3</v>
      </c>
      <c r="BR13" s="107">
        <f>$H$29*H42</f>
        <v>3.0525566480062851E-2</v>
      </c>
    </row>
    <row r="14" spans="1:70" x14ac:dyDescent="0.25">
      <c r="A14" s="7" t="s">
        <v>9</v>
      </c>
      <c r="B14" s="168">
        <v>6</v>
      </c>
      <c r="C14" s="169">
        <v>10.75</v>
      </c>
      <c r="E14" s="192" t="s">
        <v>20</v>
      </c>
      <c r="F14" s="167" t="s">
        <v>144</v>
      </c>
      <c r="G14" s="167"/>
      <c r="H14" s="10"/>
      <c r="I14" s="10"/>
      <c r="J14" s="166" t="s">
        <v>147</v>
      </c>
      <c r="K14" s="166"/>
      <c r="L14" s="10"/>
      <c r="M14" s="10"/>
      <c r="O14" s="67">
        <f>COUNTIF(F6:F18,"CAB")*0.095</f>
        <v>0.47499999999999998</v>
      </c>
      <c r="P14" s="144">
        <v>0.95</v>
      </c>
      <c r="Q14" s="16">
        <f t="shared" si="1"/>
        <v>0.45124999999999998</v>
      </c>
      <c r="R14" s="157">
        <f t="shared" si="6"/>
        <v>0.47878548891206263</v>
      </c>
      <c r="S14" s="176">
        <f t="shared" si="2"/>
        <v>0.52121451108793737</v>
      </c>
      <c r="T14" s="177">
        <f>R14*PRODUCT(S5:S13)*PRODUCT(S15:S19)</f>
        <v>0.35070098779404596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3.8171003006967838E-2</v>
      </c>
      <c r="W14" s="186" t="s">
        <v>54</v>
      </c>
      <c r="X14" s="15" t="s">
        <v>55</v>
      </c>
      <c r="Y14" s="69">
        <f>COUNTIF(J6:J18,"CAB")*0.095</f>
        <v>9.5000000000000001E-2</v>
      </c>
      <c r="Z14" s="147">
        <v>0.95</v>
      </c>
      <c r="AA14" s="19">
        <f t="shared" si="3"/>
        <v>9.0249999999999997E-2</v>
      </c>
      <c r="AB14" s="157">
        <f t="shared" si="4"/>
        <v>9.809263675271529E-2</v>
      </c>
      <c r="AC14" s="176">
        <f t="shared" si="5"/>
        <v>0.90190736324728471</v>
      </c>
      <c r="AD14" s="177">
        <f>AB14*PRODUCT(AC5:AC13)*PRODUCT(AC15:AC19)</f>
        <v>6.9541809358754467E-2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7.7667802435003987E-3</v>
      </c>
      <c r="BH14">
        <v>1</v>
      </c>
      <c r="BI14">
        <v>2</v>
      </c>
      <c r="BJ14" s="107">
        <f t="shared" ref="BJ14:BJ22" si="7">$H$26*H41</f>
        <v>5.4633271322075079E-2</v>
      </c>
      <c r="BL14">
        <f>BP39+1</f>
        <v>10</v>
      </c>
      <c r="BM14">
        <v>10</v>
      </c>
      <c r="BN14" s="107">
        <f>$H$35*H49</f>
        <v>3.6722927647955977E-11</v>
      </c>
      <c r="BP14">
        <f>BP10+1</f>
        <v>5</v>
      </c>
      <c r="BQ14">
        <v>0</v>
      </c>
      <c r="BR14" s="107">
        <f>$H$30*H39</f>
        <v>5.9542735210134168E-3</v>
      </c>
    </row>
    <row r="15" spans="1:70" x14ac:dyDescent="0.25">
      <c r="A15" s="189" t="s">
        <v>71</v>
      </c>
      <c r="B15" s="170">
        <v>8.75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21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3.9615017522469702E-2</v>
      </c>
      <c r="BP15">
        <f>BP11+1</f>
        <v>5</v>
      </c>
      <c r="BQ15">
        <v>1</v>
      </c>
      <c r="BR15" s="107">
        <f>$H$30*H40</f>
        <v>1.510008291056329E-2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21</v>
      </c>
      <c r="G16" s="167"/>
      <c r="H16" s="10"/>
      <c r="I16" s="10"/>
      <c r="J16" s="166" t="s">
        <v>123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1.9795169269826586E-2</v>
      </c>
      <c r="BP16">
        <f>BP12+1</f>
        <v>5</v>
      </c>
      <c r="BQ16">
        <v>2</v>
      </c>
      <c r="BR16" s="107">
        <f>$H$30*H41</f>
        <v>1.777361274395815E-2</v>
      </c>
    </row>
    <row r="17" spans="1:70" x14ac:dyDescent="0.25">
      <c r="A17" s="188" t="s">
        <v>10</v>
      </c>
      <c r="B17" s="172" t="s">
        <v>11</v>
      </c>
      <c r="C17" s="173" t="s">
        <v>157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2.546449137704045E-2</v>
      </c>
      <c r="S17" s="176">
        <f t="shared" si="2"/>
        <v>0.97453550862295957</v>
      </c>
      <c r="T17" s="177">
        <f>R17*PRODUCT(S5:S16)*PRODUCT(S18:S19)</f>
        <v>9.9758485313702905E-3</v>
      </c>
      <c r="U17" s="177">
        <f>R17*R18*PRODUCT(S5:S16)*S19+R17*R19*PRODUCT(S5:S16)*S18</f>
        <v>8.2512380041954399E-4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2.6085576532578026E-2</v>
      </c>
      <c r="AC17" s="176">
        <f t="shared" si="5"/>
        <v>0.97391442346742196</v>
      </c>
      <c r="AD17" s="177">
        <f>AB17*PRODUCT(AC5:AC16)*PRODUCT(AC18:AC19)</f>
        <v>1.7125811206736185E-2</v>
      </c>
      <c r="AE17" s="177">
        <f>AB17*AB18*PRODUCT(AC5:AC16)*AC19+AB17*AB19*PRODUCT(AC5:AC16)*AC18</f>
        <v>1.4539948592871255E-3</v>
      </c>
      <c r="BH17">
        <v>1</v>
      </c>
      <c r="BI17">
        <v>5</v>
      </c>
      <c r="BJ17" s="107">
        <f t="shared" si="7"/>
        <v>7.2173657218592494E-3</v>
      </c>
      <c r="BP17">
        <f>BP13+1</f>
        <v>5</v>
      </c>
      <c r="BQ17">
        <v>3</v>
      </c>
      <c r="BR17" s="107">
        <f>$H$30*H42</f>
        <v>1.2887787299769362E-2</v>
      </c>
    </row>
    <row r="18" spans="1:70" x14ac:dyDescent="0.25">
      <c r="A18" s="188" t="s">
        <v>12</v>
      </c>
      <c r="B18" s="172">
        <v>20</v>
      </c>
      <c r="C18" s="173">
        <v>21</v>
      </c>
      <c r="E18" s="192" t="s">
        <v>22</v>
      </c>
      <c r="F18" s="167" t="s">
        <v>21</v>
      </c>
      <c r="G18" s="167"/>
      <c r="H18" s="10"/>
      <c r="I18" s="10"/>
      <c r="J18" s="166" t="s">
        <v>21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1.9802675581038218E-3</v>
      </c>
      <c r="BP18">
        <f>BL8+1</f>
        <v>5</v>
      </c>
      <c r="BQ18">
        <v>4</v>
      </c>
      <c r="BR18" s="107">
        <f>$H$30*H43</f>
        <v>6.439879294960647E-3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0.12</v>
      </c>
      <c r="P19" s="16" t="str">
        <f>P3</f>
        <v>0,6</v>
      </c>
      <c r="Q19" s="16">
        <f t="shared" si="1"/>
        <v>7.1999999999999995E-2</v>
      </c>
      <c r="R19" s="157">
        <f t="shared" si="6"/>
        <v>7.6393474131121339E-2</v>
      </c>
      <c r="S19" s="178">
        <f t="shared" si="2"/>
        <v>0.9236065258688787</v>
      </c>
      <c r="T19" s="179">
        <f>R19*PRODUCT(S5:S18)</f>
        <v>3.1577793194949959E-2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0.12</v>
      </c>
      <c r="Z19" s="146" t="str">
        <f>Z3</f>
        <v>0,6</v>
      </c>
      <c r="AA19" s="19">
        <f t="shared" si="3"/>
        <v>7.1999999999999995E-2</v>
      </c>
      <c r="AB19" s="157">
        <f t="shared" si="4"/>
        <v>7.8256729597734068E-2</v>
      </c>
      <c r="AC19" s="178">
        <f t="shared" si="5"/>
        <v>0.92174327040226589</v>
      </c>
      <c r="AD19" s="179">
        <f>AB19*PRODUCT(AC5:AC18)</f>
        <v>5.4285423338782814E-2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4.1482027596159476E-4</v>
      </c>
      <c r="BP19">
        <f>BP15+1</f>
        <v>6</v>
      </c>
      <c r="BQ19">
        <v>1</v>
      </c>
      <c r="BR19" s="107">
        <f>$H$31*H40</f>
        <v>4.7046262645288198E-3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0.38177941504969676</v>
      </c>
      <c r="T20" s="181">
        <f>SUM(T5:T19)</f>
        <v>0.47329048709813587</v>
      </c>
      <c r="U20" s="181">
        <f>SUM(U5:U19)</f>
        <v>0.12838478769888229</v>
      </c>
      <c r="V20" s="181">
        <f>1-S20-T20-U20</f>
        <v>1.6545310153285142E-2</v>
      </c>
      <c r="W20" s="21"/>
      <c r="X20" s="22"/>
      <c r="Y20" s="22"/>
      <c r="Z20" s="22"/>
      <c r="AA20" s="22"/>
      <c r="AB20" s="23"/>
      <c r="AC20" s="184">
        <f>PRODUCT(AC5:AC19)</f>
        <v>0.63939834824007258</v>
      </c>
      <c r="AD20" s="181">
        <f>SUM(AD5:AD19)</f>
        <v>0.29616271173545855</v>
      </c>
      <c r="AE20" s="181">
        <f>SUM(AE5:AE19)</f>
        <v>5.7816930762947145E-2</v>
      </c>
      <c r="AF20" s="181">
        <f>1-AC20-AD20-AE20</f>
        <v>6.622009261521726E-3</v>
      </c>
      <c r="BH20">
        <v>1</v>
      </c>
      <c r="BI20">
        <v>8</v>
      </c>
      <c r="BJ20" s="107">
        <f t="shared" si="7"/>
        <v>6.6430589908221202E-5</v>
      </c>
      <c r="BP20">
        <f>BP16+1</f>
        <v>6</v>
      </c>
      <c r="BQ20">
        <v>2</v>
      </c>
      <c r="BR20" s="107">
        <f>$H$31*H41</f>
        <v>5.5375990864457046E-3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0.38177941504969676</v>
      </c>
      <c r="T21" s="183">
        <f>T20*V1</f>
        <v>0.47329048709813587</v>
      </c>
      <c r="U21" s="183">
        <f>U20*V1</f>
        <v>0.12838478769888229</v>
      </c>
      <c r="V21" s="183">
        <f>V20*V1</f>
        <v>1.6545310153285142E-2</v>
      </c>
      <c r="W21" s="21"/>
      <c r="X21" s="22"/>
      <c r="Y21" s="22"/>
      <c r="Z21" s="22"/>
      <c r="AA21" s="22"/>
      <c r="AB21" s="23"/>
      <c r="AC21" s="185">
        <f>1-AD21-AE21-AF21</f>
        <v>0.63939834824007258</v>
      </c>
      <c r="AD21" s="183">
        <f>AD20*V1</f>
        <v>0.29616271173545855</v>
      </c>
      <c r="AE21" s="183">
        <f>AE20*V1</f>
        <v>5.7816930762947145E-2</v>
      </c>
      <c r="AF21" s="183">
        <f>AF20*V1</f>
        <v>6.622009261521726E-3</v>
      </c>
      <c r="BH21" s="18">
        <v>1</v>
      </c>
      <c r="BI21">
        <v>9</v>
      </c>
      <c r="BJ21" s="107">
        <f t="shared" si="7"/>
        <v>8.0376043160453179E-6</v>
      </c>
      <c r="BP21">
        <f>BP17+1</f>
        <v>6</v>
      </c>
      <c r="BQ21">
        <v>3</v>
      </c>
      <c r="BR21" s="107">
        <f>$H$31*H42</f>
        <v>4.0153569342152766E-3</v>
      </c>
    </row>
    <row r="22" spans="1:70" x14ac:dyDescent="0.25">
      <c r="A22" s="26" t="s">
        <v>77</v>
      </c>
      <c r="B22" s="62">
        <f>(B6)/((B6)+(C6))</f>
        <v>0.49397590361445781</v>
      </c>
      <c r="C22" s="63">
        <f>1-B22</f>
        <v>0.50602409638554224</v>
      </c>
      <c r="D22" s="24"/>
      <c r="E22" s="24"/>
      <c r="V22" s="59">
        <f>SUM(V25:V35)</f>
        <v>1</v>
      </c>
      <c r="AS22" s="82">
        <f>Y23+AA23+AC23+AE23+AG23+AI23+AK23+AM23+AO23+AQ23+AS23</f>
        <v>0.99999999999999989</v>
      </c>
      <c r="BH22">
        <v>1</v>
      </c>
      <c r="BI22">
        <v>10</v>
      </c>
      <c r="BJ22" s="107">
        <f t="shared" si="7"/>
        <v>7.1426218039616886E-7</v>
      </c>
      <c r="BP22">
        <f>BP18+1</f>
        <v>6</v>
      </c>
      <c r="BQ22">
        <v>4</v>
      </c>
      <c r="BR22" s="107">
        <f>$H$31*H43</f>
        <v>2.0064277428750222E-3</v>
      </c>
    </row>
    <row r="23" spans="1:70" ht="15.75" thickBot="1" x14ac:dyDescent="0.3">
      <c r="A23" s="40" t="s">
        <v>67</v>
      </c>
      <c r="B23" s="56">
        <f>((B22^2.8)/((B22^2.8)+(C22^2.8)))*B21</f>
        <v>2.4156905528228418</v>
      </c>
      <c r="C23" s="57">
        <f>B21-B23</f>
        <v>2.5843094471771582</v>
      </c>
      <c r="D23" s="151">
        <f>SUM(D25:D30)</f>
        <v>1</v>
      </c>
      <c r="E23" s="151">
        <f>SUM(E25:E30)</f>
        <v>0.99999999999999989</v>
      </c>
      <c r="H23" s="59">
        <f>SUM(H25:H35)</f>
        <v>0.99999934293824588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1.0000000000000002</v>
      </c>
      <c r="T23" s="59">
        <f>SUM(T25:T35)</f>
        <v>1</v>
      </c>
      <c r="V23" s="59">
        <f>SUM(V25:V34)</f>
        <v>0.99919370627600657</v>
      </c>
      <c r="Y23" s="80">
        <f>SUM(Y25:Y35)</f>
        <v>1.3403380626026639E-3</v>
      </c>
      <c r="Z23" s="81"/>
      <c r="AA23" s="80">
        <f>SUM(AA25:AA35)</f>
        <v>1.2549053987502723E-2</v>
      </c>
      <c r="AB23" s="81"/>
      <c r="AC23" s="80">
        <f>SUM(AC25:AC35)</f>
        <v>5.2890170363154992E-2</v>
      </c>
      <c r="AD23" s="81"/>
      <c r="AE23" s="80">
        <f>SUM(AE25:AE35)</f>
        <v>0.13216234034548544</v>
      </c>
      <c r="AF23" s="81"/>
      <c r="AG23" s="80">
        <f>SUM(AG25:AG35)</f>
        <v>0.21687666694559743</v>
      </c>
      <c r="AH23" s="81"/>
      <c r="AI23" s="80">
        <f>SUM(AI25:AI35)</f>
        <v>0.24429492486692345</v>
      </c>
      <c r="AJ23" s="81"/>
      <c r="AK23" s="80">
        <f>SUM(AK25:AK35)</f>
        <v>0.19141502412028025</v>
      </c>
      <c r="AL23" s="81"/>
      <c r="AM23" s="80">
        <f>SUM(AM25:AM35)</f>
        <v>0.10314248555549178</v>
      </c>
      <c r="AN23" s="81"/>
      <c r="AO23" s="80">
        <f>SUM(AO25:AO35)</f>
        <v>3.6682355385047799E-2</v>
      </c>
      <c r="AP23" s="81"/>
      <c r="AQ23" s="80">
        <f>SUM(AQ25:AQ35)</f>
        <v>7.8403466439198287E-3</v>
      </c>
      <c r="AR23" s="81"/>
      <c r="AS23" s="80">
        <f>SUM(AS25:AS35)</f>
        <v>8.0629372399343381E-4</v>
      </c>
      <c r="BH23">
        <f t="shared" ref="BH23:BH30" si="8">BH15+1</f>
        <v>2</v>
      </c>
      <c r="BI23">
        <v>3</v>
      </c>
      <c r="BJ23" s="107">
        <f t="shared" ref="BJ23:BJ30" si="9">$H$27*H42</f>
        <v>5.8600090407697654E-2</v>
      </c>
      <c r="BP23">
        <f>BL9+1</f>
        <v>6</v>
      </c>
      <c r="BQ23">
        <v>5</v>
      </c>
      <c r="BR23" s="107">
        <f>$H$31*H44</f>
        <v>7.3154831956334513E-4</v>
      </c>
    </row>
    <row r="24" spans="1:70" ht="15.75" thickBot="1" x14ac:dyDescent="0.3">
      <c r="A24" s="26" t="s">
        <v>76</v>
      </c>
      <c r="B24" s="64">
        <f>B23/B21</f>
        <v>0.48313811056456835</v>
      </c>
      <c r="C24" s="65">
        <f>C23/B21</f>
        <v>0.51686188943543165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2.9281792143334616E-2</v>
      </c>
      <c r="BP24">
        <f>BH49+1</f>
        <v>7</v>
      </c>
      <c r="BQ24">
        <v>0</v>
      </c>
      <c r="BR24" s="107">
        <f t="shared" ref="BR24:BR30" si="10">$H$32*H39</f>
        <v>4.3334421030939837E-4</v>
      </c>
    </row>
    <row r="25" spans="1:70" x14ac:dyDescent="0.25">
      <c r="A25" s="26" t="s">
        <v>69</v>
      </c>
      <c r="B25" s="117">
        <f>1/(1+EXP(-3.1416*4*((B11/(B11+C8))-(3.1416/6))))</f>
        <v>0.23251449252298675</v>
      </c>
      <c r="C25" s="118">
        <f>1/(1+EXP(-3.1416*4*((C11/(C11+B8))-(3.1416/6))))</f>
        <v>0.15942935610558479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0.27999999999999997</v>
      </c>
      <c r="G25" s="126">
        <v>0</v>
      </c>
      <c r="H25" s="127">
        <f>L25*J25</f>
        <v>5.6274869535013483E-2</v>
      </c>
      <c r="I25" s="97">
        <v>0</v>
      </c>
      <c r="J25" s="98">
        <f t="shared" ref="J25:J35" si="11">Y25+AA25+AC25+AE25+AG25+AI25+AK25+AM25+AO25+AQ25+AS25</f>
        <v>0.14740152904181097</v>
      </c>
      <c r="K25" s="97">
        <v>0</v>
      </c>
      <c r="L25" s="98">
        <f>S21</f>
        <v>0.38177941504969676</v>
      </c>
      <c r="M25" s="84">
        <v>0</v>
      </c>
      <c r="N25" s="71">
        <f>(1-$B$24)^$B$21</f>
        <v>3.6886933625985933E-2</v>
      </c>
      <c r="O25" s="70">
        <v>0</v>
      </c>
      <c r="P25" s="71">
        <f>N25</f>
        <v>3.6886933625985933E-2</v>
      </c>
      <c r="Q25" s="12">
        <v>0</v>
      </c>
      <c r="R25" s="73">
        <f>P25*N25</f>
        <v>1.3606458723278917E-3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1.3403380626026639E-3</v>
      </c>
      <c r="W25" s="136">
        <f>B31</f>
        <v>0.35973327343472644</v>
      </c>
      <c r="X25" s="12">
        <v>0</v>
      </c>
      <c r="Y25" s="79">
        <f>V25</f>
        <v>1.3403380626026639E-3</v>
      </c>
      <c r="Z25" s="12">
        <v>0</v>
      </c>
      <c r="AA25" s="78">
        <f>((1-W25)^Z26)*V26</f>
        <v>8.0347417180692618E-3</v>
      </c>
      <c r="AB25" s="12">
        <v>0</v>
      </c>
      <c r="AC25" s="79">
        <f>(((1-$W$25)^AB27))*V27</f>
        <v>2.168187477676833E-2</v>
      </c>
      <c r="AD25" s="12">
        <v>0</v>
      </c>
      <c r="AE25" s="79">
        <f>(((1-$W$25)^AB28))*V28</f>
        <v>3.4688899285990012E-2</v>
      </c>
      <c r="AF25" s="12">
        <v>0</v>
      </c>
      <c r="AG25" s="79">
        <f>(((1-$W$25)^AB29))*V29</f>
        <v>3.6446561529660818E-2</v>
      </c>
      <c r="AH25" s="12">
        <v>0</v>
      </c>
      <c r="AI25" s="79">
        <f>(((1-$W$25)^AB30))*V30</f>
        <v>2.628567352599934E-2</v>
      </c>
      <c r="AJ25" s="12">
        <v>0</v>
      </c>
      <c r="AK25" s="79">
        <f>(((1-$W$25)^AB31))*V31</f>
        <v>1.318686682377734E-2</v>
      </c>
      <c r="AL25" s="12">
        <v>0</v>
      </c>
      <c r="AM25" s="79">
        <f>(((1-$W$25)^AB32))*V32</f>
        <v>4.549504758936564E-3</v>
      </c>
      <c r="AN25" s="12">
        <v>0</v>
      </c>
      <c r="AO25" s="79">
        <f>(((1-$W$25)^AB33))*V33</f>
        <v>1.0359640331780325E-3</v>
      </c>
      <c r="AP25" s="12">
        <v>0</v>
      </c>
      <c r="AQ25" s="79">
        <f>(((1-$W$25)^AB34))*V34</f>
        <v>1.4176977859904543E-4</v>
      </c>
      <c r="AR25" s="12">
        <v>0</v>
      </c>
      <c r="AS25" s="79">
        <f>(((1-$W$25)^AB35))*V35</f>
        <v>9.3347482295711366E-6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1.0676210948700925E-2</v>
      </c>
      <c r="BP25">
        <f>BP19+1</f>
        <v>7</v>
      </c>
      <c r="BQ25">
        <v>1</v>
      </c>
      <c r="BR25" s="107">
        <f t="shared" si="10"/>
        <v>1.0989642114006852E-3</v>
      </c>
    </row>
    <row r="26" spans="1:70" x14ac:dyDescent="0.25">
      <c r="A26" s="40" t="s">
        <v>24</v>
      </c>
      <c r="B26" s="119">
        <f>1/(1+EXP(-3.1416*4*((B10/(B10+C9))-(3.1416/6))))</f>
        <v>0.33794063376106759</v>
      </c>
      <c r="C26" s="120">
        <f>1/(1+EXP(-3.1416*4*((C10/(C10+B9))-(3.1416/6))))</f>
        <v>0.32104851185277594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0.29699999999999999</v>
      </c>
      <c r="G26" s="87">
        <v>1</v>
      </c>
      <c r="H26" s="128">
        <f>L25*J26+L26*J25</f>
        <v>0.18844889796416148</v>
      </c>
      <c r="I26" s="93">
        <v>1</v>
      </c>
      <c r="J26" s="86">
        <f t="shared" si="11"/>
        <v>0.31087364013458746</v>
      </c>
      <c r="K26" s="93">
        <v>1</v>
      </c>
      <c r="L26" s="86">
        <f>T21</f>
        <v>0.47329048709813587</v>
      </c>
      <c r="M26" s="85">
        <v>1</v>
      </c>
      <c r="N26" s="71">
        <f>(($B$24)^M26)*((1-($B$24))^($B$21-M26))*HLOOKUP($B$21,$AV$24:$BF$34,M26+1)</f>
        <v>0.17240082680545371</v>
      </c>
      <c r="O26" s="72">
        <v>1</v>
      </c>
      <c r="P26" s="71">
        <f t="shared" ref="P26:P30" si="12">N26</f>
        <v>0.17240082680545371</v>
      </c>
      <c r="Q26" s="28">
        <v>1</v>
      </c>
      <c r="R26" s="37">
        <f>N26*P25+P26*N25</f>
        <v>1.2718675710875735E-2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1.2549053987502723E-2</v>
      </c>
      <c r="W26" s="137"/>
      <c r="X26" s="28">
        <v>1</v>
      </c>
      <c r="Y26" s="73"/>
      <c r="Z26" s="28">
        <v>1</v>
      </c>
      <c r="AA26" s="79">
        <f>(1-((1-W25)^Z26))*V26</f>
        <v>4.514312269433462E-3</v>
      </c>
      <c r="AB26" s="28">
        <v>1</v>
      </c>
      <c r="AC26" s="79">
        <f>((($W$25)^M26)*((1-($W$25))^($U$27-M26))*HLOOKUP($U$27,$AV$24:$BF$34,M26+1))*V27</f>
        <v>2.4363882938257114E-2</v>
      </c>
      <c r="AD26" s="28">
        <v>1</v>
      </c>
      <c r="AE26" s="79">
        <f>((($W$25)^M26)*((1-($W$25))^($U$28-M26))*HLOOKUP($U$28,$AV$24:$BF$34,M26+1))*V28</f>
        <v>5.84697788011223E-2</v>
      </c>
      <c r="AF26" s="28">
        <v>1</v>
      </c>
      <c r="AG26" s="79">
        <f>((($W$25)^M26)*((1-($W$25))^($U$29-M26))*HLOOKUP($U$29,$AV$24:$BF$34,M26+1))*V29</f>
        <v>8.190986875010392E-2</v>
      </c>
      <c r="AH26" s="28">
        <v>1</v>
      </c>
      <c r="AI26" s="79">
        <f>((($W$25)^M26)*((1-($W$25))^($U$30-M26))*HLOOKUP($U$30,$AV$24:$BF$34,M26+1))*V30</f>
        <v>7.384290788208149E-2</v>
      </c>
      <c r="AJ26" s="28">
        <v>1</v>
      </c>
      <c r="AK26" s="79">
        <f>((($W$25)^M26)*((1-($W$25))^($U$31-M26))*HLOOKUP($U$31,$AV$24:$BF$34,M26+1))*V31</f>
        <v>4.445417422498156E-2</v>
      </c>
      <c r="AL26" s="28">
        <v>1</v>
      </c>
      <c r="AM26" s="79">
        <f>((($W$25)^Q26)*((1-($W$25))^($U$32-Q26))*HLOOKUP($U$32,$AV$24:$BF$34,Q26+1))*V32</f>
        <v>1.7892945550257135E-2</v>
      </c>
      <c r="AN26" s="28">
        <v>1</v>
      </c>
      <c r="AO26" s="79">
        <f>((($W$25)^Q26)*((1-($W$25))^($U$33-Q26))*HLOOKUP($U$33,$AV$24:$BF$34,Q26+1))*V33</f>
        <v>4.6564435395851532E-3</v>
      </c>
      <c r="AP26" s="28">
        <v>1</v>
      </c>
      <c r="AQ26" s="79">
        <f>((($W$25)^Q26)*((1-($W$25))^($U$34-Q26))*HLOOKUP($U$34,$AV$24:$BF$34,Q26+1))*V34</f>
        <v>7.1687898140239544E-4</v>
      </c>
      <c r="AR26" s="28">
        <v>1</v>
      </c>
      <c r="AS26" s="79">
        <f>((($W$25)^Q26)*((1-($W$25))^($U$35-Q26))*HLOOKUP($U$35,$AV$24:$BF$34,Q26+1))*V35</f>
        <v>5.2447197362993076E-5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2.9292895773804562E-3</v>
      </c>
      <c r="BP26">
        <f>BP20+1</f>
        <v>7</v>
      </c>
      <c r="BQ26">
        <v>2</v>
      </c>
      <c r="BR26" s="107">
        <f t="shared" si="10"/>
        <v>1.2935402029641239E-3</v>
      </c>
    </row>
    <row r="27" spans="1:70" x14ac:dyDescent="0.25">
      <c r="A27" s="26" t="s">
        <v>25</v>
      </c>
      <c r="B27" s="119">
        <f>1/(1+EXP(-3.1416*4*((B12/(B12+C7))-(3.1416/6))))</f>
        <v>0.42639691249266598</v>
      </c>
      <c r="C27" s="120">
        <f>1/(1+EXP(-3.1416*4*((C12/(C12+B7))-(3.1416/6))))</f>
        <v>0.31104599731775551</v>
      </c>
      <c r="D27" s="153">
        <f>D26</f>
        <v>0.25700000000000001</v>
      </c>
      <c r="E27" s="153">
        <f>E26</f>
        <v>0.29699999999999999</v>
      </c>
      <c r="G27" s="87">
        <v>2</v>
      </c>
      <c r="H27" s="128">
        <f>L25*J27+J26*L26+J25*L27</f>
        <v>0.2787610140943943</v>
      </c>
      <c r="I27" s="93">
        <v>2</v>
      </c>
      <c r="J27" s="86">
        <f t="shared" si="11"/>
        <v>0.29520544868017712</v>
      </c>
      <c r="K27" s="93">
        <v>2</v>
      </c>
      <c r="L27" s="86">
        <f>U21</f>
        <v>0.12838478769888229</v>
      </c>
      <c r="M27" s="85">
        <v>2</v>
      </c>
      <c r="N27" s="71">
        <f>(($B$24)^M27)*((1-($B$24))^($B$21-M27))*HLOOKUP($B$21,$AV$24:$BF$34,M27+1)</f>
        <v>0.32230431929712483</v>
      </c>
      <c r="O27" s="72">
        <v>2</v>
      </c>
      <c r="P27" s="71">
        <f t="shared" si="12"/>
        <v>0.32230431929712483</v>
      </c>
      <c r="Q27" s="28">
        <v>2</v>
      </c>
      <c r="R27" s="37">
        <f>P25*N27+P26*N26+P27*N25</f>
        <v>5.3499681149767289E-2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5.2890170363154992E-2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6.8444126481295407E-3</v>
      </c>
      <c r="AD27" s="28">
        <v>2</v>
      </c>
      <c r="AE27" s="79">
        <f>((($W$25)^M27)*((1-($W$25))^($U$28-M27))*HLOOKUP($U$28,$AV$24:$BF$34,M27+1))*V28</f>
        <v>3.2851191624414022E-2</v>
      </c>
      <c r="AF27" s="28">
        <v>2</v>
      </c>
      <c r="AG27" s="79">
        <f>((($W$25)^M27)*((1-($W$25))^($U$29-M27))*HLOOKUP($U$29,$AV$24:$BF$34,M27+1))*V29</f>
        <v>6.9031477014633844E-2</v>
      </c>
      <c r="AH27" s="28">
        <v>2</v>
      </c>
      <c r="AI27" s="79">
        <f>((($W$25)^M27)*((1-($W$25))^($U$30-M27))*HLOOKUP($U$30,$AV$24:$BF$34,M27+1))*V30</f>
        <v>8.297714021424174E-2</v>
      </c>
      <c r="AJ27" s="28">
        <v>2</v>
      </c>
      <c r="AK27" s="79">
        <f>((($W$25)^M27)*((1-($W$25))^($U$31-M27))*HLOOKUP($U$31,$AV$24:$BF$34,M27+1))*V31</f>
        <v>6.2441342600988464E-2</v>
      </c>
      <c r="AL27" s="28">
        <v>2</v>
      </c>
      <c r="AM27" s="79">
        <f>((($W$25)^Q27)*((1-($W$25))^($U$32-Q27))*HLOOKUP($U$32,$AV$24:$BF$34,Q27+1))*V32</f>
        <v>3.0159405168747832E-2</v>
      </c>
      <c r="AN27" s="28">
        <v>2</v>
      </c>
      <c r="AO27" s="79">
        <f>((($W$25)^Q27)*((1-($W$25))^($U$33-Q27))*HLOOKUP($U$33,$AV$24:$BF$34,Q27+1))*V33</f>
        <v>9.1567648707239734E-3</v>
      </c>
      <c r="AP27" s="28">
        <v>2</v>
      </c>
      <c r="AQ27" s="79">
        <f>((($W$25)^Q27)*((1-($W$25))^($U$34-Q27))*HLOOKUP($U$34,$AV$24:$BF$34,Q27+1))*V34</f>
        <v>1.6111111943603108E-3</v>
      </c>
      <c r="AR27" s="28">
        <v>2</v>
      </c>
      <c r="AS27" s="79">
        <f>((($W$25)^Q27)*((1-($W$25))^($U$35-Q27))*HLOOKUP($U$35,$AV$24:$BF$34,Q27+1))*V35</f>
        <v>1.3260334393738708E-4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6.136184506420506E-4</v>
      </c>
      <c r="BP27">
        <f>BP21+1</f>
        <v>7</v>
      </c>
      <c r="BQ27">
        <v>3</v>
      </c>
      <c r="BR27" s="107">
        <f t="shared" si="10"/>
        <v>9.3795624106692151E-4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0.24553852703124959</v>
      </c>
      <c r="I28" s="93">
        <v>3</v>
      </c>
      <c r="J28" s="86">
        <f t="shared" si="11"/>
        <v>0.1662487384716638</v>
      </c>
      <c r="K28" s="93">
        <v>3</v>
      </c>
      <c r="L28" s="86">
        <f>V21</f>
        <v>1.6545310153285142E-2</v>
      </c>
      <c r="M28" s="85">
        <v>3</v>
      </c>
      <c r="N28" s="71">
        <f>(($B$24)^M28)*((1-($B$24))^($B$21-M28))*HLOOKUP($B$21,$AV$24:$BF$34,M28+1)</f>
        <v>0.30127487252368806</v>
      </c>
      <c r="O28" s="72">
        <v>3</v>
      </c>
      <c r="P28" s="71">
        <f t="shared" si="12"/>
        <v>0.30127487252368806</v>
      </c>
      <c r="Q28" s="28">
        <v>3</v>
      </c>
      <c r="R28" s="37">
        <f>P25*N28+P26*N27+P27*N26+P28*N25</f>
        <v>0.13335727471150385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0.13216234034548546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6.1524706339591137E-3</v>
      </c>
      <c r="AF28" s="28">
        <v>3</v>
      </c>
      <c r="AG28" s="79">
        <f>((($W$25)^M28)*((1-($W$25))^($U$29-M28))*HLOOKUP($U$29,$AV$24:$BF$34,M28+1))*V29</f>
        <v>2.5856848056356251E-2</v>
      </c>
      <c r="AH28" s="28">
        <v>3</v>
      </c>
      <c r="AI28" s="79">
        <f>((($W$25)^M28)*((1-($W$25))^($U$30-M28))*HLOOKUP($U$30,$AV$24:$BF$34,M28+1))*V30</f>
        <v>4.662063017025822E-2</v>
      </c>
      <c r="AJ28" s="28">
        <v>3</v>
      </c>
      <c r="AK28" s="79">
        <f>((($W$25)^M28)*((1-($W$25))^($U$31-M28))*HLOOKUP($U$31,$AV$24:$BF$34,M28+1))*V31</f>
        <v>4.6776814806566612E-2</v>
      </c>
      <c r="AL28" s="28">
        <v>3</v>
      </c>
      <c r="AM28" s="79">
        <f>((($W$25)^Q28)*((1-($W$25))^($U$32-Q28))*HLOOKUP($U$32,$AV$24:$BF$34,Q28+1))*V32</f>
        <v>2.824172358187715E-2</v>
      </c>
      <c r="AN28" s="28">
        <v>3</v>
      </c>
      <c r="AO28" s="79">
        <f>((($W$25)^Q28)*((1-($W$25))^($U$33-Q28))*HLOOKUP($U$33,$AV$24:$BF$34,Q28+1))*V33</f>
        <v>1.0289439898550877E-2</v>
      </c>
      <c r="AP28" s="28">
        <v>3</v>
      </c>
      <c r="AQ28" s="79">
        <f>((($W$25)^Q28)*((1-($W$25))^($U$34-Q28))*HLOOKUP($U$34,$AV$24:$BF$34,Q28+1))*V34</f>
        <v>2.1121364781132171E-3</v>
      </c>
      <c r="AR28" s="28">
        <v>3</v>
      </c>
      <c r="AS28" s="79">
        <f>((($W$25)^Q28)*((1-($W$25))^($U$35-Q28))*HLOOKUP($U$35,$AV$24:$BF$34,Q28+1))*V35</f>
        <v>1.9867484598232906E-4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9.8266738674302631E-5</v>
      </c>
      <c r="BP28">
        <f>BP22+1</f>
        <v>7</v>
      </c>
      <c r="BQ28">
        <v>4</v>
      </c>
      <c r="BR28" s="107">
        <f t="shared" si="10"/>
        <v>4.6868596105198614E-4</v>
      </c>
    </row>
    <row r="29" spans="1:70" x14ac:dyDescent="0.25">
      <c r="A29" s="26" t="s">
        <v>27</v>
      </c>
      <c r="B29" s="123">
        <f>1/(1+EXP(-3.1416*4*((B14/(B14+C13))-(3.1416/6))))</f>
        <v>7.5565815647523946E-2</v>
      </c>
      <c r="C29" s="118">
        <f>1/(1+EXP(-3.1416*4*((C14/(C14+B13))-(3.1416/6))))</f>
        <v>0.56467862203043173</v>
      </c>
      <c r="D29" s="153">
        <v>0.04</v>
      </c>
      <c r="E29" s="153">
        <v>0.04</v>
      </c>
      <c r="G29" s="87">
        <v>4</v>
      </c>
      <c r="H29" s="128">
        <f>J29*L25+J28*L26+J27*L27+J26*L28</f>
        <v>0.14521031978937685</v>
      </c>
      <c r="I29" s="93">
        <v>4</v>
      </c>
      <c r="J29" s="86">
        <f t="shared" si="11"/>
        <v>6.1509297783250934E-2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0.14080876888666352</v>
      </c>
      <c r="O29" s="72">
        <v>4</v>
      </c>
      <c r="P29" s="71">
        <f t="shared" si="12"/>
        <v>0.14080876888666352</v>
      </c>
      <c r="Q29" s="28">
        <v>4</v>
      </c>
      <c r="R29" s="37">
        <f>P25*N29+P26*N28+P27*N27+P28*N26+P29*N25</f>
        <v>0.21814815589892428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0.21687666694559748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3.6319115948426177E-3</v>
      </c>
      <c r="AH29" s="28">
        <v>4</v>
      </c>
      <c r="AI29" s="79">
        <f>((($W$25)^M29)*((1-($W$25))^($U$30-M29))*HLOOKUP($U$30,$AV$24:$BF$34,M29+1))*V30</f>
        <v>1.3096879163708188E-2</v>
      </c>
      <c r="AJ29" s="28">
        <v>4</v>
      </c>
      <c r="AK29" s="79">
        <f>((($W$25)^M29)*((1-($W$25))^($U$31-M29))*HLOOKUP($U$31,$AV$24:$BF$34,M29+1))*V31</f>
        <v>1.9711132891622359E-2</v>
      </c>
      <c r="AL29" s="28">
        <v>4</v>
      </c>
      <c r="AM29" s="79">
        <f>((($W$25)^Q29)*((1-($W$25))^($U$32-Q29))*HLOOKUP($U$32,$AV$24:$BF$34,Q29+1))*V32</f>
        <v>1.5867586507342334E-2</v>
      </c>
      <c r="AN29" s="28">
        <v>4</v>
      </c>
      <c r="AO29" s="79">
        <f>((($W$25)^Q29)*((1-($W$25))^($U$33-Q29))*HLOOKUP($U$33,$AV$24:$BF$34,Q29+1))*V33</f>
        <v>7.2263904692738889E-3</v>
      </c>
      <c r="AP29" s="28">
        <v>4</v>
      </c>
      <c r="AQ29" s="79">
        <f>((($W$25)^Q29)*((1-($W$25))^($U$34-Q29))*HLOOKUP($U$34,$AV$24:$BF$34,Q29+1))*V34</f>
        <v>1.7800529162788732E-3</v>
      </c>
      <c r="AR29" s="28">
        <v>4</v>
      </c>
      <c r="AS29" s="79">
        <f>((($W$25)^Q29)*((1-($W$25))^($U$35-Q29))*HLOOKUP($U$35,$AV$24:$BF$34,Q29+1))*V35</f>
        <v>1.9534424018266555E-4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1.1889540104693938E-5</v>
      </c>
      <c r="BP29">
        <f>BP23+1</f>
        <v>7</v>
      </c>
      <c r="BQ29">
        <v>5</v>
      </c>
      <c r="BR29" s="107">
        <f t="shared" si="10"/>
        <v>1.7088401435240151E-4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6.1307288642760194E-2</v>
      </c>
      <c r="I30" s="93">
        <v>5</v>
      </c>
      <c r="J30" s="86">
        <f t="shared" si="11"/>
        <v>1.5630618617401081E-2</v>
      </c>
      <c r="K30" s="93">
        <v>5</v>
      </c>
      <c r="L30" s="86"/>
      <c r="M30" s="85">
        <v>5</v>
      </c>
      <c r="N30" s="71">
        <f>(($B$24)^M30)*((1-($B$24))^($B$21-M30))*HLOOKUP($B$21,$AV$24:$BF$34,M30+1)</f>
        <v>2.6324278861084092E-2</v>
      </c>
      <c r="O30" s="72">
        <v>5</v>
      </c>
      <c r="P30" s="71">
        <f t="shared" si="12"/>
        <v>2.6324278861084092E-2</v>
      </c>
      <c r="Q30" s="28">
        <v>5</v>
      </c>
      <c r="R30" s="37">
        <f>P25*N30+P26*N29+P27*N28+P28*N27+P29*N26+P30*N25</f>
        <v>0.24469752562938984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0.24429492486692347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1.4716939106344444E-3</v>
      </c>
      <c r="AJ30" s="28">
        <v>5</v>
      </c>
      <c r="AK30" s="79">
        <f>((($W$25)^M30)*((1-($W$25))^($U$31-M30))*HLOOKUP($U$31,$AV$24:$BF$34,M30+1))*V31</f>
        <v>4.4298727789580565E-3</v>
      </c>
      <c r="AL30" s="28">
        <v>5</v>
      </c>
      <c r="AM30" s="79">
        <f>((($W$25)^Q30)*((1-($W$25))^($U$32-Q30))*HLOOKUP($U$32,$AV$24:$BF$34,Q30+1))*V32</f>
        <v>5.3491133606922139E-3</v>
      </c>
      <c r="AN30" s="28">
        <v>5</v>
      </c>
      <c r="AO30" s="79">
        <f>((($W$25)^Q30)*((1-($W$25))^($U$33-Q30))*HLOOKUP($U$33,$AV$24:$BF$34,Q30+1))*V33</f>
        <v>3.2481126890036949E-3</v>
      </c>
      <c r="AP30" s="28">
        <v>5</v>
      </c>
      <c r="AQ30" s="79">
        <f>((($W$25)^Q30)*((1-($W$25))^($U$34-Q30))*HLOOKUP($U$34,$AV$24:$BF$34,Q30+1))*V34</f>
        <v>1.0001210993661543E-3</v>
      </c>
      <c r="AR30" s="28">
        <v>5</v>
      </c>
      <c r="AS30" s="79">
        <f>((($W$25)^Q30)*((1-($W$25))^($U$35-Q30))*HLOOKUP($U$35,$AV$24:$BF$34,Q30+1))*V35</f>
        <v>1.3170477874651639E-4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1.0565646808631109E-6</v>
      </c>
      <c r="BP30">
        <f>BL10+1</f>
        <v>7</v>
      </c>
      <c r="BQ30">
        <v>6</v>
      </c>
      <c r="BR30" s="107">
        <f t="shared" si="10"/>
        <v>4.6886368636649219E-5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0.35973327343472644</v>
      </c>
      <c r="C31" s="61">
        <f>(C25*E25)+(C26*E26)+(C27*E27)+(C28*E28)+(C29*E29)+(C30*E30)/(C25+C26+C27+C28+C29+C30)</f>
        <v>0.33152177270768135</v>
      </c>
      <c r="G31" s="87">
        <v>6</v>
      </c>
      <c r="H31" s="128">
        <f>J31*L25+J30*L26+J29*L27+J28*L28</f>
        <v>1.9101079249969469E-2</v>
      </c>
      <c r="I31" s="93">
        <v>6</v>
      </c>
      <c r="J31" s="86">
        <f t="shared" si="11"/>
        <v>2.765369297716121E-3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0.19060975250974546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0.1914150241202803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4.1481999338586307E-4</v>
      </c>
      <c r="AL31" s="28">
        <v>6</v>
      </c>
      <c r="AM31" s="79">
        <f>((($W$25)^Q31)*((1-($W$25))^($U$32-Q31))*HLOOKUP($U$32,$AV$24:$BF$34,Q31+1))*V32</f>
        <v>1.0017981461871619E-3</v>
      </c>
      <c r="AN31" s="28">
        <v>6</v>
      </c>
      <c r="AO31" s="79">
        <f>((($W$25)^Q31)*((1-($W$25))^($U$33-Q31))*HLOOKUP($U$33,$AV$24:$BF$34,Q31+1))*V33</f>
        <v>9.1247456850395109E-4</v>
      </c>
      <c r="AP31" s="28">
        <v>6</v>
      </c>
      <c r="AQ31" s="79">
        <f>((($W$25)^Q31)*((1-($W$25))^($U$34-Q31))*HLOOKUP($U$34,$AV$24:$BF$34,Q31+1))*V34</f>
        <v>3.7461141529370167E-4</v>
      </c>
      <c r="AR31" s="28">
        <v>6</v>
      </c>
      <c r="AS31" s="79">
        <f>((($W$25)^Q31)*((1-($W$25))^($U$35-Q31))*HLOOKUP($U$35,$AV$24:$BF$34,Q31+1))*V35</f>
        <v>6.166517434544341E-5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2.5792014479022449E-2</v>
      </c>
      <c r="BP31">
        <f t="shared" ref="BP31:BP37" si="17">BP24+1</f>
        <v>8</v>
      </c>
      <c r="BQ31">
        <v>0</v>
      </c>
      <c r="BR31" s="107">
        <f t="shared" ref="BR31:BR38" si="18">$H$33*H39</f>
        <v>7.6089865598136025E-5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4.4618639854800517E-3</v>
      </c>
      <c r="I32" s="93">
        <v>7</v>
      </c>
      <c r="J32" s="86">
        <f t="shared" si="11"/>
        <v>3.3688809966121562E-4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0.10181314535171281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0.10314248555549181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8.040848145138697E-5</v>
      </c>
      <c r="AN32" s="28">
        <v>7</v>
      </c>
      <c r="AO32" s="79">
        <f>((($W$25)^Q32)*((1-($W$25))^($U$33-Q32))*HLOOKUP($U$33,$AV$24:$BF$34,Q32+1))*V33</f>
        <v>1.4647799997566523E-4</v>
      </c>
      <c r="AP32" s="28">
        <v>7</v>
      </c>
      <c r="AQ32" s="79">
        <f>((($W$25)^Q32)*((1-($W$25))^($U$34-Q32))*HLOOKUP($U$34,$AV$24:$BF$34,Q32+1))*V34</f>
        <v>9.0203605844446839E-5</v>
      </c>
      <c r="AR32" s="28">
        <v>7</v>
      </c>
      <c r="AS32" s="79">
        <f>((($W$25)^Q32)*((1-($W$25))^($U$35-Q32))*HLOOKUP($U$35,$AV$24:$BF$34,Q32+1))*V35</f>
        <v>1.9798012389716571E-5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9.4038297253835404E-3</v>
      </c>
      <c r="BP32">
        <f t="shared" si="17"/>
        <v>8</v>
      </c>
      <c r="BQ32">
        <v>1</v>
      </c>
      <c r="BR32" s="107">
        <f t="shared" si="18"/>
        <v>1.9296447755223677E-4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7.8344794483337652E-4</v>
      </c>
      <c r="I33" s="93">
        <v>8</v>
      </c>
      <c r="J33" s="86">
        <f t="shared" si="11"/>
        <v>2.7128830235388409E-5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3.5688796911680074E-2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3.668235538504782E-2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1.0287316252573903E-5</v>
      </c>
      <c r="AP33" s="28">
        <v>8</v>
      </c>
      <c r="AQ33" s="79">
        <f>((($W$25)^Q33)*((1-($W$25))^($U$34-Q33))*HLOOKUP($U$34,$AV$24:$BF$34,Q33+1))*V34</f>
        <v>1.2670203315153286E-5</v>
      </c>
      <c r="AR33" s="28">
        <v>8</v>
      </c>
      <c r="AS33" s="79">
        <f>((($W$25)^Q33)*((1-($W$25))^($U$35-Q33))*HLOOKUP($U$35,$AV$24:$BF$34,Q33+1))*V35</f>
        <v>4.1713106676612194E-6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2.580179478879477E-3</v>
      </c>
      <c r="BP33">
        <f t="shared" si="17"/>
        <v>8</v>
      </c>
      <c r="BQ33">
        <v>2</v>
      </c>
      <c r="BR33" s="107">
        <f t="shared" si="18"/>
        <v>2.271296070139076E-4</v>
      </c>
    </row>
    <row r="34" spans="1:70" x14ac:dyDescent="0.25">
      <c r="A34" s="40" t="s">
        <v>86</v>
      </c>
      <c r="B34" s="56">
        <f>B23*2</f>
        <v>4.8313811056456837</v>
      </c>
      <c r="C34" s="57">
        <f>C23*2</f>
        <v>5.1686188943543163</v>
      </c>
      <c r="G34" s="87">
        <v>9</v>
      </c>
      <c r="H34" s="128">
        <f>J34*L25+J33*L26+J32*L27+J31*L28</f>
        <v>1.0234582844008151E-4</v>
      </c>
      <c r="I34" s="93">
        <v>9</v>
      </c>
      <c r="J34" s="86">
        <f t="shared" si="11"/>
        <v>1.3117818076600755E-6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7.4133785965169443E-3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7.8403466439198304E-3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7.9097134652937659E-7</v>
      </c>
      <c r="AR34" s="28">
        <v>9</v>
      </c>
      <c r="AS34" s="79">
        <f>((($W$25)^Q34)*((1-($W$25))^($U$35-Q34))*HLOOKUP($U$35,$AV$24:$BF$34,Q34+1))*V35</f>
        <v>5.2081046113069898E-7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5.4048795531654818E-4</v>
      </c>
      <c r="BP34">
        <f t="shared" si="17"/>
        <v>8</v>
      </c>
      <c r="BQ34">
        <v>3</v>
      </c>
      <c r="BR34" s="107">
        <f t="shared" si="18"/>
        <v>1.6469347604473365E-4</v>
      </c>
    </row>
    <row r="35" spans="1:70" ht="15.75" thickBot="1" x14ac:dyDescent="0.3">
      <c r="G35" s="88">
        <v>10</v>
      </c>
      <c r="H35" s="129">
        <f>J35*L25+J34*L26+J33*L27+J32*L28</f>
        <v>9.6888725669844525E-6</v>
      </c>
      <c r="I35" s="94">
        <v>10</v>
      </c>
      <c r="J35" s="89">
        <f t="shared" si="11"/>
        <v>2.9261688019718699E-8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6.9296765755611878E-4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8.0629372399343424E-4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2.9261688019718699E-8</v>
      </c>
      <c r="BH35">
        <f t="shared" si="15"/>
        <v>3</v>
      </c>
      <c r="BI35">
        <v>8</v>
      </c>
      <c r="BJ35" s="107">
        <f t="shared" si="16"/>
        <v>8.655539709753911E-5</v>
      </c>
      <c r="BP35">
        <f t="shared" si="17"/>
        <v>8</v>
      </c>
      <c r="BQ35">
        <v>4</v>
      </c>
      <c r="BR35" s="107">
        <f t="shared" si="18"/>
        <v>8.2295438443072224E-5</v>
      </c>
    </row>
    <row r="36" spans="1:70" x14ac:dyDescent="0.25">
      <c r="A36" s="1"/>
      <c r="B36" s="108">
        <f>SUM(B37:B39)</f>
        <v>0.99998941059738211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5"/>
        <v>3</v>
      </c>
      <c r="BI36">
        <v>9</v>
      </c>
      <c r="BJ36" s="107">
        <f t="shared" si="16"/>
        <v>1.0472555403306751E-5</v>
      </c>
      <c r="BP36">
        <f t="shared" si="17"/>
        <v>8</v>
      </c>
      <c r="BQ36">
        <v>5</v>
      </c>
      <c r="BR36" s="107">
        <f t="shared" si="18"/>
        <v>3.0005112277052566E-5</v>
      </c>
    </row>
    <row r="37" spans="1:70" ht="15.75" thickBot="1" x14ac:dyDescent="0.3">
      <c r="A37" s="109" t="s">
        <v>104</v>
      </c>
      <c r="B37" s="107">
        <f>SUM(BN4:BN14)</f>
        <v>0.20212473703428283</v>
      </c>
      <c r="G37" s="13"/>
      <c r="H37" s="59">
        <f>SUM(H39:H49)</f>
        <v>0.99999975649246087</v>
      </c>
      <c r="I37" s="13"/>
      <c r="J37" s="59">
        <f>SUM(J39:J49)</f>
        <v>1.0000000000000002</v>
      </c>
      <c r="K37" s="59"/>
      <c r="L37" s="59">
        <f>SUM(L39:L49)</f>
        <v>0.99999999999999989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0.99844551053202779</v>
      </c>
      <c r="W37" s="13"/>
      <c r="X37" s="13"/>
      <c r="Y37" s="80">
        <f>SUM(Y39:Y49)</f>
        <v>6.8262502864613653E-4</v>
      </c>
      <c r="Z37" s="81"/>
      <c r="AA37" s="80">
        <f>SUM(AA39:AA49)</f>
        <v>7.3130238238691839E-3</v>
      </c>
      <c r="AB37" s="81"/>
      <c r="AC37" s="80">
        <f>SUM(AC39:AC49)</f>
        <v>3.5266280321560331E-2</v>
      </c>
      <c r="AD37" s="81"/>
      <c r="AE37" s="80">
        <f>SUM(AE39:AE49)</f>
        <v>0.10082411675813134</v>
      </c>
      <c r="AF37" s="81"/>
      <c r="AG37" s="80">
        <f>SUM(AG39:AG49)</f>
        <v>0.18927950571886279</v>
      </c>
      <c r="AH37" s="81"/>
      <c r="AI37" s="80">
        <f>SUM(AI39:AI49)</f>
        <v>0.24388361304267889</v>
      </c>
      <c r="AJ37" s="81"/>
      <c r="AK37" s="80">
        <f>SUM(AK39:AK49)</f>
        <v>0.21854035440020614</v>
      </c>
      <c r="AL37" s="81"/>
      <c r="AM37" s="80">
        <f>SUM(AM39:AM49)</f>
        <v>0.13462476701650197</v>
      </c>
      <c r="AN37" s="81"/>
      <c r="AO37" s="80">
        <f>SUM(AO39:AO49)</f>
        <v>5.46979071529154E-2</v>
      </c>
      <c r="AP37" s="81"/>
      <c r="AQ37" s="80">
        <f>SUM(AQ39:AQ49)</f>
        <v>1.3333317268655763E-2</v>
      </c>
      <c r="AR37" s="81"/>
      <c r="AS37" s="80">
        <f>SUM(AS39:AS49)</f>
        <v>1.554489467972209E-3</v>
      </c>
      <c r="BH37">
        <f t="shared" si="15"/>
        <v>3</v>
      </c>
      <c r="BI37">
        <v>10</v>
      </c>
      <c r="BJ37" s="107">
        <f t="shared" si="16"/>
        <v>9.3064425201338613E-7</v>
      </c>
      <c r="BP37">
        <f t="shared" si="17"/>
        <v>8</v>
      </c>
      <c r="BQ37">
        <v>6</v>
      </c>
      <c r="BR37" s="107">
        <f t="shared" si="18"/>
        <v>8.232664480275682E-6</v>
      </c>
    </row>
    <row r="38" spans="1:70" ht="15.75" thickBot="1" x14ac:dyDescent="0.3">
      <c r="A38" s="110" t="s">
        <v>105</v>
      </c>
      <c r="B38" s="107">
        <f>SUM(BJ4:BJ59)</f>
        <v>0.32534223593304623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5.5613802777842716E-3</v>
      </c>
      <c r="BP38">
        <f>BL11+1</f>
        <v>8</v>
      </c>
      <c r="BQ38">
        <v>7</v>
      </c>
      <c r="BR38" s="107">
        <f t="shared" si="18"/>
        <v>1.7245528957093237E-6</v>
      </c>
    </row>
    <row r="39" spans="1:70" x14ac:dyDescent="0.25">
      <c r="A39" s="111" t="s">
        <v>0</v>
      </c>
      <c r="B39" s="107">
        <f>SUM(BR4:BR47)</f>
        <v>0.47252243763005308</v>
      </c>
      <c r="G39" s="130">
        <v>0</v>
      </c>
      <c r="H39" s="131">
        <f>L39*J39</f>
        <v>9.7121788499067149E-2</v>
      </c>
      <c r="I39" s="97">
        <v>0</v>
      </c>
      <c r="J39" s="98">
        <f t="shared" ref="J39:J49" si="33">Y39+AA39+AC39+AE39+AG39+AI39+AK39+AM39+AO39+AQ39+AS39</f>
        <v>0.15189558866767855</v>
      </c>
      <c r="K39" s="102">
        <v>0</v>
      </c>
      <c r="L39" s="98">
        <f>AC21</f>
        <v>0.63939834824007258</v>
      </c>
      <c r="M39" s="84">
        <v>0</v>
      </c>
      <c r="N39" s="71">
        <f>(1-$C$24)^$B$21</f>
        <v>2.6324278861084092E-2</v>
      </c>
      <c r="O39" s="70">
        <v>0</v>
      </c>
      <c r="P39" s="71">
        <f>N39</f>
        <v>2.6324278861084092E-2</v>
      </c>
      <c r="Q39" s="12">
        <v>0</v>
      </c>
      <c r="R39" s="73">
        <f>P39*N39</f>
        <v>6.9296765755611878E-4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6.8262502864613653E-4</v>
      </c>
      <c r="W39" s="136">
        <f>C31</f>
        <v>0.33152177270768135</v>
      </c>
      <c r="X39" s="12">
        <v>0</v>
      </c>
      <c r="Y39" s="79">
        <f>V39</f>
        <v>6.8262502864613653E-4</v>
      </c>
      <c r="Z39" s="12">
        <v>0</v>
      </c>
      <c r="AA39" s="78">
        <f>((1-W39)^Z40)*V40</f>
        <v>4.8885972019265655E-3</v>
      </c>
      <c r="AB39" s="12">
        <v>0</v>
      </c>
      <c r="AC39" s="79">
        <f>(((1-$W$39)^AB41))*V41</f>
        <v>1.5759200773445385E-2</v>
      </c>
      <c r="AD39" s="12">
        <v>0</v>
      </c>
      <c r="AE39" s="79">
        <f>(((1-$W$39)^AB42))*V42</f>
        <v>3.0118006731708811E-2</v>
      </c>
      <c r="AF39" s="12">
        <v>0</v>
      </c>
      <c r="AG39" s="79">
        <f>(((1-$W$39)^AB43))*V43</f>
        <v>3.779659347998731E-2</v>
      </c>
      <c r="AH39" s="12">
        <v>0</v>
      </c>
      <c r="AI39" s="79">
        <f>(((1-$W$39)^AB44))*V44</f>
        <v>3.2555093978258072E-2</v>
      </c>
      <c r="AJ39" s="12">
        <v>0</v>
      </c>
      <c r="AK39" s="79">
        <f>(((1-$W$39)^AB45))*V45</f>
        <v>1.9500926378238633E-2</v>
      </c>
      <c r="AL39" s="12">
        <v>0</v>
      </c>
      <c r="AM39" s="79">
        <f>(((1-$W$39)^AB46))*V46</f>
        <v>8.0303750871998925E-3</v>
      </c>
      <c r="AN39" s="12">
        <v>0</v>
      </c>
      <c r="AO39" s="79">
        <f>(((1-$W$39)^AB47))*V47</f>
        <v>2.1810661753581444E-3</v>
      </c>
      <c r="AP39" s="12">
        <v>0</v>
      </c>
      <c r="AQ39" s="79">
        <f>(((1-$W$39)^AB48))*V48</f>
        <v>3.554050650768927E-4</v>
      </c>
      <c r="AR39" s="12">
        <v>0</v>
      </c>
      <c r="AS39" s="79">
        <f>(((1-$W$39)^AB49))*V49</f>
        <v>2.7698767832692923E-5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1.525905900683328E-3</v>
      </c>
      <c r="BP39">
        <f t="shared" ref="BP39:BP46" si="34">BP31+1</f>
        <v>9</v>
      </c>
      <c r="BQ39">
        <v>0</v>
      </c>
      <c r="BR39" s="107">
        <f t="shared" ref="BR39:BR47" si="35">$H$34*H39</f>
        <v>9.9400099035194071E-6</v>
      </c>
    </row>
    <row r="40" spans="1:70" x14ac:dyDescent="0.25">
      <c r="G40" s="91">
        <v>1</v>
      </c>
      <c r="H40" s="132">
        <f>L39*J40+L40*J39</f>
        <v>0.24630159390267647</v>
      </c>
      <c r="I40" s="93">
        <v>1</v>
      </c>
      <c r="J40" s="86">
        <f t="shared" si="33"/>
        <v>0.31485189947130687</v>
      </c>
      <c r="K40" s="95">
        <v>1</v>
      </c>
      <c r="L40" s="86">
        <f>AD21</f>
        <v>0.29616271173545855</v>
      </c>
      <c r="M40" s="85">
        <v>1</v>
      </c>
      <c r="N40" s="71">
        <f>(($C$24)^M26)*((1-($C$24))^($B$21-M26))*HLOOKUP($B$21,$AV$24:$BF$34,M26+1)</f>
        <v>0.14080876888666352</v>
      </c>
      <c r="O40" s="72">
        <v>1</v>
      </c>
      <c r="P40" s="71">
        <f t="shared" ref="P40:P44" si="36">N40</f>
        <v>0.14080876888666352</v>
      </c>
      <c r="Q40" s="28">
        <v>1</v>
      </c>
      <c r="R40" s="37">
        <f>P40*N39+P39*N40</f>
        <v>7.4133785965169443E-3</v>
      </c>
      <c r="S40" s="72">
        <v>1</v>
      </c>
      <c r="T40" s="135">
        <f t="shared" ref="T40:T49" si="37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7.3130238238691839E-3</v>
      </c>
      <c r="W40" s="137"/>
      <c r="X40" s="28">
        <v>1</v>
      </c>
      <c r="Y40" s="73"/>
      <c r="Z40" s="28">
        <v>1</v>
      </c>
      <c r="AA40" s="79">
        <f>(1-((1-W39)^Z40))*V40</f>
        <v>2.4244266219426184E-3</v>
      </c>
      <c r="AB40" s="28">
        <v>1</v>
      </c>
      <c r="AC40" s="79">
        <f>((($W$39)^M40)*((1-($W$39))^($U$27-M40))*HLOOKUP($U$27,$AV$24:$BF$34,M40+1))*V41</f>
        <v>1.5631079558210498E-2</v>
      </c>
      <c r="AD40" s="28">
        <v>1</v>
      </c>
      <c r="AE40" s="79">
        <f>((($W$39)^M40)*((1-($W$39))^($U$28-M40))*HLOOKUP($U$28,$AV$24:$BF$34,M40+1))*V42</f>
        <v>4.4809724121733042E-2</v>
      </c>
      <c r="AF40" s="28">
        <v>1</v>
      </c>
      <c r="AG40" s="79">
        <f>((($W$39)^M40)*((1-($W$39))^($U$29-M40))*HLOOKUP($U$29,$AV$24:$BF$34,M40+1))*V43</f>
        <v>7.4978619564329191E-2</v>
      </c>
      <c r="AH40" s="28">
        <v>1</v>
      </c>
      <c r="AI40" s="79">
        <f>((($W$39)^M40)*((1-($W$39))^($U$30-M40))*HLOOKUP($U$30,$AV$24:$BF$34,M40+1))*V44</f>
        <v>8.0726058274578114E-2</v>
      </c>
      <c r="AJ40" s="28">
        <v>1</v>
      </c>
      <c r="AK40" s="79">
        <f>((($W$39)^M40)*((1-($W$39))^($U$31-M40))*HLOOKUP($U$31,$AV$24:$BF$34,M40+1))*V45</f>
        <v>5.8027155575811312E-2</v>
      </c>
      <c r="AL40" s="28">
        <v>1</v>
      </c>
      <c r="AM40" s="79">
        <f>((($W$39)^Q40)*((1-($W$39))^($U$32-Q40))*HLOOKUP($U$32,$AV$24:$BF$34,Q40+1))*V46</f>
        <v>2.7877810420837475E-2</v>
      </c>
      <c r="AN40" s="28">
        <v>1</v>
      </c>
      <c r="AO40" s="79">
        <f>((($W$39)^Q40)*((1-($W$39))^($U$33-Q40))*HLOOKUP($U$33,$AV$24:$BF$34,Q40+1))*V47</f>
        <v>8.6533370312006069E-3</v>
      </c>
      <c r="AP40" s="28">
        <v>1</v>
      </c>
      <c r="AQ40" s="79">
        <f>((($W$39)^Q40)*((1-($W$39))^($U$34-Q40))*HLOOKUP($U$34,$AV$24:$BF$34,Q40+1))*V48</f>
        <v>1.5863204088597963E-3</v>
      </c>
      <c r="AR40" s="28">
        <v>1</v>
      </c>
      <c r="AS40" s="79">
        <f>((($W$39)^Q40)*((1-($W$39))^($U$35-Q40))*HLOOKUP($U$35,$AV$24:$BF$34,Q40+1))*V49</f>
        <v>1.3736789380422616E-4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3.1964201212233262E-4</v>
      </c>
      <c r="BP40">
        <f t="shared" si="34"/>
        <v>9</v>
      </c>
      <c r="BQ40">
        <v>1</v>
      </c>
      <c r="BR40" s="107">
        <f t="shared" si="35"/>
        <v>2.5207940674081951E-5</v>
      </c>
    </row>
    <row r="41" spans="1:70" x14ac:dyDescent="0.25">
      <c r="G41" s="91">
        <v>2</v>
      </c>
      <c r="H41" s="132">
        <f>L39*J41+J40*L40+J39*L41</f>
        <v>0.28991027229283683</v>
      </c>
      <c r="I41" s="93">
        <v>2</v>
      </c>
      <c r="J41" s="86">
        <f t="shared" si="33"/>
        <v>0.29383989454194742</v>
      </c>
      <c r="K41" s="95">
        <v>2</v>
      </c>
      <c r="L41" s="86">
        <f>AE21</f>
        <v>5.7816930762947145E-2</v>
      </c>
      <c r="M41" s="85">
        <v>2</v>
      </c>
      <c r="N41" s="71">
        <f>(($C$24)^M27)*((1-($C$24))^($B$21-M27))*HLOOKUP($B$21,$AV$24:$BF$34,M27+1)</f>
        <v>0.30127487252368806</v>
      </c>
      <c r="O41" s="72">
        <v>2</v>
      </c>
      <c r="P41" s="71">
        <f t="shared" si="36"/>
        <v>0.30127487252368806</v>
      </c>
      <c r="Q41" s="28">
        <v>2</v>
      </c>
      <c r="R41" s="37">
        <f>P41*N39+P40*N40+P39*N41</f>
        <v>3.5688796911680074E-2</v>
      </c>
      <c r="S41" s="72">
        <v>2</v>
      </c>
      <c r="T41" s="135">
        <f t="shared" si="37"/>
        <v>7.4625000000000011E-5</v>
      </c>
      <c r="U41" s="93">
        <v>2</v>
      </c>
      <c r="V41" s="86">
        <f>R41*T39+T40*R40+R39*T41</f>
        <v>3.5266280321560331E-2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3.8759999899044511E-3</v>
      </c>
      <c r="AD41" s="28">
        <v>2</v>
      </c>
      <c r="AE41" s="79">
        <f>((($W$39)^M41)*((1-($W$39))^($U$28-M41))*HLOOKUP($U$28,$AV$24:$BF$34,M41+1))*V42</f>
        <v>2.222271207777568E-2</v>
      </c>
      <c r="AF41" s="28">
        <v>2</v>
      </c>
      <c r="AG41" s="79">
        <f>((($W$39)^M41)*((1-($W$39))^($U$29-M41))*HLOOKUP($U$29,$AV$24:$BF$34,M41+1))*V43</f>
        <v>5.5776786419413589E-2</v>
      </c>
      <c r="AH41" s="28">
        <v>2</v>
      </c>
      <c r="AI41" s="79">
        <f>((($W$39)^M41)*((1-($W$39))^($U$30-M41))*HLOOKUP($U$30,$AV$24:$BF$34,M41+1))*V44</f>
        <v>8.0069760989205055E-2</v>
      </c>
      <c r="AJ41" s="28">
        <v>2</v>
      </c>
      <c r="AK41" s="79">
        <f>((($W$39)^M41)*((1-($W$39))^($U$31-M41))*HLOOKUP($U$31,$AV$24:$BF$34,M41+1))*V45</f>
        <v>7.1944248504540759E-2</v>
      </c>
      <c r="AL41" s="28">
        <v>2</v>
      </c>
      <c r="AM41" s="79">
        <f>((($W$39)^Q41)*((1-($W$39))^($U$32-Q41))*HLOOKUP($U$32,$AV$24:$BF$34,Q41+1))*V46</f>
        <v>4.147674861764751E-2</v>
      </c>
      <c r="AN41" s="28">
        <v>2</v>
      </c>
      <c r="AO41" s="79">
        <f>((($W$39)^Q41)*((1-($W$39))^($U$33-Q41))*HLOOKUP($U$33,$AV$24:$BF$34,Q41+1))*V47</f>
        <v>1.5020225496561429E-2</v>
      </c>
      <c r="AP41" s="28">
        <v>2</v>
      </c>
      <c r="AQ41" s="79">
        <f>((($W$39)^Q41)*((1-($W$39))^($U$34-Q41))*HLOOKUP($U$34,$AV$24:$BF$34,Q41+1))*V48</f>
        <v>3.1468474667169853E-3</v>
      </c>
      <c r="AR41" s="28">
        <v>2</v>
      </c>
      <c r="AS41" s="79">
        <f>((($W$39)^Q41)*((1-($W$39))^($U$35-Q41))*HLOOKUP($U$35,$AV$24:$BF$34,Q41+1))*V49</f>
        <v>3.0656498018195643E-4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5.1188451132276025E-5</v>
      </c>
      <c r="BP41">
        <f t="shared" si="34"/>
        <v>9</v>
      </c>
      <c r="BQ41">
        <v>2</v>
      </c>
      <c r="BR41" s="107">
        <f t="shared" si="35"/>
        <v>2.9671106991099995E-5</v>
      </c>
    </row>
    <row r="42" spans="1:70" ht="15" customHeight="1" x14ac:dyDescent="0.25">
      <c r="G42" s="91">
        <v>3</v>
      </c>
      <c r="H42" s="132">
        <f>J42*L39+J41*L40+L42*J39+L41*J40</f>
        <v>0.21021623342155887</v>
      </c>
      <c r="I42" s="93">
        <v>3</v>
      </c>
      <c r="J42" s="86">
        <f t="shared" si="33"/>
        <v>0.16262505096690702</v>
      </c>
      <c r="K42" s="95">
        <v>3</v>
      </c>
      <c r="L42" s="86">
        <f>AF21</f>
        <v>6.622009261521726E-3</v>
      </c>
      <c r="M42" s="85">
        <v>3</v>
      </c>
      <c r="N42" s="71">
        <f>(($C$24)^M28)*((1-($C$24))^($B$21-M28))*HLOOKUP($B$21,$AV$24:$BF$34,M28+1)</f>
        <v>0.32230431929712483</v>
      </c>
      <c r="O42" s="72">
        <v>3</v>
      </c>
      <c r="P42" s="71">
        <f t="shared" si="36"/>
        <v>0.32230431929712483</v>
      </c>
      <c r="Q42" s="28">
        <v>3</v>
      </c>
      <c r="R42" s="37">
        <f>P42*N39+P41*N40+P40*N41+P39*N42</f>
        <v>0.10181314535171281</v>
      </c>
      <c r="S42" s="72">
        <v>3</v>
      </c>
      <c r="T42" s="135">
        <f t="shared" si="37"/>
        <v>1.2500000000000002E-7</v>
      </c>
      <c r="U42" s="93">
        <v>3</v>
      </c>
      <c r="V42" s="86">
        <f>R42*T39+R41*T40+R40*T41+R39*T42</f>
        <v>0.10082411675813134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3.6736738269138093E-3</v>
      </c>
      <c r="AF42" s="28">
        <v>3</v>
      </c>
      <c r="AG42" s="79">
        <f>((($W$39)^M42)*((1-($W$39))^($U$29-M42))*HLOOKUP($U$29,$AV$24:$BF$34,M42+1))*V43</f>
        <v>1.844110833108276E-2</v>
      </c>
      <c r="AH42" s="28">
        <v>3</v>
      </c>
      <c r="AI42" s="79">
        <f>((($W$39)^M42)*((1-($W$39))^($U$30-M42))*HLOOKUP($U$30,$AV$24:$BF$34,M42+1))*V44</f>
        <v>3.9709399677745685E-2</v>
      </c>
      <c r="AJ42" s="28">
        <v>3</v>
      </c>
      <c r="AK42" s="79">
        <f>((($W$39)^M42)*((1-($W$39))^($U$31-M42))*HLOOKUP($U$31,$AV$24:$BF$34,M42+1))*V45</f>
        <v>4.7572897817892021E-2</v>
      </c>
      <c r="AL42" s="28">
        <v>3</v>
      </c>
      <c r="AM42" s="79">
        <f>((($W$39)^Q42)*((1-($W$39))^($U$32-Q42))*HLOOKUP($U$32,$AV$24:$BF$34,Q42+1))*V46</f>
        <v>3.4282954593674059E-2</v>
      </c>
      <c r="AN42" s="28">
        <v>3</v>
      </c>
      <c r="AO42" s="79">
        <f>((($W$39)^Q42)*((1-($W$39))^($U$33-Q42))*HLOOKUP($U$33,$AV$24:$BF$34,Q42+1))*V47</f>
        <v>1.4898112099353863E-2</v>
      </c>
      <c r="AP42" s="28">
        <v>3</v>
      </c>
      <c r="AQ42" s="79">
        <f>((($W$39)^Q42)*((1-($W$39))^($U$34-Q42))*HLOOKUP($U$34,$AV$24:$BF$34,Q42+1))*V48</f>
        <v>3.641474449525302E-3</v>
      </c>
      <c r="AR42" s="28">
        <v>3</v>
      </c>
      <c r="AS42" s="79">
        <f>((($W$39)^Q42)*((1-($W$39))^($U$35-Q42))*HLOOKUP($U$35,$AV$24:$BF$34,Q42+1))*V49</f>
        <v>4.0543017071947943E-4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6.1934195725324925E-6</v>
      </c>
      <c r="BP42">
        <f t="shared" si="34"/>
        <v>9</v>
      </c>
      <c r="BQ42">
        <v>3</v>
      </c>
      <c r="BR42" s="107">
        <f t="shared" si="35"/>
        <v>2.1514754561082993E-5</v>
      </c>
    </row>
    <row r="43" spans="1:70" ht="15" customHeight="1" x14ac:dyDescent="0.25">
      <c r="G43" s="91">
        <v>4</v>
      </c>
      <c r="H43" s="132">
        <f>J43*L39+J42*L40+J41*L41+J40*L42</f>
        <v>0.10504263746658343</v>
      </c>
      <c r="I43" s="93">
        <v>4</v>
      </c>
      <c r="J43" s="86">
        <f t="shared" si="33"/>
        <v>5.9126346584621334E-2</v>
      </c>
      <c r="K43" s="95">
        <v>4</v>
      </c>
      <c r="L43" s="86"/>
      <c r="M43" s="85">
        <v>4</v>
      </c>
      <c r="N43" s="71">
        <f>(($C$24)^M29)*((1-($C$24))^($B$21-M29))*HLOOKUP($B$21,$AV$24:$BF$34,M29+1)</f>
        <v>0.17240082680545371</v>
      </c>
      <c r="O43" s="72">
        <v>4</v>
      </c>
      <c r="P43" s="71">
        <f t="shared" si="36"/>
        <v>0.17240082680545371</v>
      </c>
      <c r="Q43" s="28">
        <v>4</v>
      </c>
      <c r="R43" s="37">
        <f>P43*N39+P42*N40+P41*N41+P40*N42+P39*N43</f>
        <v>0.19060975250974546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0.18927950571886276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2.2863979240499337E-3</v>
      </c>
      <c r="AH43" s="28">
        <v>4</v>
      </c>
      <c r="AI43" s="79">
        <f>((($W$39)^M43)*((1-($W$39))^($U$30-M43))*HLOOKUP($U$30,$AV$24:$BF$34,M43+1))*V44</f>
        <v>9.8466412493696445E-3</v>
      </c>
      <c r="AJ43" s="28">
        <v>4</v>
      </c>
      <c r="AK43" s="79">
        <f>((($W$39)^M43)*((1-($W$39))^($U$31-M43))*HLOOKUP($U$31,$AV$24:$BF$34,M43+1))*V45</f>
        <v>1.7694800040060528E-2</v>
      </c>
      <c r="AL43" s="28">
        <v>4</v>
      </c>
      <c r="AM43" s="79">
        <f>((($W$39)^Q43)*((1-($W$39))^($U$32-Q43))*HLOOKUP($U$32,$AV$24:$BF$34,Q43+1))*V46</f>
        <v>1.7002118268814963E-2</v>
      </c>
      <c r="AN43" s="28">
        <v>4</v>
      </c>
      <c r="AO43" s="79">
        <f>((($W$39)^Q43)*((1-($W$39))^($U$33-Q43))*HLOOKUP($U$33,$AV$24:$BF$34,Q43+1))*V47</f>
        <v>9.2356196722764676E-3</v>
      </c>
      <c r="AP43" s="28">
        <v>4</v>
      </c>
      <c r="AQ43" s="79">
        <f>((($W$39)^Q43)*((1-($W$39))^($U$34-Q43))*HLOOKUP($U$34,$AV$24:$BF$34,Q43+1))*V48</f>
        <v>2.7089021350768273E-3</v>
      </c>
      <c r="AR43" s="28">
        <v>4</v>
      </c>
      <c r="AS43" s="79">
        <f>((($W$39)^Q43)*((1-($W$39))^($U$35-Q43))*HLOOKUP($U$35,$AV$24:$BF$34,Q43+1))*V49</f>
        <v>3.5186729497297021E-4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5.5037859467084821E-7</v>
      </c>
      <c r="BP43">
        <f t="shared" si="34"/>
        <v>9</v>
      </c>
      <c r="BQ43">
        <v>4</v>
      </c>
      <c r="BR43" s="107">
        <f t="shared" si="35"/>
        <v>1.0750675753048626E-5</v>
      </c>
    </row>
    <row r="44" spans="1:70" ht="15" customHeight="1" thickBot="1" x14ac:dyDescent="0.3">
      <c r="G44" s="91">
        <v>5</v>
      </c>
      <c r="H44" s="132">
        <f>J44*L39+J43*L40+J42*L41+J41*L42</f>
        <v>3.8298795057065398E-2</v>
      </c>
      <c r="I44" s="93">
        <v>5</v>
      </c>
      <c r="J44" s="86">
        <f t="shared" si="33"/>
        <v>1.476307239203785E-2</v>
      </c>
      <c r="K44" s="95">
        <v>5</v>
      </c>
      <c r="L44" s="86"/>
      <c r="M44" s="85">
        <v>5</v>
      </c>
      <c r="N44" s="71">
        <f>(($C$24)^M30)*((1-($C$24))^($B$21-M30))*HLOOKUP($B$21,$AV$24:$BF$34,M30+1)</f>
        <v>3.6886933625985933E-2</v>
      </c>
      <c r="O44" s="72">
        <v>5</v>
      </c>
      <c r="P44" s="71">
        <f t="shared" si="36"/>
        <v>3.6886933625985933E-2</v>
      </c>
      <c r="Q44" s="28">
        <v>5</v>
      </c>
      <c r="R44" s="37">
        <f>P44*N39+P43*N40+P42*N41+P41*N42+P40*N43+P39*N44</f>
        <v>0.24469752562938984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0.24388361304267889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9.7665887352233068E-4</v>
      </c>
      <c r="AJ44" s="28">
        <v>5</v>
      </c>
      <c r="AK44" s="79">
        <f>((($W$39)^M44)*((1-($W$39))^($U$31-M44))*HLOOKUP($U$31,$AV$24:$BF$34,M44+1))*V45</f>
        <v>3.510188507260736E-3</v>
      </c>
      <c r="AL44" s="28">
        <v>5</v>
      </c>
      <c r="AM44" s="79">
        <f>((($W$39)^Q44)*((1-($W$39))^($U$32-Q44))*HLOOKUP($U$32,$AV$24:$BF$34,Q44+1))*V46</f>
        <v>5.0591676660233622E-3</v>
      </c>
      <c r="AN44" s="28">
        <v>5</v>
      </c>
      <c r="AO44" s="79">
        <f>((($W$39)^Q44)*((1-($W$39))^($U$33-Q44))*HLOOKUP($U$33,$AV$24:$BF$34,Q44+1))*V47</f>
        <v>3.6642138885617072E-3</v>
      </c>
      <c r="AP44" s="28">
        <v>5</v>
      </c>
      <c r="AQ44" s="79">
        <f>((($W$39)^Q44)*((1-($W$39))^($U$34-Q44))*HLOOKUP($U$34,$AV$24:$BF$34,Q44+1))*V48</f>
        <v>1.3434394737879478E-3</v>
      </c>
      <c r="AR44" s="28">
        <v>5</v>
      </c>
      <c r="AS44" s="79">
        <f>((($W$39)^Q44)*((1-($W$39))^($U$35-Q44))*HLOOKUP($U$35,$AV$24:$BF$34,Q44+1))*V49</f>
        <v>2.0940398288176728E-4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6.4423212916667324E-4</v>
      </c>
      <c r="BP44">
        <f t="shared" si="34"/>
        <v>9</v>
      </c>
      <c r="BQ44">
        <v>5</v>
      </c>
      <c r="BR44" s="107">
        <f t="shared" si="35"/>
        <v>3.9197219083722568E-6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1.0508246954463072E-2</v>
      </c>
      <c r="I45" s="93">
        <v>6</v>
      </c>
      <c r="J45" s="86">
        <f t="shared" si="33"/>
        <v>2.5657978713872292E-3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0.21814815589892428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0.21854035440020611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2.9013757640215392E-4</v>
      </c>
      <c r="AL45" s="28">
        <v>6</v>
      </c>
      <c r="AM45" s="79">
        <f>((($W$39)^Q45)*((1-($W$39))^($U$32-Q45))*HLOOKUP($U$32,$AV$24:$BF$34,Q45+1))*V46</f>
        <v>8.3633949697911657E-4</v>
      </c>
      <c r="AN45" s="28">
        <v>6</v>
      </c>
      <c r="AO45" s="79">
        <f>((($W$39)^Q45)*((1-($W$39))^($U$33-Q45))*HLOOKUP($U$33,$AV$24:$BF$34,Q45+1))*V47</f>
        <v>9.0860602060033758E-4</v>
      </c>
      <c r="AP45" s="28">
        <v>6</v>
      </c>
      <c r="AQ45" s="79">
        <f>((($W$39)^Q45)*((1-($W$39))^($U$34-Q45))*HLOOKUP($U$34,$AV$24:$BF$34,Q45+1))*V48</f>
        <v>4.4417246784503485E-4</v>
      </c>
      <c r="AR45" s="28">
        <v>6</v>
      </c>
      <c r="AS45" s="79">
        <f>((($W$39)^Q45)*((1-($W$39))^($U$35-Q45))*HLOOKUP($U$35,$AV$24:$BF$34,Q45+1))*V49</f>
        <v>8.6542309560586162E-5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1.3495173847120825E-4</v>
      </c>
      <c r="BP45">
        <f t="shared" si="34"/>
        <v>9</v>
      </c>
      <c r="BQ45">
        <v>6</v>
      </c>
      <c r="BR45" s="107">
        <f t="shared" si="35"/>
        <v>1.0754752400074866E-6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2.201234819852774E-3</v>
      </c>
      <c r="I46" s="93">
        <v>7</v>
      </c>
      <c r="J46" s="86">
        <f t="shared" si="33"/>
        <v>3.0692981302767551E-4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0.13335727471150385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0.13462476701650197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5.9252865325607292E-5</v>
      </c>
      <c r="AN46" s="28">
        <v>7</v>
      </c>
      <c r="AO46" s="79">
        <f>((($W$39)^Q46)*((1-($W$39))^($U$33-Q46))*HLOOKUP($U$33,$AV$24:$BF$34,Q46+1))*V47</f>
        <v>1.2874558804679313E-4</v>
      </c>
      <c r="AP46" s="28">
        <v>7</v>
      </c>
      <c r="AQ46" s="79">
        <f>((($W$39)^Q46)*((1-($W$39))^($U$34-Q46))*HLOOKUP($U$34,$AV$24:$BF$34,Q46+1))*V48</f>
        <v>9.4406009211430301E-5</v>
      </c>
      <c r="AR46" s="28">
        <v>7</v>
      </c>
      <c r="AS46" s="79">
        <f>((($W$39)^Q46)*((1-($W$39))^($U$35-Q46))*HLOOKUP($U$35,$AV$24:$BF$34,Q46+1))*V49</f>
        <v>2.4525350443844791E-5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2.1611584860457377E-5</v>
      </c>
      <c r="BP46">
        <f t="shared" si="34"/>
        <v>9</v>
      </c>
      <c r="BQ46">
        <v>7</v>
      </c>
      <c r="BR46" s="107">
        <f t="shared" si="35"/>
        <v>2.2528720122898573E-7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3.5251248813805599E-4</v>
      </c>
      <c r="I47" s="93">
        <v>8</v>
      </c>
      <c r="J47" s="86">
        <f t="shared" si="33"/>
        <v>2.4247110508953507E-5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5.3499681149767289E-2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5.4697907152915386E-2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7.9811809560443166E-6</v>
      </c>
      <c r="AP47" s="28">
        <v>8</v>
      </c>
      <c r="AQ47" s="79">
        <f>((($W$39)^Q47)*((1-($W$39))^($U$34-Q47))*HLOOKUP($U$34,$AV$24:$BF$34,Q47+1))*V48</f>
        <v>1.1704811858571174E-5</v>
      </c>
      <c r="AR47" s="28">
        <v>8</v>
      </c>
      <c r="AS47" s="79">
        <f>((($W$39)^Q47)*((1-($W$39))^($U$35-Q47))*HLOOKUP($U$35,$AV$24:$BF$34,Q47+1))*V49</f>
        <v>4.5611176943380164E-6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2.6148400607457917E-6</v>
      </c>
      <c r="BP47">
        <f>BL12+1</f>
        <v>9</v>
      </c>
      <c r="BQ47">
        <v>8</v>
      </c>
      <c r="BR47" s="107">
        <f t="shared" si="35"/>
        <v>3.6078182633963747E-8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4.2651373411448025E-5</v>
      </c>
      <c r="I48" s="93">
        <v>9</v>
      </c>
      <c r="J48" s="86">
        <f t="shared" si="33"/>
        <v>1.1476513772086153E-6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1.2718675710875735E-2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1.333331726865576E-2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6.4498069697481658E-7</v>
      </c>
      <c r="AR48" s="28">
        <v>9</v>
      </c>
      <c r="AS48" s="79">
        <f>((($W$39)^Q48)*((1-($W$39))^($U$35-Q48))*HLOOKUP($U$35,$AV$24:$BF$34,Q48+1))*V49</f>
        <v>5.0267068023379869E-7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2.3236791582874047E-7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3.7902168073808775E-6</v>
      </c>
      <c r="I49" s="94">
        <v>10</v>
      </c>
      <c r="J49" s="89">
        <f t="shared" si="33"/>
        <v>2.4929200113859845E-8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1.3606458723278917E-3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1.5544894679722088E-3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2.4929200113859845E-8</v>
      </c>
      <c r="BH49">
        <f>BP14+1</f>
        <v>6</v>
      </c>
      <c r="BI49">
        <v>0</v>
      </c>
      <c r="BJ49" s="107">
        <f>$H$31*H39</f>
        <v>1.8551309790194549E-3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4.2045960741800102E-5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6.73336897252893E-6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8.1468726365210935E-7</v>
      </c>
    </row>
    <row r="53" spans="1:62" x14ac:dyDescent="0.25">
      <c r="BH53">
        <f>BH48+1</f>
        <v>6</v>
      </c>
      <c r="BI53">
        <v>10</v>
      </c>
      <c r="BJ53" s="107">
        <f>$H$31*H49</f>
        <v>7.2397231612348401E-8</v>
      </c>
    </row>
    <row r="54" spans="1:62" x14ac:dyDescent="0.25">
      <c r="BH54">
        <f>BH51+1</f>
        <v>7</v>
      </c>
      <c r="BI54">
        <v>8</v>
      </c>
      <c r="BJ54" s="107">
        <f>$H$32*H47</f>
        <v>1.5728627752551559E-6</v>
      </c>
    </row>
    <row r="55" spans="1:62" x14ac:dyDescent="0.25">
      <c r="BH55">
        <f>BH52+1</f>
        <v>7</v>
      </c>
      <c r="BI55">
        <v>9</v>
      </c>
      <c r="BJ55" s="107">
        <f>$H$32*H48</f>
        <v>1.903046269558014E-7</v>
      </c>
    </row>
    <row r="56" spans="1:62" x14ac:dyDescent="0.25">
      <c r="BH56">
        <f>BH53+1</f>
        <v>7</v>
      </c>
      <c r="BI56">
        <v>10</v>
      </c>
      <c r="BJ56" s="107">
        <f>$H$32*H49</f>
        <v>1.6911431870013921E-8</v>
      </c>
    </row>
    <row r="57" spans="1:62" x14ac:dyDescent="0.25">
      <c r="BH57">
        <f>BH55+1</f>
        <v>8</v>
      </c>
      <c r="BI57">
        <v>9</v>
      </c>
      <c r="BJ57" s="107">
        <f>$H$33*H48</f>
        <v>3.3415130843519872E-8</v>
      </c>
    </row>
    <row r="58" spans="1:62" x14ac:dyDescent="0.25">
      <c r="BH58">
        <f>BH56+1</f>
        <v>8</v>
      </c>
      <c r="BI58">
        <v>10</v>
      </c>
      <c r="BJ58" s="107">
        <f>$H$33*H49</f>
        <v>2.9694375682154701E-9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3.8791287911891675E-10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BR59"/>
  <sheetViews>
    <sheetView zoomScale="80" zoomScaleNormal="80" workbookViewId="0">
      <selection activeCell="L13" sqref="L13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7" t="s">
        <v>153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8" t="s">
        <v>135</v>
      </c>
      <c r="Q1" s="198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7" t="s">
        <v>154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9" t="s">
        <v>130</v>
      </c>
      <c r="C3" s="19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7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4.0774042411182857E-3</v>
      </c>
      <c r="BL4">
        <v>0</v>
      </c>
      <c r="BM4">
        <v>0</v>
      </c>
      <c r="BN4" s="107">
        <f>H25*H39</f>
        <v>1.0342684315154289E-3</v>
      </c>
      <c r="BP4">
        <v>1</v>
      </c>
      <c r="BQ4">
        <v>0</v>
      </c>
      <c r="BR4" s="107">
        <f>$H$26*H39</f>
        <v>4.3527964575510837E-3</v>
      </c>
    </row>
    <row r="5" spans="1:70" x14ac:dyDescent="0.25">
      <c r="A5" s="188" t="s">
        <v>140</v>
      </c>
      <c r="B5" s="161">
        <v>253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BH5">
        <v>0</v>
      </c>
      <c r="BI5">
        <v>2</v>
      </c>
      <c r="BJ5" s="107">
        <f t="shared" si="0"/>
        <v>7.2840722562879734E-3</v>
      </c>
      <c r="BL5">
        <v>1</v>
      </c>
      <c r="BM5">
        <v>1</v>
      </c>
      <c r="BN5" s="107">
        <f>$H$26*H40</f>
        <v>1.7160062316451622E-2</v>
      </c>
      <c r="BP5">
        <f>BP4+1</f>
        <v>2</v>
      </c>
      <c r="BQ5">
        <v>0</v>
      </c>
      <c r="BR5" s="107">
        <f>$H$27*H39</f>
        <v>8.2348889689119568E-3</v>
      </c>
    </row>
    <row r="6" spans="1:70" x14ac:dyDescent="0.25">
      <c r="A6" s="2" t="s">
        <v>1</v>
      </c>
      <c r="B6" s="168">
        <v>11.5</v>
      </c>
      <c r="C6" s="169">
        <v>11</v>
      </c>
      <c r="E6" s="192" t="s">
        <v>17</v>
      </c>
      <c r="F6" s="167" t="s">
        <v>16</v>
      </c>
      <c r="G6" s="167"/>
      <c r="H6" s="10"/>
      <c r="I6" s="10"/>
      <c r="J6" s="166" t="s">
        <v>16</v>
      </c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>
        <f t="shared" ref="AB6:AB19" si="4">IF($M$2="SI",AA6*$C$22/0.5*$S$1,AA6*$C$22/0.5*$S$2)</f>
        <v>0</v>
      </c>
      <c r="AC6" s="176">
        <f t="shared" ref="AC6:AC19" si="5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BH6">
        <v>0</v>
      </c>
      <c r="BI6">
        <v>3</v>
      </c>
      <c r="BJ6" s="107">
        <f t="shared" si="0"/>
        <v>7.7922988533372277E-3</v>
      </c>
      <c r="BL6">
        <f>BH14+1</f>
        <v>2</v>
      </c>
      <c r="BM6">
        <v>2</v>
      </c>
      <c r="BN6" s="107">
        <f>$H$27*H41</f>
        <v>5.7996091192858416E-2</v>
      </c>
      <c r="BP6">
        <f>BL5+1</f>
        <v>2</v>
      </c>
      <c r="BQ6">
        <v>1</v>
      </c>
      <c r="BR6" s="107">
        <f>$H$27*H40</f>
        <v>3.2464464914376441E-2</v>
      </c>
    </row>
    <row r="7" spans="1:70" x14ac:dyDescent="0.25">
      <c r="A7" s="5" t="s">
        <v>2</v>
      </c>
      <c r="B7" s="168">
        <v>8.5</v>
      </c>
      <c r="C7" s="169">
        <v>13.5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5.5561534396515863E-3</v>
      </c>
      <c r="BL7">
        <f>BH23+1</f>
        <v>3</v>
      </c>
      <c r="BM7">
        <v>3</v>
      </c>
      <c r="BN7" s="107">
        <f>$H$28*H42</f>
        <v>6.9531206870543372E-2</v>
      </c>
      <c r="BP7">
        <f>BP5+1</f>
        <v>3</v>
      </c>
      <c r="BQ7">
        <v>0</v>
      </c>
      <c r="BR7" s="107">
        <f>$H$28*H39</f>
        <v>9.2288467915437999E-3</v>
      </c>
    </row>
    <row r="8" spans="1:70" x14ac:dyDescent="0.25">
      <c r="A8" s="5" t="s">
        <v>3</v>
      </c>
      <c r="B8" s="168">
        <v>7.75</v>
      </c>
      <c r="C8" s="169">
        <v>11.75</v>
      </c>
      <c r="E8" s="192" t="s">
        <v>18</v>
      </c>
      <c r="F8" s="167"/>
      <c r="G8" s="167"/>
      <c r="H8" s="10"/>
      <c r="I8" s="10"/>
      <c r="J8" s="166" t="s">
        <v>144</v>
      </c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>
        <f t="shared" si="6"/>
        <v>0</v>
      </c>
      <c r="S8" s="176">
        <f t="shared" si="2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>
        <f t="shared" si="4"/>
        <v>0</v>
      </c>
      <c r="AC8" s="176">
        <f t="shared" si="5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BH8">
        <v>0</v>
      </c>
      <c r="BI8">
        <v>5</v>
      </c>
      <c r="BJ8" s="107">
        <f t="shared" si="0"/>
        <v>2.779803604230574E-3</v>
      </c>
      <c r="BL8">
        <f>BH31+1</f>
        <v>4</v>
      </c>
      <c r="BM8">
        <v>4</v>
      </c>
      <c r="BN8" s="107">
        <f>$H$29*H43</f>
        <v>3.6496514130201572E-2</v>
      </c>
      <c r="BP8">
        <f>BP6+1</f>
        <v>3</v>
      </c>
      <c r="BQ8">
        <v>1</v>
      </c>
      <c r="BR8" s="107">
        <f>$H$28*H40</f>
        <v>3.6382952337949435E-2</v>
      </c>
    </row>
    <row r="9" spans="1:70" x14ac:dyDescent="0.25">
      <c r="A9" s="5" t="s">
        <v>4</v>
      </c>
      <c r="B9" s="168">
        <v>9.25</v>
      </c>
      <c r="C9" s="169">
        <v>13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>
        <f t="shared" si="6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BH9">
        <v>0</v>
      </c>
      <c r="BI9">
        <v>6</v>
      </c>
      <c r="BJ9" s="107">
        <f t="shared" si="0"/>
        <v>9.994212978337233E-4</v>
      </c>
      <c r="BL9">
        <f>BH38+1</f>
        <v>5</v>
      </c>
      <c r="BM9">
        <v>5</v>
      </c>
      <c r="BN9" s="107">
        <f>$H$30*H44</f>
        <v>9.2478663490379431E-3</v>
      </c>
      <c r="BP9">
        <f>BL6+1</f>
        <v>3</v>
      </c>
      <c r="BQ9">
        <v>2</v>
      </c>
      <c r="BR9" s="107">
        <f>$H$28*H41</f>
        <v>6.4996266755738885E-2</v>
      </c>
    </row>
    <row r="10" spans="1:70" x14ac:dyDescent="0.25">
      <c r="A10" s="6" t="s">
        <v>5</v>
      </c>
      <c r="B10" s="168">
        <v>13.75</v>
      </c>
      <c r="C10" s="169">
        <v>8.75</v>
      </c>
      <c r="E10" s="192" t="s">
        <v>17</v>
      </c>
      <c r="F10" s="167" t="s">
        <v>144</v>
      </c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>
        <f t="shared" si="6"/>
        <v>0</v>
      </c>
      <c r="S10" s="176">
        <f t="shared" si="2"/>
        <v>1</v>
      </c>
      <c r="T10" s="177">
        <f>R10*PRODUCT(S5:S9)*PRODUCT(S11:S19)</f>
        <v>0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</v>
      </c>
      <c r="W10" s="186" t="s">
        <v>46</v>
      </c>
      <c r="X10" s="15" t="s">
        <v>47</v>
      </c>
      <c r="Y10" s="69">
        <f>COUNTIF(J14:J18,"RAP")*0.085</f>
        <v>0.17</v>
      </c>
      <c r="Z10" s="146" t="str">
        <f>AB3</f>
        <v>0,72</v>
      </c>
      <c r="AA10" s="19">
        <f t="shared" si="3"/>
        <v>0.12240000000000001</v>
      </c>
      <c r="AB10" s="157">
        <f t="shared" si="4"/>
        <v>0.12853150265464874</v>
      </c>
      <c r="AC10" s="176">
        <f t="shared" si="5"/>
        <v>0.87146849734535126</v>
      </c>
      <c r="AD10" s="177">
        <f>AB10*PRODUCT(AC5:AC9)*PRODUCT(AC11:AC19)</f>
        <v>8.0676531229672499E-2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4.049278097165928E-2</v>
      </c>
      <c r="BH10">
        <v>0</v>
      </c>
      <c r="BI10">
        <v>7</v>
      </c>
      <c r="BJ10" s="107">
        <f t="shared" si="0"/>
        <v>2.5948448991661117E-4</v>
      </c>
      <c r="BL10">
        <f>BH44+1</f>
        <v>6</v>
      </c>
      <c r="BM10">
        <v>6</v>
      </c>
      <c r="BN10" s="107">
        <f>$H$31*H45</f>
        <v>1.1786697596199683E-3</v>
      </c>
      <c r="BP10">
        <f>BP7+1</f>
        <v>4</v>
      </c>
      <c r="BQ10">
        <v>0</v>
      </c>
      <c r="BR10" s="107">
        <f>$H$29*H39</f>
        <v>6.7937634975738384E-3</v>
      </c>
    </row>
    <row r="11" spans="1:70" x14ac:dyDescent="0.25">
      <c r="A11" s="6" t="s">
        <v>6</v>
      </c>
      <c r="B11" s="168">
        <v>16.5</v>
      </c>
      <c r="C11" s="169">
        <v>11.25</v>
      </c>
      <c r="E11" s="192" t="s">
        <v>19</v>
      </c>
      <c r="F11" s="167" t="s">
        <v>123</v>
      </c>
      <c r="G11" s="167"/>
      <c r="H11" s="10"/>
      <c r="I11" s="10"/>
      <c r="J11" s="166" t="s">
        <v>123</v>
      </c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>
        <f t="shared" si="6"/>
        <v>0</v>
      </c>
      <c r="S11" s="176">
        <f t="shared" si="2"/>
        <v>1</v>
      </c>
      <c r="T11" s="177">
        <f>R11*PRODUCT(S5:S10)*PRODUCT(S12:S19)</f>
        <v>0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0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0.17</v>
      </c>
      <c r="Z11" s="146" t="str">
        <f>AB3</f>
        <v>0,72</v>
      </c>
      <c r="AA11" s="19">
        <f t="shared" si="3"/>
        <v>0.12240000000000001</v>
      </c>
      <c r="AB11" s="157">
        <f t="shared" si="4"/>
        <v>0.12853150265464874</v>
      </c>
      <c r="AC11" s="176">
        <f t="shared" si="5"/>
        <v>0.87146849734535126</v>
      </c>
      <c r="AD11" s="177">
        <f>AB11*PRODUCT(AC5:AC10)*PRODUCT(AC12:AC19)</f>
        <v>8.0676531229672499E-2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2.8593927691819815E-2</v>
      </c>
      <c r="BH11">
        <v>0</v>
      </c>
      <c r="BI11">
        <v>8</v>
      </c>
      <c r="BJ11" s="107">
        <f t="shared" si="0"/>
        <v>4.7977373592625773E-5</v>
      </c>
      <c r="BL11">
        <f>BH50+1</f>
        <v>7</v>
      </c>
      <c r="BM11">
        <v>7</v>
      </c>
      <c r="BN11" s="107">
        <f>$H$32*H46</f>
        <v>7.5670512688104629E-5</v>
      </c>
      <c r="BP11">
        <f>BP8+1</f>
        <v>4</v>
      </c>
      <c r="BQ11">
        <v>1</v>
      </c>
      <c r="BR11" s="107">
        <f>$H$29*H40</f>
        <v>2.6783105095428923E-2</v>
      </c>
    </row>
    <row r="12" spans="1:70" x14ac:dyDescent="0.25">
      <c r="A12" s="6" t="s">
        <v>7</v>
      </c>
      <c r="B12" s="168">
        <v>13</v>
      </c>
      <c r="C12" s="169">
        <v>12</v>
      </c>
      <c r="E12" s="192" t="s">
        <v>19</v>
      </c>
      <c r="F12" s="167" t="s">
        <v>21</v>
      </c>
      <c r="G12" s="167"/>
      <c r="H12" s="10"/>
      <c r="I12" s="10"/>
      <c r="J12" s="166" t="s">
        <v>144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6.0621765012798507E-6</v>
      </c>
      <c r="BL12">
        <f>BH54+1</f>
        <v>8</v>
      </c>
      <c r="BM12">
        <v>8</v>
      </c>
      <c r="BN12" s="107">
        <f>$H$33*H47</f>
        <v>2.3562092115518221E-6</v>
      </c>
      <c r="BP12">
        <f>BP9+1</f>
        <v>4</v>
      </c>
      <c r="BQ12">
        <v>2</v>
      </c>
      <c r="BR12" s="107">
        <f>$H$29*H41</f>
        <v>4.7846635071275803E-2</v>
      </c>
    </row>
    <row r="13" spans="1:70" x14ac:dyDescent="0.25">
      <c r="A13" s="7" t="s">
        <v>8</v>
      </c>
      <c r="B13" s="168">
        <v>9.75</v>
      </c>
      <c r="C13" s="169">
        <v>10.75</v>
      </c>
      <c r="E13" s="192" t="s">
        <v>19</v>
      </c>
      <c r="F13" s="167" t="s">
        <v>131</v>
      </c>
      <c r="G13" s="167"/>
      <c r="H13" s="10"/>
      <c r="I13" s="10"/>
      <c r="J13" s="166" t="s">
        <v>131</v>
      </c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>
        <f t="shared" si="6"/>
        <v>5.4891276014871516E-2</v>
      </c>
      <c r="S13" s="176">
        <f t="shared" si="2"/>
        <v>0.94510872398512846</v>
      </c>
      <c r="T13" s="177">
        <f>R13*PRODUCT(S5:S12)*PRODUCT(S14:S19)</f>
        <v>3.31060015227682E-2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1.9351382729302678E-2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>
        <f t="shared" si="4"/>
        <v>5.2504698796833643E-2</v>
      </c>
      <c r="AC13" s="176">
        <f t="shared" si="5"/>
        <v>0.94749530120316638</v>
      </c>
      <c r="AD13" s="177">
        <f>AB13*PRODUCT(AC5:AC12)*PRODUCT(AC14:AC19)</f>
        <v>3.0311709567180985E-2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9.0635840254573007E-3</v>
      </c>
      <c r="BH13">
        <v>0</v>
      </c>
      <c r="BI13">
        <v>10</v>
      </c>
      <c r="BJ13" s="107">
        <f t="shared" si="0"/>
        <v>4.7585425472983216E-7</v>
      </c>
      <c r="BL13">
        <f>BH57+1</f>
        <v>9</v>
      </c>
      <c r="BM13">
        <v>9</v>
      </c>
      <c r="BN13" s="107">
        <f>$H$34*H48</f>
        <v>3.2439121501558237E-8</v>
      </c>
      <c r="BP13">
        <f>BL7+1</f>
        <v>4</v>
      </c>
      <c r="BQ13">
        <v>3</v>
      </c>
      <c r="BR13" s="107">
        <f>$H$29*H42</f>
        <v>5.1185005651213478E-2</v>
      </c>
    </row>
    <row r="14" spans="1:70" x14ac:dyDescent="0.25">
      <c r="A14" s="7" t="s">
        <v>9</v>
      </c>
      <c r="B14" s="168">
        <v>10.25</v>
      </c>
      <c r="C14" s="169">
        <v>9.75</v>
      </c>
      <c r="E14" s="192" t="s">
        <v>20</v>
      </c>
      <c r="F14" s="167" t="s">
        <v>144</v>
      </c>
      <c r="G14" s="167"/>
      <c r="H14" s="10"/>
      <c r="I14" s="10"/>
      <c r="J14" s="166" t="s">
        <v>16</v>
      </c>
      <c r="K14" s="166"/>
      <c r="L14" s="10"/>
      <c r="M14" s="10"/>
      <c r="O14" s="67">
        <f>COUNTIF(F6:F18,"CAB")*0.095</f>
        <v>0.28500000000000003</v>
      </c>
      <c r="P14" s="144">
        <v>0.95</v>
      </c>
      <c r="Q14" s="16">
        <f t="shared" si="1"/>
        <v>0.27074999999999999</v>
      </c>
      <c r="R14" s="157">
        <f t="shared" si="6"/>
        <v>0.2972362596205293</v>
      </c>
      <c r="S14" s="176">
        <f t="shared" si="2"/>
        <v>0.70276374037947065</v>
      </c>
      <c r="T14" s="177">
        <f>R14*PRODUCT(S5:S13)*PRODUCT(S15:S19)</f>
        <v>0.2410891234807937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3.8953881634282775E-2</v>
      </c>
      <c r="W14" s="186" t="s">
        <v>54</v>
      </c>
      <c r="X14" s="15" t="s">
        <v>55</v>
      </c>
      <c r="Y14" s="69">
        <f>COUNTIF(J6:J18,"CAB")*0.095</f>
        <v>0.19</v>
      </c>
      <c r="Z14" s="147">
        <v>0.95</v>
      </c>
      <c r="AA14" s="19">
        <f t="shared" si="3"/>
        <v>0.18049999999999999</v>
      </c>
      <c r="AB14" s="157">
        <f t="shared" si="4"/>
        <v>0.18954196265656942</v>
      </c>
      <c r="AC14" s="176">
        <f t="shared" si="5"/>
        <v>0.81045803734343058</v>
      </c>
      <c r="AD14" s="177">
        <f>AB14*PRODUCT(AC5:AC13)*PRODUCT(AC15:AC19)</f>
        <v>0.12792757408456637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8.333516414087418E-3</v>
      </c>
      <c r="BH14">
        <v>1</v>
      </c>
      <c r="BI14">
        <v>2</v>
      </c>
      <c r="BJ14" s="107">
        <f t="shared" ref="BJ14:BJ22" si="7">$H$26*H41</f>
        <v>3.0655565757972607E-2</v>
      </c>
      <c r="BL14">
        <f>BP39+1</f>
        <v>10</v>
      </c>
      <c r="BM14">
        <v>10</v>
      </c>
      <c r="BN14" s="107">
        <f>$H$35*H49</f>
        <v>1.6214242134687322E-10</v>
      </c>
      <c r="BP14">
        <f>BP10+1</f>
        <v>5</v>
      </c>
      <c r="BQ14">
        <v>0</v>
      </c>
      <c r="BR14" s="107">
        <f>$H$30*H39</f>
        <v>3.4408100662676995E-3</v>
      </c>
    </row>
    <row r="15" spans="1:70" x14ac:dyDescent="0.25">
      <c r="A15" s="189" t="s">
        <v>71</v>
      </c>
      <c r="B15" s="170">
        <v>8.25</v>
      </c>
      <c r="C15" s="171">
        <v>8.5</v>
      </c>
      <c r="E15" s="192" t="s">
        <v>20</v>
      </c>
      <c r="F15" s="167" t="s">
        <v>21</v>
      </c>
      <c r="G15" s="167"/>
      <c r="H15" s="10"/>
      <c r="I15" s="10"/>
      <c r="J15" s="166" t="s">
        <v>123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3.2794475603676654E-2</v>
      </c>
      <c r="BP15">
        <f>BP11+1</f>
        <v>5</v>
      </c>
      <c r="BQ15">
        <v>1</v>
      </c>
      <c r="BR15" s="107">
        <f>$H$30*H40</f>
        <v>1.3564731485158084E-2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21</v>
      </c>
      <c r="G16" s="167"/>
      <c r="H16" s="10"/>
      <c r="I16" s="10"/>
      <c r="J16" s="166" t="s">
        <v>123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2.3383489501163326E-2</v>
      </c>
      <c r="BP16">
        <f>BP12+1</f>
        <v>5</v>
      </c>
      <c r="BQ16">
        <v>2</v>
      </c>
      <c r="BR16" s="107">
        <f>$H$30*H41</f>
        <v>2.4232692770226012E-2</v>
      </c>
    </row>
    <row r="17" spans="1:70" x14ac:dyDescent="0.25">
      <c r="A17" s="188" t="s">
        <v>10</v>
      </c>
      <c r="B17" s="172" t="s">
        <v>155</v>
      </c>
      <c r="C17" s="173" t="s">
        <v>156</v>
      </c>
      <c r="E17" s="192" t="s">
        <v>22</v>
      </c>
      <c r="F17" s="167" t="s">
        <v>144</v>
      </c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2.6347812487138328E-2</v>
      </c>
      <c r="S17" s="176">
        <f t="shared" si="2"/>
        <v>0.97365218751286164</v>
      </c>
      <c r="T17" s="177">
        <f>R17*PRODUCT(S5:S16)*PRODUCT(S18:S19)</f>
        <v>1.5425025695235274E-2</v>
      </c>
      <c r="U17" s="177">
        <f>R17*R18*PRODUCT(S5:S16)*S19+R17*R19*PRODUCT(S5:S16)*S18</f>
        <v>2.0748789245977478E-3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2.5202255422480148E-2</v>
      </c>
      <c r="AC17" s="176">
        <f t="shared" si="5"/>
        <v>0.97479774457751989</v>
      </c>
      <c r="AD17" s="177">
        <f>AB17*PRODUCT(AC5:AC16)*PRODUCT(AC18:AC19)</f>
        <v>1.4142110219405056E-2</v>
      </c>
      <c r="AE17" s="177">
        <f>AB17*AB18*PRODUCT(AC5:AC16)*AC19+AB17*AB19*PRODUCT(AC5:AC16)*AC18</f>
        <v>5.5562408095409846E-4</v>
      </c>
      <c r="BH17">
        <v>1</v>
      </c>
      <c r="BI17">
        <v>5</v>
      </c>
      <c r="BJ17" s="107">
        <f t="shared" si="7"/>
        <v>1.1699012473438403E-2</v>
      </c>
      <c r="BP17">
        <f>BP13+1</f>
        <v>5</v>
      </c>
      <c r="BQ17">
        <v>3</v>
      </c>
      <c r="BR17" s="107">
        <f>$H$30*H42</f>
        <v>2.5923463887072156E-2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21</v>
      </c>
      <c r="G18" s="167"/>
      <c r="H18" s="10"/>
      <c r="I18" s="10"/>
      <c r="J18" s="166" t="s">
        <v>21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4.2061396754009325E-3</v>
      </c>
      <c r="BP18">
        <f>BL8+1</f>
        <v>5</v>
      </c>
      <c r="BQ18">
        <v>4</v>
      </c>
      <c r="BR18" s="107">
        <f>$H$30*H43</f>
        <v>1.8484242680470799E-2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0.18</v>
      </c>
      <c r="P19" s="16" t="str">
        <f>P3</f>
        <v>0,6</v>
      </c>
      <c r="Q19" s="16">
        <f t="shared" si="1"/>
        <v>0.108</v>
      </c>
      <c r="R19" s="157">
        <f t="shared" si="6"/>
        <v>0.11856515619212248</v>
      </c>
      <c r="S19" s="178">
        <f t="shared" si="2"/>
        <v>0.88143484380787751</v>
      </c>
      <c r="T19" s="179">
        <f>R19*PRODUCT(S5:S18)</f>
        <v>7.667469186465084E-2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0.06</v>
      </c>
      <c r="Z19" s="146" t="str">
        <f>Z3</f>
        <v>0,6</v>
      </c>
      <c r="AA19" s="19">
        <f t="shared" si="3"/>
        <v>3.5999999999999997E-2</v>
      </c>
      <c r="AB19" s="157">
        <f t="shared" si="4"/>
        <v>3.7803383133720218E-2</v>
      </c>
      <c r="AC19" s="178">
        <f t="shared" si="5"/>
        <v>0.96219661686627977</v>
      </c>
      <c r="AD19" s="179">
        <f>AB19*PRODUCT(AC5:AC18)</f>
        <v>2.1490977369584632E-2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1.0920599856688419E-3</v>
      </c>
      <c r="BP19">
        <f>BP15+1</f>
        <v>6</v>
      </c>
      <c r="BQ19">
        <v>1</v>
      </c>
      <c r="BR19" s="107">
        <f>$H$31*H40</f>
        <v>4.8086958794747474E-3</v>
      </c>
    </row>
    <row r="20" spans="1:70" x14ac:dyDescent="0.25">
      <c r="A20" s="190" t="s">
        <v>81</v>
      </c>
      <c r="B20">
        <f>IF(B17="Pres",IF(C17="Pres",2,1),IF(C17="Pres",1,0))</f>
        <v>1</v>
      </c>
      <c r="D20" s="36"/>
      <c r="O20" s="22"/>
      <c r="P20" s="22"/>
      <c r="Q20" s="22"/>
      <c r="S20" s="180">
        <f>PRODUCT(S5:S19)</f>
        <v>0.57001354544857374</v>
      </c>
      <c r="T20" s="181">
        <f>SUM(T5:T19)</f>
        <v>0.36629484256344802</v>
      </c>
      <c r="U20" s="181">
        <f>SUM(U5:U19)</f>
        <v>6.0380143288183197E-2</v>
      </c>
      <c r="V20" s="181">
        <f>1-S20-T20-U20</f>
        <v>3.3114686997950393E-3</v>
      </c>
      <c r="W20" s="21"/>
      <c r="X20" s="22"/>
      <c r="Y20" s="22"/>
      <c r="Z20" s="22"/>
      <c r="AA20" s="22"/>
      <c r="AB20" s="23"/>
      <c r="AC20" s="184">
        <f>PRODUCT(AC5:AC19)</f>
        <v>0.54700251681228684</v>
      </c>
      <c r="AD20" s="181">
        <f>SUM(AD5:AD19)</f>
        <v>0.35522543370008197</v>
      </c>
      <c r="AE20" s="181">
        <f>SUM(AE5:AE19)</f>
        <v>8.7039433183977916E-2</v>
      </c>
      <c r="AF20" s="181">
        <f>1-AC20-AD20-AE20</f>
        <v>1.073261630365327E-2</v>
      </c>
      <c r="BH20">
        <v>1</v>
      </c>
      <c r="BI20">
        <v>8</v>
      </c>
      <c r="BJ20" s="107">
        <f t="shared" si="7"/>
        <v>2.0191638403832594E-4</v>
      </c>
      <c r="BP20">
        <f>BP16+1</f>
        <v>6</v>
      </c>
      <c r="BQ20">
        <v>2</v>
      </c>
      <c r="BR20" s="107">
        <f>$H$31*H41</f>
        <v>8.5904870288263796E-3</v>
      </c>
    </row>
    <row r="21" spans="1:70" x14ac:dyDescent="0.25">
      <c r="A21" s="190" t="s">
        <v>78</v>
      </c>
      <c r="B21" s="191">
        <f>5-B20</f>
        <v>4</v>
      </c>
      <c r="C21" s="35"/>
      <c r="D21" s="24"/>
      <c r="E21" s="24"/>
      <c r="O21" s="22"/>
      <c r="P21" s="22"/>
      <c r="Q21" s="22"/>
      <c r="S21" s="182">
        <f>1-T21-U21-V21</f>
        <v>0.57001354544857374</v>
      </c>
      <c r="T21" s="183">
        <f>T20*V1</f>
        <v>0.36629484256344802</v>
      </c>
      <c r="U21" s="183">
        <f>U20*V1</f>
        <v>6.0380143288183197E-2</v>
      </c>
      <c r="V21" s="183">
        <f>V20*V1</f>
        <v>3.3114686997950393E-3</v>
      </c>
      <c r="W21" s="21"/>
      <c r="X21" s="22"/>
      <c r="Y21" s="22"/>
      <c r="Z21" s="22"/>
      <c r="AA21" s="22"/>
      <c r="AB21" s="23"/>
      <c r="AC21" s="185">
        <f>1-AD21-AE21-AF21</f>
        <v>0.54700251681228684</v>
      </c>
      <c r="AD21" s="183">
        <f>AD20*V1</f>
        <v>0.35522543370008197</v>
      </c>
      <c r="AE21" s="183">
        <f>AE20*V1</f>
        <v>8.7039433183977916E-2</v>
      </c>
      <c r="AF21" s="183">
        <f>AF20*V1</f>
        <v>1.073261630365327E-2</v>
      </c>
      <c r="BH21" s="18">
        <v>1</v>
      </c>
      <c r="BI21">
        <v>9</v>
      </c>
      <c r="BJ21" s="107">
        <f t="shared" si="7"/>
        <v>2.5513125602370967E-5</v>
      </c>
      <c r="BP21">
        <f>BP17+1</f>
        <v>6</v>
      </c>
      <c r="BQ21">
        <v>3</v>
      </c>
      <c r="BR21" s="107">
        <f>$H$31*H42</f>
        <v>9.189865211255489E-3</v>
      </c>
    </row>
    <row r="22" spans="1:70" x14ac:dyDescent="0.25">
      <c r="A22" s="26" t="s">
        <v>77</v>
      </c>
      <c r="B22" s="62">
        <f>(B6)/((B6)+(C6))</f>
        <v>0.51111111111111107</v>
      </c>
      <c r="C22" s="63">
        <f>1-B22</f>
        <v>0.48888888888888893</v>
      </c>
      <c r="D22" s="24"/>
      <c r="E22" s="24"/>
      <c r="V22" s="59">
        <f>SUM(V25:V35)</f>
        <v>1.0000000000000002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2.0026684090741535E-6</v>
      </c>
      <c r="BP22">
        <f>BP18+1</f>
        <v>6</v>
      </c>
      <c r="BQ22">
        <v>4</v>
      </c>
      <c r="BR22" s="107">
        <f>$H$31*H43</f>
        <v>6.5526620788657142E-3</v>
      </c>
    </row>
    <row r="23" spans="1:70" ht="15.75" thickBot="1" x14ac:dyDescent="0.3">
      <c r="A23" s="40" t="s">
        <v>67</v>
      </c>
      <c r="B23" s="56">
        <f>((B22^2.8)/((B22^2.8)+(C22^2.8)))*B21</f>
        <v>2.124304504471616</v>
      </c>
      <c r="C23" s="57">
        <f>B21-B23</f>
        <v>1.875695495528384</v>
      </c>
      <c r="D23" s="151">
        <f>SUM(D25:D30)</f>
        <v>1</v>
      </c>
      <c r="E23" s="151">
        <f>SUM(E25:E30)</f>
        <v>1</v>
      </c>
      <c r="H23" s="59">
        <f>SUM(H25:H35)</f>
        <v>0.99999970256799586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1.0000000000000002</v>
      </c>
      <c r="Y23" s="80">
        <f>SUM(Y25:Y35)</f>
        <v>2.3261720532485679E-3</v>
      </c>
      <c r="Z23" s="81"/>
      <c r="AA23" s="80">
        <f>SUM(AA25:AA35)</f>
        <v>2.1087595423426704E-2</v>
      </c>
      <c r="AB23" s="81"/>
      <c r="AC23" s="80">
        <f>SUM(AC25:AC35)</f>
        <v>8.3648652778961496E-2</v>
      </c>
      <c r="AD23" s="81"/>
      <c r="AE23" s="80">
        <f>SUM(AE25:AE35)</f>
        <v>0.18965119622103171</v>
      </c>
      <c r="AF23" s="81"/>
      <c r="AG23" s="80">
        <f>SUM(AG25:AG35)</f>
        <v>0.26884159601287894</v>
      </c>
      <c r="AH23" s="81"/>
      <c r="AI23" s="80">
        <f>SUM(AI25:AI35)</f>
        <v>0.2440642115412163</v>
      </c>
      <c r="AJ23" s="81"/>
      <c r="AK23" s="80">
        <f>SUM(AK25:AK35)</f>
        <v>0.13866390586250132</v>
      </c>
      <c r="AL23" s="81"/>
      <c r="AM23" s="80">
        <f>SUM(AM25:AM35)</f>
        <v>4.5165357595901318E-2</v>
      </c>
      <c r="AN23" s="81"/>
      <c r="AO23" s="80">
        <f>SUM(AO25:AO35)</f>
        <v>6.5196734026295496E-3</v>
      </c>
      <c r="AP23" s="81"/>
      <c r="AQ23" s="80">
        <f>SUM(AQ25:AQ35)</f>
        <v>3.1639108203987037E-5</v>
      </c>
      <c r="AR23" s="81"/>
      <c r="AS23" s="80">
        <f>SUM(AS25:AS35)</f>
        <v>0</v>
      </c>
      <c r="BH23">
        <f t="shared" ref="BH23:BH30" si="8">BH15+1</f>
        <v>2</v>
      </c>
      <c r="BI23">
        <v>3</v>
      </c>
      <c r="BJ23" s="107">
        <f t="shared" ref="BJ23:BJ30" si="9">$H$27*H42</f>
        <v>6.2042612840644135E-2</v>
      </c>
      <c r="BP23">
        <f>BL9+1</f>
        <v>6</v>
      </c>
      <c r="BQ23">
        <v>5</v>
      </c>
      <c r="BR23" s="107">
        <f>$H$31*H44</f>
        <v>3.2783676444468647E-3</v>
      </c>
    </row>
    <row r="24" spans="1:70" ht="15.75" thickBot="1" x14ac:dyDescent="0.3">
      <c r="A24" s="26" t="s">
        <v>76</v>
      </c>
      <c r="B24" s="64">
        <f>B23/B21</f>
        <v>0.531076126117904</v>
      </c>
      <c r="C24" s="65">
        <f>C23/B21</f>
        <v>0.468923873882096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4.4238328537910633E-2</v>
      </c>
      <c r="BP24">
        <f>BH49+1</f>
        <v>7</v>
      </c>
      <c r="BQ24">
        <v>0</v>
      </c>
      <c r="BR24" s="107">
        <f t="shared" ref="BR24:BR30" si="10">$H$32*H39</f>
        <v>3.0161194796284518E-4</v>
      </c>
    </row>
    <row r="25" spans="1:70" x14ac:dyDescent="0.25">
      <c r="A25" s="26" t="s">
        <v>69</v>
      </c>
      <c r="B25" s="117">
        <f>1/(1+EXP(-3.1416*4*((B11/(B11+C8))-(3.1416/6))))</f>
        <v>0.68133206934895207</v>
      </c>
      <c r="C25" s="118">
        <f>1/(1+EXP(-3.1416*4*((C11/(C11+B8))-(3.1416/6))))</f>
        <v>0.70284124965481765</v>
      </c>
      <c r="D25" s="153">
        <f>IF(B17="AOW", 0.36-0.08, IF(B17="AIM", 0.36+0.08, IF(B17="TL",(0.361)-(0.36*B32),0.36)))</f>
        <v>0.44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2.983744009041861E-2</v>
      </c>
      <c r="I25" s="97">
        <v>0</v>
      </c>
      <c r="J25" s="98">
        <f t="shared" ref="J25:J35" si="11">Y25+AA25+AC25+AE25+AG25+AI25+AK25+AM25+AO25+AQ25+AS25</f>
        <v>5.2345142196468249E-2</v>
      </c>
      <c r="K25" s="97">
        <v>0</v>
      </c>
      <c r="L25" s="98">
        <f>S21</f>
        <v>0.57001354544857374</v>
      </c>
      <c r="M25" s="84">
        <v>0</v>
      </c>
      <c r="N25" s="71">
        <f>(1-$B$24)^$B$21</f>
        <v>4.8351435966771578E-2</v>
      </c>
      <c r="O25" s="70">
        <v>0</v>
      </c>
      <c r="P25" s="71">
        <f>N25</f>
        <v>4.8351435966771578E-2</v>
      </c>
      <c r="Q25" s="12">
        <v>0</v>
      </c>
      <c r="R25" s="73">
        <f>P25*N25</f>
        <v>2.3378613600488121E-3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2.3261720532485679E-3</v>
      </c>
      <c r="W25" s="136">
        <f>B31</f>
        <v>0.5802209974760576</v>
      </c>
      <c r="X25" s="12">
        <v>0</v>
      </c>
      <c r="Y25" s="79">
        <f>V25</f>
        <v>2.3261720532485679E-3</v>
      </c>
      <c r="Z25" s="12">
        <v>0</v>
      </c>
      <c r="AA25" s="78">
        <f>((1-W25)^Z26)*V26</f>
        <v>8.8521297724745152E-3</v>
      </c>
      <c r="AB25" s="12">
        <v>0</v>
      </c>
      <c r="AC25" s="79">
        <f>(((1-$W$25)^AB27))*V27</f>
        <v>1.4740098077041935E-2</v>
      </c>
      <c r="AD25" s="12">
        <v>0</v>
      </c>
      <c r="AE25" s="79">
        <f>(((1-$W$25)^AB28))*V28</f>
        <v>1.4028709433409952E-2</v>
      </c>
      <c r="AF25" s="12">
        <v>0</v>
      </c>
      <c r="AG25" s="79">
        <f>(((1-$W$25)^AB29))*V29</f>
        <v>8.3479398271070326E-3</v>
      </c>
      <c r="AH25" s="12">
        <v>0</v>
      </c>
      <c r="AI25" s="79">
        <f>(((1-$W$25)^AB30))*V30</f>
        <v>3.1813222092577863E-3</v>
      </c>
      <c r="AJ25" s="12">
        <v>0</v>
      </c>
      <c r="AK25" s="79">
        <f>(((1-$W$25)^AB31))*V31</f>
        <v>7.5873076929022082E-4</v>
      </c>
      <c r="AL25" s="12">
        <v>0</v>
      </c>
      <c r="AM25" s="79">
        <f>(((1-$W$25)^AB32))*V32</f>
        <v>1.0374100043062795E-4</v>
      </c>
      <c r="AN25" s="12">
        <v>0</v>
      </c>
      <c r="AO25" s="79">
        <f>(((1-$W$25)^AB33))*V33</f>
        <v>6.2862482920233793E-6</v>
      </c>
      <c r="AP25" s="12">
        <v>0</v>
      </c>
      <c r="AQ25" s="79">
        <f>(((1-$W$25)^AB34))*V34</f>
        <v>1.2805915593072239E-8</v>
      </c>
      <c r="AR25" s="12">
        <v>0</v>
      </c>
      <c r="AS25" s="79">
        <f>(((1-$W$25)^AB35))*V35</f>
        <v>0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2.2132913795579346E-2</v>
      </c>
      <c r="BP25">
        <f>BP19+1</f>
        <v>7</v>
      </c>
      <c r="BQ25">
        <v>1</v>
      </c>
      <c r="BR25" s="107">
        <f t="shared" si="10"/>
        <v>1.1890470581159827E-3</v>
      </c>
    </row>
    <row r="26" spans="1:70" x14ac:dyDescent="0.25">
      <c r="A26" s="40" t="s">
        <v>24</v>
      </c>
      <c r="B26" s="119">
        <f>1/(1+EXP(-3.1416*4*((B10/(B10+C9))-(3.1416/6))))</f>
        <v>0.46993567237252254</v>
      </c>
      <c r="C26" s="120">
        <f>1/(1+EXP(-3.1416*4*((C10/(C10+B9))-(3.1416/6))))</f>
        <v>0.38435583308753968</v>
      </c>
      <c r="D26" s="153">
        <f>IF(B17="AOW", 0.257+0.04, IF(B17="AIM", 0.257-0.04, IF(B17="TL",(0.257)-(0.257*B32),0.257)))</f>
        <v>0.217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0.12557311000749552</v>
      </c>
      <c r="I26" s="93">
        <v>1</v>
      </c>
      <c r="J26" s="86">
        <f t="shared" si="11"/>
        <v>0.1866610982094252</v>
      </c>
      <c r="K26" s="93">
        <v>1</v>
      </c>
      <c r="L26" s="86">
        <f>T21</f>
        <v>0.36629484256344802</v>
      </c>
      <c r="M26" s="85">
        <v>1</v>
      </c>
      <c r="N26" s="71">
        <f>(($B$24)^M26)*((1-($B$24))^($B$21-M26))*HLOOKUP($B$21,$AV$24:$BF$34,M26+1)</f>
        <v>0.21904018742221149</v>
      </c>
      <c r="O26" s="72">
        <v>1</v>
      </c>
      <c r="P26" s="71">
        <f t="shared" ref="P26:P30" si="12">N26</f>
        <v>0.21904018742221149</v>
      </c>
      <c r="Q26" s="28">
        <v>1</v>
      </c>
      <c r="R26" s="37">
        <f>N26*P25+P26*N25</f>
        <v>2.1181815192589406E-2</v>
      </c>
      <c r="S26" s="72">
        <v>1</v>
      </c>
      <c r="T26" s="135">
        <f t="shared" ref="T26:T35" si="13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2.1087595423426704E-2</v>
      </c>
      <c r="W26" s="137"/>
      <c r="X26" s="28">
        <v>1</v>
      </c>
      <c r="Y26" s="73"/>
      <c r="Z26" s="28">
        <v>1</v>
      </c>
      <c r="AA26" s="79">
        <f>(1-((1-W25)^Z26))*V26</f>
        <v>1.2235465650952189E-2</v>
      </c>
      <c r="AB26" s="28">
        <v>1</v>
      </c>
      <c r="AC26" s="79">
        <f>((($W$25)^M26)*((1-($W$25))^($U$27-M26))*HLOOKUP($U$27,$AV$24:$BF$34,M26+1))*V27</f>
        <v>4.074769989796425E-2</v>
      </c>
      <c r="AD26" s="28">
        <v>1</v>
      </c>
      <c r="AE26" s="79">
        <f>((($W$25)^M26)*((1-($W$25))^($U$28-M26))*HLOOKUP($U$28,$AV$24:$BF$34,M26+1))*V28</f>
        <v>5.8171693189613349E-2</v>
      </c>
      <c r="AF26" s="28">
        <v>1</v>
      </c>
      <c r="AG26" s="79">
        <f>((($W$25)^M26)*((1-($W$25))^($U$29-M26))*HLOOKUP($U$29,$AV$24:$BF$34,M26+1))*V29</f>
        <v>4.6154285414291424E-2</v>
      </c>
      <c r="AH26" s="28">
        <v>1</v>
      </c>
      <c r="AI26" s="79">
        <f>((($W$25)^M26)*((1-($W$25))^($U$30-M26))*HLOOKUP($U$30,$AV$24:$BF$34,M26+1))*V30</f>
        <v>2.1986211011626379E-2</v>
      </c>
      <c r="AJ26" s="28">
        <v>1</v>
      </c>
      <c r="AK26" s="79">
        <f>((($W$25)^M26)*((1-($W$25))^($U$31-M26))*HLOOKUP($U$31,$AV$24:$BF$34,M26+1))*V31</f>
        <v>6.2923326959152441E-3</v>
      </c>
      <c r="AL26" s="28">
        <v>1</v>
      </c>
      <c r="AM26" s="79">
        <f>((($W$25)^Q26)*((1-($W$25))^($U$32-Q26))*HLOOKUP($U$32,$AV$24:$BF$34,Q26+1))*V32</f>
        <v>1.0037399315110565E-3</v>
      </c>
      <c r="AN26" s="28">
        <v>1</v>
      </c>
      <c r="AO26" s="79">
        <f>((($W$25)^Q26)*((1-($W$25))^($U$33-Q26))*HLOOKUP($U$33,$AV$24:$BF$34,Q26+1))*V33</f>
        <v>6.9511113847042612E-5</v>
      </c>
      <c r="AP26" s="28">
        <v>1</v>
      </c>
      <c r="AQ26" s="79">
        <f>((($W$25)^Q26)*((1-($W$25))^($U$34-Q26))*HLOOKUP($U$34,$AV$24:$BF$34,Q26+1))*V34</f>
        <v>1.593037042562534E-7</v>
      </c>
      <c r="AR26" s="28">
        <v>1</v>
      </c>
      <c r="AS26" s="79">
        <f>((($W$25)^Q26)*((1-($W$25))^($U$35-Q26))*HLOOKUP($U$35,$AV$24:$BF$34,Q26+1))*V35</f>
        <v>0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7.9574346175950404E-3</v>
      </c>
      <c r="BP26">
        <f>BP20+1</f>
        <v>7</v>
      </c>
      <c r="BQ26">
        <v>2</v>
      </c>
      <c r="BR26" s="107">
        <f t="shared" si="10"/>
        <v>2.1241712067940639E-3</v>
      </c>
    </row>
    <row r="27" spans="1:70" x14ac:dyDescent="0.25">
      <c r="A27" s="26" t="s">
        <v>25</v>
      </c>
      <c r="B27" s="119">
        <f>1/(1+EXP(-3.1416*4*((B12/(B12+C7))-(3.1416/6))))</f>
        <v>0.39768556200020028</v>
      </c>
      <c r="C27" s="120">
        <f>1/(1+EXP(-3.1416*4*((C12/(C12+B7))-(3.1416/6))))</f>
        <v>0.68485502951759059</v>
      </c>
      <c r="D27" s="153">
        <f>D26</f>
        <v>0.217</v>
      </c>
      <c r="E27" s="153">
        <f>E26</f>
        <v>0.25700000000000001</v>
      </c>
      <c r="G27" s="87">
        <v>2</v>
      </c>
      <c r="H27" s="128">
        <f>L25*J27+J26*L26+J25*L27</f>
        <v>0.23756695918983403</v>
      </c>
      <c r="I27" s="93">
        <v>2</v>
      </c>
      <c r="J27" s="86">
        <f t="shared" si="11"/>
        <v>0.29127966475177153</v>
      </c>
      <c r="K27" s="93">
        <v>2</v>
      </c>
      <c r="L27" s="86">
        <f>U21</f>
        <v>6.0380143288183197E-2</v>
      </c>
      <c r="M27" s="85">
        <v>2</v>
      </c>
      <c r="N27" s="71">
        <f>(($B$24)^M27)*((1-($B$24))^($B$21-M27))*HLOOKUP($B$21,$AV$24:$BF$34,M27+1)</f>
        <v>0.37210841891228735</v>
      </c>
      <c r="O27" s="72">
        <v>2</v>
      </c>
      <c r="P27" s="71">
        <f t="shared" si="12"/>
        <v>0.37210841891228735</v>
      </c>
      <c r="Q27" s="28">
        <v>2</v>
      </c>
      <c r="R27" s="37">
        <f>P25*N27+P26*N26+P27*N25</f>
        <v>8.396255648542568E-2</v>
      </c>
      <c r="S27" s="72">
        <v>2</v>
      </c>
      <c r="T27" s="135">
        <f t="shared" si="13"/>
        <v>0</v>
      </c>
      <c r="U27" s="93">
        <v>2</v>
      </c>
      <c r="V27" s="86">
        <f>R27*T25+T26*R26+R25*T27</f>
        <v>8.3648652778961496E-2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2.8160854803955311E-2</v>
      </c>
      <c r="AD27" s="28">
        <v>2</v>
      </c>
      <c r="AE27" s="79">
        <f>((($W$25)^M27)*((1-($W$25))^($U$28-M27))*HLOOKUP($U$28,$AV$24:$BF$34,M27+1))*V28</f>
        <v>8.040525525195498E-2</v>
      </c>
      <c r="AF27" s="28">
        <v>2</v>
      </c>
      <c r="AG27" s="79">
        <f>((($W$25)^M27)*((1-($W$25))^($U$29-M27))*HLOOKUP($U$29,$AV$24:$BF$34,M27+1))*V29</f>
        <v>9.5692085692211673E-2</v>
      </c>
      <c r="AH27" s="28">
        <v>2</v>
      </c>
      <c r="AI27" s="79">
        <f>((($W$25)^M27)*((1-($W$25))^($U$30-M27))*HLOOKUP($U$30,$AV$24:$BF$34,M27+1))*V30</f>
        <v>6.0778939428526267E-2</v>
      </c>
      <c r="AJ27" s="28">
        <v>2</v>
      </c>
      <c r="AK27" s="79">
        <f>((($W$25)^M27)*((1-($W$25))^($U$31-M27))*HLOOKUP($U$31,$AV$24:$BF$34,M27+1))*V31</f>
        <v>2.1743247823995906E-2</v>
      </c>
      <c r="AL27" s="28">
        <v>2</v>
      </c>
      <c r="AM27" s="79">
        <f>((($W$25)^Q27)*((1-($W$25))^($U$32-Q27))*HLOOKUP($U$32,$AV$24:$BF$34,Q27+1))*V32</f>
        <v>4.1621256477782816E-3</v>
      </c>
      <c r="AN27" s="28">
        <v>2</v>
      </c>
      <c r="AO27" s="79">
        <f>((($W$25)^Q27)*((1-($W$25))^($U$33-Q27))*HLOOKUP($U$33,$AV$24:$BF$34,Q27+1))*V33</f>
        <v>3.3627534129451557E-4</v>
      </c>
      <c r="AP27" s="28">
        <v>2</v>
      </c>
      <c r="AQ27" s="79">
        <f>((($W$25)^Q27)*((1-($W$25))^($U$34-Q27))*HLOOKUP($U$34,$AV$24:$BF$34,Q27+1))*V34</f>
        <v>8.8076205459964447E-7</v>
      </c>
      <c r="AR27" s="28">
        <v>2</v>
      </c>
      <c r="AS27" s="79">
        <f>((($W$25)^Q27)*((1-($W$25))^($U$35-Q27))*HLOOKUP($U$35,$AV$24:$BF$34,Q27+1))*V35</f>
        <v>0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2.0660264767891354E-3</v>
      </c>
      <c r="BP27">
        <f>BP21+1</f>
        <v>7</v>
      </c>
      <c r="BQ27">
        <v>3</v>
      </c>
      <c r="BR27" s="107">
        <f t="shared" si="10"/>
        <v>2.2723795531688577E-3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0.26624148514604673</v>
      </c>
      <c r="I28" s="93">
        <v>3</v>
      </c>
      <c r="J28" s="86">
        <f t="shared" si="11"/>
        <v>0.25982414668958032</v>
      </c>
      <c r="K28" s="93">
        <v>3</v>
      </c>
      <c r="L28" s="86">
        <f>V21</f>
        <v>3.3114686997950393E-3</v>
      </c>
      <c r="M28" s="85">
        <v>3</v>
      </c>
      <c r="N28" s="71">
        <f>(($B$24)^M28)*((1-($B$24))^($B$21-M28))*HLOOKUP($B$21,$AV$24:$BF$34,M28+1)</f>
        <v>0.28095235157008858</v>
      </c>
      <c r="O28" s="72">
        <v>3</v>
      </c>
      <c r="P28" s="71">
        <f t="shared" si="12"/>
        <v>0.28095235157008858</v>
      </c>
      <c r="Q28" s="28">
        <v>3</v>
      </c>
      <c r="R28" s="37">
        <f>P25*N28+P26*N27+P27*N26+P28*N25</f>
        <v>0.19018229491317049</v>
      </c>
      <c r="S28" s="72">
        <v>3</v>
      </c>
      <c r="T28" s="135">
        <f t="shared" si="13"/>
        <v>0</v>
      </c>
      <c r="U28" s="93">
        <v>3</v>
      </c>
      <c r="V28" s="86">
        <f>R28*T25+R27*T26+R26*T27+R25*T28</f>
        <v>0.18965119622103174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3.7045538346053453E-2</v>
      </c>
      <c r="AF28" s="28">
        <v>3</v>
      </c>
      <c r="AG28" s="79">
        <f>((($W$25)^M28)*((1-($W$25))^($U$29-M28))*HLOOKUP($U$29,$AV$24:$BF$34,M28+1))*V29</f>
        <v>8.8177441109198354E-2</v>
      </c>
      <c r="AH28" s="28">
        <v>3</v>
      </c>
      <c r="AI28" s="79">
        <f>((($W$25)^M28)*((1-($W$25))^($U$30-M28))*HLOOKUP($U$30,$AV$24:$BF$34,M28+1))*V30</f>
        <v>8.4009006283598059E-2</v>
      </c>
      <c r="AJ28" s="28">
        <v>3</v>
      </c>
      <c r="AK28" s="79">
        <f>((($W$25)^M28)*((1-($W$25))^($U$31-M28))*HLOOKUP($U$31,$AV$24:$BF$34,M28+1))*V31</f>
        <v>4.0071526096523341E-2</v>
      </c>
      <c r="AL28" s="28">
        <v>3</v>
      </c>
      <c r="AM28" s="79">
        <f>((($W$25)^Q28)*((1-($W$25))^($U$32-Q28))*HLOOKUP($U$32,$AV$24:$BF$34,Q28+1))*V32</f>
        <v>9.5881907720275512E-3</v>
      </c>
      <c r="AN28" s="28">
        <v>3</v>
      </c>
      <c r="AO28" s="79">
        <f>((($W$25)^Q28)*((1-($W$25))^($U$33-Q28))*HLOOKUP($U$33,$AV$24:$BF$34,Q28+1))*V33</f>
        <v>9.2960349507418259E-4</v>
      </c>
      <c r="AP28" s="28">
        <v>3</v>
      </c>
      <c r="AQ28" s="79">
        <f>((($W$25)^Q28)*((1-($W$25))^($U$34-Q28))*HLOOKUP($U$34,$AV$24:$BF$34,Q28+1))*V34</f>
        <v>2.8405871053607091E-6</v>
      </c>
      <c r="AR28" s="28">
        <v>3</v>
      </c>
      <c r="AS28" s="79">
        <f>((($W$25)^Q28)*((1-($W$25))^($U$35-Q28))*HLOOKUP($U$35,$AV$24:$BF$34,Q28+1))*V35</f>
        <v>0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3.819978764858859E-4</v>
      </c>
      <c r="BP28">
        <f>BP22+1</f>
        <v>7</v>
      </c>
      <c r="BQ28">
        <v>4</v>
      </c>
      <c r="BR28" s="107">
        <f t="shared" si="10"/>
        <v>1.6202778805289081E-3</v>
      </c>
    </row>
    <row r="29" spans="1:70" x14ac:dyDescent="0.25">
      <c r="A29" s="26" t="s">
        <v>27</v>
      </c>
      <c r="B29" s="123">
        <f>1/(1+EXP(-3.1416*4*((B14/(B14+C13))-(3.1416/6))))</f>
        <v>0.39027247215001415</v>
      </c>
      <c r="C29" s="118">
        <f>1/(1+EXP(-3.1416*4*((C14/(C14+B13))-(3.1416/6))))</f>
        <v>0.42639691249266598</v>
      </c>
      <c r="D29" s="153">
        <v>0.04</v>
      </c>
      <c r="E29" s="153">
        <v>0.04</v>
      </c>
      <c r="G29" s="87">
        <v>4</v>
      </c>
      <c r="H29" s="128">
        <f>J29*L25+J28*L26+J27*L27+J26*L28</f>
        <v>0.19599216718847348</v>
      </c>
      <c r="I29" s="93">
        <v>4</v>
      </c>
      <c r="J29" s="86">
        <f t="shared" si="11"/>
        <v>0.14493391019117288</v>
      </c>
      <c r="K29" s="93">
        <v>4</v>
      </c>
      <c r="L29" s="86"/>
      <c r="M29" s="85">
        <v>4</v>
      </c>
      <c r="N29" s="71">
        <f>(($B$24)^M29)*((1-($B$24))^($B$21-M29))*HLOOKUP($B$21,$AV$24:$BF$34,M29+1)</f>
        <v>7.9547606128641035E-2</v>
      </c>
      <c r="O29" s="72">
        <v>4</v>
      </c>
      <c r="P29" s="71">
        <f t="shared" si="12"/>
        <v>7.9547606128641035E-2</v>
      </c>
      <c r="Q29" s="28">
        <v>4</v>
      </c>
      <c r="R29" s="37">
        <f>P25*N29+P26*N28+P27*N27+P28*N26+P29*N25</f>
        <v>0.2692368688827268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0.26884159601287899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3.0469843970070482E-2</v>
      </c>
      <c r="AH29" s="28">
        <v>4</v>
      </c>
      <c r="AI29" s="79">
        <f>((($W$25)^M29)*((1-($W$25))^($U$30-M29))*HLOOKUP($U$30,$AV$24:$BF$34,M29+1))*V30</f>
        <v>5.8058870417251884E-2</v>
      </c>
      <c r="AJ29" s="28">
        <v>4</v>
      </c>
      <c r="AK29" s="79">
        <f>((($W$25)^M29)*((1-($W$25))^($U$31-M29))*HLOOKUP($U$31,$AV$24:$BF$34,M29+1))*V31</f>
        <v>4.15403236625441E-2</v>
      </c>
      <c r="AL29" s="28">
        <v>4</v>
      </c>
      <c r="AM29" s="79">
        <f>((($W$25)^Q29)*((1-($W$25))^($U$32-Q29))*HLOOKUP($U$32,$AV$24:$BF$34,Q29+1))*V32</f>
        <v>1.3252853478347218E-2</v>
      </c>
      <c r="AN29" s="28">
        <v>4</v>
      </c>
      <c r="AO29" s="79">
        <f>((($W$25)^Q29)*((1-($W$25))^($U$33-Q29))*HLOOKUP($U$33,$AV$24:$BF$34,Q29+1))*V33</f>
        <v>1.6061292487420447E-3</v>
      </c>
      <c r="AP29" s="28">
        <v>4</v>
      </c>
      <c r="AQ29" s="79">
        <f>((($W$25)^Q29)*((1-($W$25))^($U$34-Q29))*HLOOKUP($U$34,$AV$24:$BF$34,Q29+1))*V34</f>
        <v>5.8894142171725687E-6</v>
      </c>
      <c r="AR29" s="28">
        <v>4</v>
      </c>
      <c r="AS29" s="79">
        <f>((($W$25)^Q29)*((1-($W$25))^($U$35-Q29))*HLOOKUP($U$35,$AV$24:$BF$34,Q29+1))*V35</f>
        <v>0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4.8267305543533844E-5</v>
      </c>
      <c r="BP29">
        <f>BP23+1</f>
        <v>7</v>
      </c>
      <c r="BQ29">
        <v>5</v>
      </c>
      <c r="BR29" s="107">
        <f t="shared" si="10"/>
        <v>8.1064253193694597E-4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9.9263364409513291E-2</v>
      </c>
      <c r="I30" s="93">
        <v>5</v>
      </c>
      <c r="J30" s="86">
        <f t="shared" si="11"/>
        <v>5.179181815958632E-2</v>
      </c>
      <c r="K30" s="93">
        <v>5</v>
      </c>
      <c r="L30" s="86"/>
      <c r="M30" s="85">
        <v>5</v>
      </c>
      <c r="N30" s="71">
        <f>(($B$24)^M30)*((1-($B$24))^($B$21-M30))*HLOOKUP($B$21,$AV$24:$BF$34,M30+1)</f>
        <v>0</v>
      </c>
      <c r="O30" s="72">
        <v>5</v>
      </c>
      <c r="P30" s="71">
        <f t="shared" si="12"/>
        <v>0</v>
      </c>
      <c r="Q30" s="28">
        <v>5</v>
      </c>
      <c r="R30" s="37">
        <f>P25*N30+P26*N29+P27*N28+P28*N27+P29*N26+P30*N25</f>
        <v>0.2439377157756811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0.24406421154121632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1.6049862190955919E-2</v>
      </c>
      <c r="AJ30" s="28">
        <v>5</v>
      </c>
      <c r="AK30" s="79">
        <f>((($W$25)^M30)*((1-($W$25))^($U$31-M30))*HLOOKUP($U$31,$AV$24:$BF$34,M30+1))*V31</f>
        <v>2.2966911528248632E-2</v>
      </c>
      <c r="AL30" s="28">
        <v>5</v>
      </c>
      <c r="AM30" s="79">
        <f>((($W$25)^Q30)*((1-($W$25))^($U$32-Q30))*HLOOKUP($U$32,$AV$24:$BF$34,Q30+1))*V32</f>
        <v>1.0990903049047214E-2</v>
      </c>
      <c r="AN30" s="28">
        <v>5</v>
      </c>
      <c r="AO30" s="79">
        <f>((($W$25)^Q30)*((1-($W$25))^($U$33-Q30))*HLOOKUP($U$33,$AV$24:$BF$34,Q30+1))*V33</f>
        <v>1.7760010084876558E-3</v>
      </c>
      <c r="AP30" s="28">
        <v>5</v>
      </c>
      <c r="AQ30" s="79">
        <f>((($W$25)^Q30)*((1-($W$25))^($U$34-Q30))*HLOOKUP($U$34,$AV$24:$BF$34,Q30+1))*V34</f>
        <v>8.1403828469067884E-6</v>
      </c>
      <c r="AR30" s="28">
        <v>5</v>
      </c>
      <c r="AS30" s="79">
        <f>((($W$25)^Q30)*((1-($W$25))^($U$35-Q30))*HLOOKUP($U$35,$AV$24:$BF$34,Q30+1))*V35</f>
        <v>0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3.7887716899015282E-6</v>
      </c>
      <c r="BP30">
        <f>BL10+1</f>
        <v>7</v>
      </c>
      <c r="BQ30">
        <v>6</v>
      </c>
      <c r="BR30" s="107">
        <f t="shared" si="10"/>
        <v>2.9144987441365926E-4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0.5802209974760576</v>
      </c>
      <c r="C31" s="61">
        <f>(C25*E25)+(C26*E26)+(C27*E27)+(C28*E28)+(C29*E29)+(C30*E30)/(C25+C26+C27+C28+C29+C30)</f>
        <v>0.62141209394731356</v>
      </c>
      <c r="G31" s="87">
        <v>6</v>
      </c>
      <c r="H31" s="128">
        <f>J31*L25+J30*L26+J29*L27+J28*L28</f>
        <v>3.5188852204048181E-2</v>
      </c>
      <c r="I31" s="93">
        <v>6</v>
      </c>
      <c r="J31" s="86">
        <f t="shared" si="11"/>
        <v>1.1589630779976972E-2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0.13813489174233465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0.13866390586250138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5.2908332859839102E-3</v>
      </c>
      <c r="AL31" s="28">
        <v>6</v>
      </c>
      <c r="AM31" s="79">
        <f>((($W$25)^Q31)*((1-($W$25))^($U$32-Q31))*HLOOKUP($U$32,$AV$24:$BF$34,Q31+1))*V32</f>
        <v>5.0638968694939205E-3</v>
      </c>
      <c r="AN31" s="28">
        <v>6</v>
      </c>
      <c r="AO31" s="79">
        <f>((($W$25)^Q31)*((1-($W$25))^($U$33-Q31))*HLOOKUP($U$33,$AV$24:$BF$34,Q31+1))*V33</f>
        <v>1.2273995012463948E-3</v>
      </c>
      <c r="AP31" s="28">
        <v>6</v>
      </c>
      <c r="AQ31" s="79">
        <f>((($W$25)^Q31)*((1-($W$25))^($U$34-Q31))*HLOOKUP($U$34,$AV$24:$BF$34,Q31+1))*V34</f>
        <v>7.5011232527443269E-6</v>
      </c>
      <c r="AR31" s="28">
        <v>6</v>
      </c>
      <c r="AS31" s="79">
        <f>((($W$25)^Q31)*((1-($W$25))^($U$35-Q31))*HLOOKUP($U$35,$AV$24:$BF$34,Q31+1))*V35</f>
        <v>0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4.9577930914628955E-2</v>
      </c>
      <c r="BP31">
        <f t="shared" ref="BP31:BP37" si="17">BP24+1</f>
        <v>8</v>
      </c>
      <c r="BQ31">
        <v>0</v>
      </c>
      <c r="BR31" s="107">
        <f t="shared" ref="BR31:BR38" si="18">$H$33*H39</f>
        <v>5.0793793471188967E-5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8.7011535435823628E-3</v>
      </c>
      <c r="I32" s="93">
        <v>7</v>
      </c>
      <c r="J32" s="86">
        <f t="shared" si="11"/>
        <v>1.4890699697775161E-3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4.4698174007225776E-2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4.5165357595901325E-2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9.9990684726544775E-4</v>
      </c>
      <c r="AN32" s="28">
        <v>7</v>
      </c>
      <c r="AO32" s="79">
        <f>((($W$25)^Q32)*((1-($W$25))^($U$33-Q32))*HLOOKUP($U$33,$AV$24:$BF$34,Q32+1))*V33</f>
        <v>4.8471965257425125E-4</v>
      </c>
      <c r="AP32" s="28">
        <v>7</v>
      </c>
      <c r="AQ32" s="79">
        <f>((($W$25)^Q32)*((1-($W$25))^($U$34-Q32))*HLOOKUP($U$34,$AV$24:$BF$34,Q32+1))*V34</f>
        <v>4.4434699378172983E-6</v>
      </c>
      <c r="AR32" s="28">
        <v>7</v>
      </c>
      <c r="AS32" s="79">
        <f>((($W$25)^Q32)*((1-($W$25))^($U$35-Q32))*HLOOKUP($U$35,$AV$24:$BF$34,Q32+1))*V35</f>
        <v>0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2.4804374563029013E-2</v>
      </c>
      <c r="BP32">
        <f t="shared" si="17"/>
        <v>8</v>
      </c>
      <c r="BQ32">
        <v>1</v>
      </c>
      <c r="BR32" s="107">
        <f t="shared" si="18"/>
        <v>2.0024475524062498E-4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1.4653418043912209E-3</v>
      </c>
      <c r="I33" s="93">
        <v>8</v>
      </c>
      <c r="J33" s="86">
        <f t="shared" si="11"/>
        <v>8.5283240618882393E-5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6.327821640797409E-3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6.5196734026295505E-3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8.3747793071438554E-5</v>
      </c>
      <c r="AP33" s="28">
        <v>8</v>
      </c>
      <c r="AQ33" s="79">
        <f>((($W$25)^Q33)*((1-($W$25))^($U$34-Q33))*HLOOKUP($U$34,$AV$24:$BF$34,Q33+1))*V34</f>
        <v>1.5354475474438359E-6</v>
      </c>
      <c r="AR33" s="28">
        <v>8</v>
      </c>
      <c r="AS33" s="79">
        <f>((($W$25)^Q33)*((1-($W$25))^($U$35-Q33))*HLOOKUP($U$35,$AV$24:$BF$34,Q33+1))*V35</f>
        <v>0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8.917903473471437E-3</v>
      </c>
      <c r="BP33">
        <f t="shared" si="17"/>
        <v>8</v>
      </c>
      <c r="BQ33">
        <v>2</v>
      </c>
      <c r="BR33" s="107">
        <f t="shared" si="18"/>
        <v>3.5772692131093959E-4</v>
      </c>
    </row>
    <row r="34" spans="1:70" x14ac:dyDescent="0.25">
      <c r="A34" s="40" t="s">
        <v>86</v>
      </c>
      <c r="B34" s="56">
        <f>B23*2</f>
        <v>4.248609008943232</v>
      </c>
      <c r="C34" s="57">
        <f>C23*2</f>
        <v>3.751390991056768</v>
      </c>
      <c r="G34" s="87">
        <v>9</v>
      </c>
      <c r="H34" s="128">
        <f>J34*L25+J33*L26+J32*L27+J31*L28</f>
        <v>1.5966218472593307E-4</v>
      </c>
      <c r="I34" s="93">
        <v>9</v>
      </c>
      <c r="J34" s="86">
        <f t="shared" si="11"/>
        <v>2.3581162209253867E-7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0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3.1639108203987043E-5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2.3581162209253867E-7</v>
      </c>
      <c r="AR34" s="28">
        <v>9</v>
      </c>
      <c r="AS34" s="79">
        <f>((($W$25)^Q34)*((1-($W$25))^($U$35-Q34))*HLOOKUP($U$35,$AV$24:$BF$34,Q34+1))*V35</f>
        <v>0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2.3153975595227982E-3</v>
      </c>
      <c r="BP34">
        <f t="shared" si="17"/>
        <v>8</v>
      </c>
      <c r="BQ34">
        <v>3</v>
      </c>
      <c r="BR34" s="107">
        <f t="shared" si="18"/>
        <v>3.8268635739201645E-4</v>
      </c>
    </row>
    <row r="35" spans="1:70" ht="15.75" thickBot="1" x14ac:dyDescent="0.3">
      <c r="G35" s="88">
        <v>10</v>
      </c>
      <c r="H35" s="129">
        <f>J35*L25+J34*L26+J33*L27+J32*L28</f>
        <v>1.0166799466360731E-5</v>
      </c>
      <c r="I35" s="94">
        <v>10</v>
      </c>
      <c r="J35" s="89">
        <f t="shared" si="11"/>
        <v>0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0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0</v>
      </c>
      <c r="BH35">
        <f t="shared" si="15"/>
        <v>3</v>
      </c>
      <c r="BI35">
        <v>8</v>
      </c>
      <c r="BJ35" s="107">
        <f t="shared" si="16"/>
        <v>4.2810533209279084E-4</v>
      </c>
      <c r="BP35">
        <f t="shared" si="17"/>
        <v>8</v>
      </c>
      <c r="BQ35">
        <v>4</v>
      </c>
      <c r="BR35" s="107">
        <f t="shared" si="18"/>
        <v>2.7286737340942305E-4</v>
      </c>
    </row>
    <row r="36" spans="1:70" x14ac:dyDescent="0.25">
      <c r="A36" s="1"/>
      <c r="B36" s="108">
        <f>SUM(B37:B39)</f>
        <v>0.99998893024903823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5.4093208734636081E-5</v>
      </c>
      <c r="BP36">
        <f t="shared" si="17"/>
        <v>8</v>
      </c>
      <c r="BQ36">
        <v>5</v>
      </c>
      <c r="BR36" s="107">
        <f t="shared" si="18"/>
        <v>1.3651849545177588E-4</v>
      </c>
    </row>
    <row r="37" spans="1:70" ht="15.75" thickBot="1" x14ac:dyDescent="0.3">
      <c r="A37" s="109" t="s">
        <v>104</v>
      </c>
      <c r="B37" s="107">
        <f>SUM(BN4:BN14)</f>
        <v>0.19272273837339191</v>
      </c>
      <c r="G37" s="13"/>
      <c r="H37" s="59">
        <f>SUM(H39:H49)</f>
        <v>0.99999939431202856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1</v>
      </c>
      <c r="W37" s="13"/>
      <c r="X37" s="13"/>
      <c r="Y37" s="80">
        <f>SUM(Y39:Y49)</f>
        <v>6.2961825325934216E-3</v>
      </c>
      <c r="Z37" s="81"/>
      <c r="AA37" s="80">
        <f>SUM(AA39:AA49)</f>
        <v>4.4506322245393637E-2</v>
      </c>
      <c r="AB37" s="81"/>
      <c r="AC37" s="80">
        <f>SUM(AC39:AC49)</f>
        <v>0.13766770815365909</v>
      </c>
      <c r="AD37" s="81"/>
      <c r="AE37" s="80">
        <f>SUM(AE39:AE49)</f>
        <v>0.24340870165551437</v>
      </c>
      <c r="AF37" s="81"/>
      <c r="AG37" s="80">
        <f>SUM(AG39:AG49)</f>
        <v>0.26911037311719155</v>
      </c>
      <c r="AH37" s="81"/>
      <c r="AI37" s="80">
        <f>SUM(AI39:AI49)</f>
        <v>0.19057756778301824</v>
      </c>
      <c r="AJ37" s="81"/>
      <c r="AK37" s="80">
        <f>SUM(AK39:AK49)</f>
        <v>8.4493655177564395E-2</v>
      </c>
      <c r="AL37" s="81"/>
      <c r="AM37" s="80">
        <f>SUM(AM39:AM49)</f>
        <v>2.1495718899053586E-2</v>
      </c>
      <c r="AN37" s="81"/>
      <c r="AO37" s="80">
        <f>SUM(AO39:AO49)</f>
        <v>2.4320811292115148E-3</v>
      </c>
      <c r="AP37" s="81"/>
      <c r="AQ37" s="80">
        <f>SUM(AQ39:AQ49)</f>
        <v>1.1689306800244058E-5</v>
      </c>
      <c r="AR37" s="81"/>
      <c r="AS37" s="80">
        <f>SUM(AS39:AS49)</f>
        <v>0</v>
      </c>
      <c r="BH37">
        <f t="shared" si="15"/>
        <v>3</v>
      </c>
      <c r="BI37">
        <v>10</v>
      </c>
      <c r="BJ37" s="107">
        <f t="shared" si="16"/>
        <v>4.2460795265415238E-6</v>
      </c>
      <c r="BP37">
        <f t="shared" si="17"/>
        <v>8</v>
      </c>
      <c r="BQ37">
        <v>6</v>
      </c>
      <c r="BR37" s="107">
        <f t="shared" si="18"/>
        <v>4.9082421396631872E-5</v>
      </c>
    </row>
    <row r="38" spans="1:70" ht="15.75" thickBot="1" x14ac:dyDescent="0.3">
      <c r="A38" s="110" t="s">
        <v>105</v>
      </c>
      <c r="B38" s="107">
        <f>SUM(BJ4:BJ59)</f>
        <v>0.39069957682708267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1.8259600391336256E-2</v>
      </c>
      <c r="BP38">
        <f>BL11+1</f>
        <v>8</v>
      </c>
      <c r="BQ38">
        <v>7</v>
      </c>
      <c r="BR38" s="107">
        <f t="shared" si="18"/>
        <v>1.2743501772058624E-5</v>
      </c>
    </row>
    <row r="39" spans="1:70" x14ac:dyDescent="0.25">
      <c r="A39" s="111" t="s">
        <v>0</v>
      </c>
      <c r="B39" s="107">
        <f>SUM(BR4:BR47)</f>
        <v>0.41656661504856363</v>
      </c>
      <c r="G39" s="130">
        <v>0</v>
      </c>
      <c r="H39" s="131">
        <f>L39*J39</f>
        <v>3.4663443927535627E-2</v>
      </c>
      <c r="I39" s="97">
        <v>0</v>
      </c>
      <c r="J39" s="98">
        <f t="shared" ref="J39:J49" si="33">Y39+AA39+AC39+AE39+AG39+AI39+AK39+AM39+AO39+AQ39+AS39</f>
        <v>6.3369807015770954E-2</v>
      </c>
      <c r="K39" s="102">
        <v>0</v>
      </c>
      <c r="L39" s="98">
        <f>AC21</f>
        <v>0.54700251681228684</v>
      </c>
      <c r="M39" s="84">
        <v>0</v>
      </c>
      <c r="N39" s="71">
        <f>(1-$C$24)^$B$21</f>
        <v>7.9547606128641035E-2</v>
      </c>
      <c r="O39" s="70">
        <v>0</v>
      </c>
      <c r="P39" s="71">
        <f>N39</f>
        <v>7.9547606128641035E-2</v>
      </c>
      <c r="Q39" s="12">
        <v>0</v>
      </c>
      <c r="R39" s="73">
        <f>P39*N39</f>
        <v>6.327821640797409E-3</v>
      </c>
      <c r="S39" s="70">
        <v>0</v>
      </c>
      <c r="T39" s="135">
        <f>(1-$C$33)^(INT(B23*2*(1-B31)))</f>
        <v>0.995</v>
      </c>
      <c r="U39" s="140">
        <v>0</v>
      </c>
      <c r="V39" s="86">
        <f>R39*T39</f>
        <v>6.2961825325934216E-3</v>
      </c>
      <c r="W39" s="136">
        <f>C31</f>
        <v>0.62141209394731356</v>
      </c>
      <c r="X39" s="12">
        <v>0</v>
      </c>
      <c r="Y39" s="79">
        <f>V39</f>
        <v>6.2961825325934216E-3</v>
      </c>
      <c r="Z39" s="12">
        <v>0</v>
      </c>
      <c r="AA39" s="78">
        <f>((1-W39)^Z40)*V40</f>
        <v>1.6849555344989674E-2</v>
      </c>
      <c r="AB39" s="12">
        <v>0</v>
      </c>
      <c r="AC39" s="79">
        <f>(((1-$W$39)^AB41))*V41</f>
        <v>1.9731747767638471E-2</v>
      </c>
      <c r="AD39" s="12">
        <v>0</v>
      </c>
      <c r="AE39" s="79">
        <f>(((1-$W$39)^AB42))*V42</f>
        <v>1.3207977149961617E-2</v>
      </c>
      <c r="AF39" s="12">
        <v>0</v>
      </c>
      <c r="AG39" s="79">
        <f>(((1-$W$39)^AB43))*V43</f>
        <v>5.528373592872401E-3</v>
      </c>
      <c r="AH39" s="12">
        <v>0</v>
      </c>
      <c r="AI39" s="79">
        <f>(((1-$W$39)^AB44))*V44</f>
        <v>1.4821954025321269E-3</v>
      </c>
      <c r="AJ39" s="12">
        <v>0</v>
      </c>
      <c r="AK39" s="79">
        <f>(((1-$W$39)^AB45))*V45</f>
        <v>2.4878518577241314E-4</v>
      </c>
      <c r="AL39" s="12">
        <v>0</v>
      </c>
      <c r="AM39" s="79">
        <f>(((1-$W$39)^AB46))*V46</f>
        <v>2.3961782881809957E-5</v>
      </c>
      <c r="AN39" s="12">
        <v>0</v>
      </c>
      <c r="AO39" s="79">
        <f>(((1-$W$39)^AB47))*V47</f>
        <v>1.0263889052954884E-6</v>
      </c>
      <c r="AP39" s="12">
        <v>0</v>
      </c>
      <c r="AQ39" s="79">
        <f>(((1-$W$39)^AB48))*V48</f>
        <v>1.8676237351591049E-9</v>
      </c>
      <c r="AR39" s="12">
        <v>0</v>
      </c>
      <c r="AS39" s="79">
        <f>(((1-$W$39)^AB49))*V49</f>
        <v>0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6.5648643282789129E-3</v>
      </c>
      <c r="BP39">
        <f t="shared" ref="BP39:BP46" si="34">BP31+1</f>
        <v>9</v>
      </c>
      <c r="BQ39">
        <v>0</v>
      </c>
      <c r="BR39" s="107">
        <f t="shared" ref="BR39:BR47" si="35">$H$34*H39</f>
        <v>5.5344411875952163E-6</v>
      </c>
    </row>
    <row r="40" spans="1:70" x14ac:dyDescent="0.25">
      <c r="G40" s="91">
        <v>1</v>
      </c>
      <c r="H40" s="132">
        <f>L39*J40+L40*J39</f>
        <v>0.13665395653119788</v>
      </c>
      <c r="I40" s="93">
        <v>1</v>
      </c>
      <c r="J40" s="86">
        <f t="shared" si="33"/>
        <v>0.2086706840321548</v>
      </c>
      <c r="K40" s="95">
        <v>1</v>
      </c>
      <c r="L40" s="86">
        <f>AD21</f>
        <v>0.35522543370008197</v>
      </c>
      <c r="M40" s="85">
        <v>1</v>
      </c>
      <c r="N40" s="71">
        <f>(($C$24)^M26)*((1-($C$24))^($B$21-M26))*HLOOKUP($B$21,$AV$24:$BF$34,M26+1)</f>
        <v>0.28095235157008858</v>
      </c>
      <c r="O40" s="72">
        <v>1</v>
      </c>
      <c r="P40" s="71">
        <f t="shared" ref="P40:P44" si="36">N40</f>
        <v>0.28095235157008858</v>
      </c>
      <c r="Q40" s="28">
        <v>1</v>
      </c>
      <c r="R40" s="37">
        <f>P40*N39+P39*N40</f>
        <v>4.4698174007225776E-2</v>
      </c>
      <c r="S40" s="72">
        <v>1</v>
      </c>
      <c r="T40" s="135">
        <f t="shared" ref="T40:T49" si="37">(($C$33)^S40)*((1-($C$33))^(INT($B$23*2*(1-$B$31))-S40))*HLOOKUP(INT($B$23*2*(1-$B$31)),$AV$24:$BF$34,S40+1)</f>
        <v>5.0000000000000001E-3</v>
      </c>
      <c r="U40" s="93">
        <v>1</v>
      </c>
      <c r="V40" s="86">
        <f>R40*T39+T40*R39</f>
        <v>4.4506322245393637E-2</v>
      </c>
      <c r="W40" s="137"/>
      <c r="X40" s="28">
        <v>1</v>
      </c>
      <c r="Y40" s="73"/>
      <c r="Z40" s="28">
        <v>1</v>
      </c>
      <c r="AA40" s="79">
        <f>(1-((1-W39)^Z40))*V40</f>
        <v>2.7656766900403962E-2</v>
      </c>
      <c r="AB40" s="28">
        <v>1</v>
      </c>
      <c r="AC40" s="79">
        <f>((($W$39)^M40)*((1-($W$39))^($U$27-M40))*HLOOKUP($U$27,$AV$24:$BF$34,M40+1))*V41</f>
        <v>6.4775163186655341E-2</v>
      </c>
      <c r="AD40" s="28">
        <v>1</v>
      </c>
      <c r="AE40" s="79">
        <f>((($W$39)^M40)*((1-($W$39))^($U$28-M40))*HLOOKUP($U$28,$AV$24:$BF$34,M40+1))*V42</f>
        <v>6.5038501809064952E-2</v>
      </c>
      <c r="AF40" s="28">
        <v>1</v>
      </c>
      <c r="AG40" s="79">
        <f>((($W$39)^M40)*((1-($W$39))^($U$29-M40))*HLOOKUP($U$29,$AV$24:$BF$34,M40+1))*V43</f>
        <v>3.6296967288667513E-2</v>
      </c>
      <c r="AH40" s="28">
        <v>1</v>
      </c>
      <c r="AI40" s="79">
        <f>((($W$39)^M40)*((1-($W$39))^($U$30-M40))*HLOOKUP($U$30,$AV$24:$BF$34,M40+1))*V44</f>
        <v>1.216433665736791E-2</v>
      </c>
      <c r="AJ40" s="28">
        <v>1</v>
      </c>
      <c r="AK40" s="79">
        <f>((($W$39)^M40)*((1-($W$39))^($U$31-M40))*HLOOKUP($U$31,$AV$24:$BF$34,M40+1))*V45</f>
        <v>2.4501277631260392E-3</v>
      </c>
      <c r="AL40" s="28">
        <v>1</v>
      </c>
      <c r="AM40" s="79">
        <f>((($W$39)^Q40)*((1-($W$39))^($U$32-Q40))*HLOOKUP($U$32,$AV$24:$BF$34,Q40+1))*V46</f>
        <v>2.7531516474952998E-4</v>
      </c>
      <c r="AN40" s="28">
        <v>1</v>
      </c>
      <c r="AO40" s="79">
        <f>((($W$39)^Q40)*((1-($W$39))^($U$33-Q40))*HLOOKUP($U$33,$AV$24:$BF$34,Q40+1))*V47</f>
        <v>1.3477672554182415E-5</v>
      </c>
      <c r="AP40" s="28">
        <v>1</v>
      </c>
      <c r="AQ40" s="79">
        <f>((($W$39)^Q40)*((1-($W$39))^($U$34-Q40))*HLOOKUP($U$34,$AV$24:$BF$34,Q40+1))*V48</f>
        <v>2.7589565373714567E-8</v>
      </c>
      <c r="AR40" s="28">
        <v>1</v>
      </c>
      <c r="AS40" s="79">
        <f>((($W$39)^Q40)*((1-($W$39))^($U$35-Q40))*HLOOKUP($U$35,$AV$24:$BF$34,Q40+1))*V49</f>
        <v>0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1.7044668502537983E-3</v>
      </c>
      <c r="BP40">
        <f t="shared" si="34"/>
        <v>9</v>
      </c>
      <c r="BQ40">
        <v>1</v>
      </c>
      <c r="BR40" s="107">
        <f t="shared" si="35"/>
        <v>2.1818469251213743E-5</v>
      </c>
    </row>
    <row r="41" spans="1:70" x14ac:dyDescent="0.25">
      <c r="G41" s="91">
        <v>2</v>
      </c>
      <c r="H41" s="132">
        <f>L39*J41+J40*L40+J39*L41</f>
        <v>0.24412524111366488</v>
      </c>
      <c r="I41" s="93">
        <v>2</v>
      </c>
      <c r="J41" s="86">
        <f t="shared" si="33"/>
        <v>0.30070142227638919</v>
      </c>
      <c r="K41" s="95">
        <v>2</v>
      </c>
      <c r="L41" s="86">
        <f>AE21</f>
        <v>8.7039433183977916E-2</v>
      </c>
      <c r="M41" s="85">
        <v>2</v>
      </c>
      <c r="N41" s="71">
        <f>(($C$24)^M27)*((1-($C$24))^($B$21-M27))*HLOOKUP($B$21,$AV$24:$BF$34,M27+1)</f>
        <v>0.37210841891228735</v>
      </c>
      <c r="O41" s="72">
        <v>2</v>
      </c>
      <c r="P41" s="71">
        <f t="shared" si="36"/>
        <v>0.37210841891228735</v>
      </c>
      <c r="Q41" s="28">
        <v>2</v>
      </c>
      <c r="R41" s="37">
        <f>P41*N39+P40*N40+P39*N41</f>
        <v>0.13813489174233465</v>
      </c>
      <c r="S41" s="72">
        <v>2</v>
      </c>
      <c r="T41" s="135">
        <f t="shared" si="37"/>
        <v>0</v>
      </c>
      <c r="U41" s="93">
        <v>2</v>
      </c>
      <c r="V41" s="86">
        <f>R41*T39+T40*R40+R39*T41</f>
        <v>0.13766770815365909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5.316079719936527E-2</v>
      </c>
      <c r="AD41" s="28">
        <v>2</v>
      </c>
      <c r="AE41" s="79">
        <f>((($W$39)^M41)*((1-($W$39))^($U$28-M41))*HLOOKUP($U$28,$AV$24:$BF$34,M41+1))*V42</f>
        <v>0.10675383695627803</v>
      </c>
      <c r="AF41" s="28">
        <v>2</v>
      </c>
      <c r="AG41" s="79">
        <f>((($W$39)^M41)*((1-($W$39))^($U$29-M41))*HLOOKUP($U$29,$AV$24:$BF$34,M41+1))*V43</f>
        <v>8.9366461868630398E-2</v>
      </c>
      <c r="AH41" s="28">
        <v>2</v>
      </c>
      <c r="AI41" s="79">
        <f>((($W$39)^M41)*((1-($W$39))^($U$30-M41))*HLOOKUP($U$30,$AV$24:$BF$34,M41+1))*V44</f>
        <v>3.9932949747650381E-2</v>
      </c>
      <c r="AJ41" s="28">
        <v>2</v>
      </c>
      <c r="AK41" s="79">
        <f>((($W$39)^M41)*((1-($W$39))^($U$31-M41))*HLOOKUP($U$31,$AV$24:$BF$34,M41+1))*V45</f>
        <v>1.0054065379406986E-2</v>
      </c>
      <c r="AL41" s="28">
        <v>2</v>
      </c>
      <c r="AM41" s="79">
        <f>((($W$39)^Q41)*((1-($W$39))^($U$32-Q41))*HLOOKUP($U$32,$AV$24:$BF$34,Q41+1))*V46</f>
        <v>1.3557023636036009E-3</v>
      </c>
      <c r="AN41" s="28">
        <v>2</v>
      </c>
      <c r="AO41" s="79">
        <f>((($W$39)^Q41)*((1-($W$39))^($U$33-Q41))*HLOOKUP($U$33,$AV$24:$BF$34,Q41+1))*V47</f>
        <v>7.7427620014697911E-5</v>
      </c>
      <c r="AP41" s="28">
        <v>2</v>
      </c>
      <c r="AQ41" s="79">
        <f>((($W$39)^Q41)*((1-($W$39))^($U$34-Q41))*HLOOKUP($U$34,$AV$24:$BF$34,Q41+1))*V48</f>
        <v>1.8114143971192084E-7</v>
      </c>
      <c r="AR41" s="28">
        <v>2</v>
      </c>
      <c r="AS41" s="79">
        <f>((($W$39)^Q41)*((1-($W$39))^($U$35-Q41))*HLOOKUP($U$35,$AV$24:$BF$34,Q41+1))*V49</f>
        <v>0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3.1514732490235691E-4</v>
      </c>
      <c r="BP41">
        <f t="shared" si="34"/>
        <v>9</v>
      </c>
      <c r="BQ41">
        <v>2</v>
      </c>
      <c r="BR41" s="107">
        <f t="shared" si="35"/>
        <v>3.8977569342952913E-5</v>
      </c>
    </row>
    <row r="42" spans="1:70" ht="15" customHeight="1" x14ac:dyDescent="0.25">
      <c r="G42" s="91">
        <v>3</v>
      </c>
      <c r="H42" s="132">
        <f>J42*L39+J41*L40+L42*J39+L41*J40</f>
        <v>0.26115842477516993</v>
      </c>
      <c r="I42" s="93">
        <v>3</v>
      </c>
      <c r="J42" s="86">
        <f t="shared" si="33"/>
        <v>0.24771171170881159</v>
      </c>
      <c r="K42" s="95">
        <v>3</v>
      </c>
      <c r="L42" s="86">
        <f>AF21</f>
        <v>1.073261630365327E-2</v>
      </c>
      <c r="M42" s="85">
        <v>3</v>
      </c>
      <c r="N42" s="71">
        <f>(($C$24)^M28)*((1-($C$24))^($B$21-M28))*HLOOKUP($B$21,$AV$24:$BF$34,M28+1)</f>
        <v>0.21904018742221149</v>
      </c>
      <c r="O42" s="72">
        <v>3</v>
      </c>
      <c r="P42" s="71">
        <f t="shared" si="36"/>
        <v>0.21904018742221149</v>
      </c>
      <c r="Q42" s="28">
        <v>3</v>
      </c>
      <c r="R42" s="37">
        <f>P42*N39+P41*N40+P40*N41+P39*N42</f>
        <v>0.2439377157756811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0.24340870165551437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5.8408385740209776E-2</v>
      </c>
      <c r="AF42" s="28">
        <v>3</v>
      </c>
      <c r="AG42" s="79">
        <f>((($W$39)^M42)*((1-($W$39))^($U$29-M42))*HLOOKUP($U$29,$AV$24:$BF$34,M42+1))*V43</f>
        <v>9.7790410647225878E-2</v>
      </c>
      <c r="AH42" s="28">
        <v>3</v>
      </c>
      <c r="AI42" s="79">
        <f>((($W$39)^M42)*((1-($W$39))^($U$30-M42))*HLOOKUP($U$30,$AV$24:$BF$34,M42+1))*V44</f>
        <v>6.5545722732957307E-2</v>
      </c>
      <c r="AJ42" s="28">
        <v>3</v>
      </c>
      <c r="AK42" s="79">
        <f>((($W$39)^M42)*((1-($W$39))^($U$31-M42))*HLOOKUP($U$31,$AV$24:$BF$34,M42+1))*V45</f>
        <v>2.2003583034798151E-2</v>
      </c>
      <c r="AL42" s="28">
        <v>3</v>
      </c>
      <c r="AM42" s="79">
        <f>((($W$39)^Q42)*((1-($W$39))^($U$32-Q42))*HLOOKUP($U$32,$AV$24:$BF$34,Q42+1))*V46</f>
        <v>3.7087372622823817E-3</v>
      </c>
      <c r="AN42" s="28">
        <v>3</v>
      </c>
      <c r="AO42" s="79">
        <f>((($W$39)^Q42)*((1-($W$39))^($U$33-Q42))*HLOOKUP($U$33,$AV$24:$BF$34,Q42+1))*V47</f>
        <v>2.5417853403903758E-4</v>
      </c>
      <c r="AP42" s="28">
        <v>3</v>
      </c>
      <c r="AQ42" s="79">
        <f>((($W$39)^Q42)*((1-($W$39))^($U$34-Q42))*HLOOKUP($U$34,$AV$24:$BF$34,Q42+1))*V48</f>
        <v>6.9375729904629314E-7</v>
      </c>
      <c r="AR42" s="28">
        <v>3</v>
      </c>
      <c r="AS42" s="79">
        <f>((($W$39)^Q42)*((1-($W$39))^($U$35-Q42))*HLOOKUP($U$35,$AV$24:$BF$34,Q42+1))*V49</f>
        <v>0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3.9820410422756424E-5</v>
      </c>
      <c r="BP42">
        <f t="shared" si="34"/>
        <v>9</v>
      </c>
      <c r="BQ42">
        <v>3</v>
      </c>
      <c r="BR42" s="107">
        <f t="shared" si="35"/>
        <v>4.1697124659186874E-5</v>
      </c>
    </row>
    <row r="43" spans="1:70" ht="15" customHeight="1" x14ac:dyDescent="0.25">
      <c r="G43" s="91">
        <v>4</v>
      </c>
      <c r="H43" s="132">
        <f>J43*L39+J42*L40+J41*L41+J40*L42</f>
        <v>0.18621414648221704</v>
      </c>
      <c r="I43" s="93">
        <v>4</v>
      </c>
      <c r="J43" s="86">
        <f t="shared" si="33"/>
        <v>0.1276194905401683</v>
      </c>
      <c r="K43" s="95">
        <v>4</v>
      </c>
      <c r="L43" s="86"/>
      <c r="M43" s="85">
        <v>4</v>
      </c>
      <c r="N43" s="71">
        <f>(($C$24)^M29)*((1-($C$24))^($B$21-M29))*HLOOKUP($B$21,$AV$24:$BF$34,M29+1)</f>
        <v>4.8351435966771578E-2</v>
      </c>
      <c r="O43" s="72">
        <v>4</v>
      </c>
      <c r="P43" s="71">
        <f t="shared" si="36"/>
        <v>4.8351435966771578E-2</v>
      </c>
      <c r="Q43" s="28">
        <v>4</v>
      </c>
      <c r="R43" s="37">
        <f>P43*N39+P42*N40+P41*N41+P40*N42+P39*N43</f>
        <v>0.2692368688827268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0.26911037311719155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4.0128159719795338E-2</v>
      </c>
      <c r="AH43" s="28">
        <v>4</v>
      </c>
      <c r="AI43" s="79">
        <f>((($W$39)^M43)*((1-($W$39))^($U$30-M43))*HLOOKUP($U$30,$AV$24:$BF$34,M43+1))*V44</f>
        <v>5.3793193286935957E-2</v>
      </c>
      <c r="AJ43" s="28">
        <v>4</v>
      </c>
      <c r="AK43" s="79">
        <f>((($W$39)^M43)*((1-($W$39))^($U$31-M43))*HLOOKUP($U$31,$AV$24:$BF$34,M43+1))*V45</f>
        <v>2.7087419571641014E-2</v>
      </c>
      <c r="AL43" s="28">
        <v>4</v>
      </c>
      <c r="AM43" s="79">
        <f>((($W$39)^Q43)*((1-($W$39))^($U$32-Q43))*HLOOKUP($U$32,$AV$24:$BF$34,Q43+1))*V46</f>
        <v>6.0875008187255544E-3</v>
      </c>
      <c r="AN43" s="28">
        <v>4</v>
      </c>
      <c r="AO43" s="79">
        <f>((($W$39)^Q43)*((1-($W$39))^($U$33-Q43))*HLOOKUP($U$33,$AV$24:$BF$34,Q43+1))*V47</f>
        <v>5.2150904898318282E-4</v>
      </c>
      <c r="AP43" s="28">
        <v>4</v>
      </c>
      <c r="AQ43" s="79">
        <f>((($W$39)^Q43)*((1-($W$39))^($U$34-Q43))*HLOOKUP($U$34,$AV$24:$BF$34,Q43+1))*V48</f>
        <v>1.7080940872617074E-6</v>
      </c>
      <c r="AR43" s="28">
        <v>4</v>
      </c>
      <c r="AS43" s="79">
        <f>((($W$39)^Q43)*((1-($W$39))^($U$35-Q43))*HLOOKUP($U$35,$AV$24:$BF$34,Q43+1))*V49</f>
        <v>0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3.1257274876038886E-6</v>
      </c>
      <c r="BP43">
        <f t="shared" si="34"/>
        <v>9</v>
      </c>
      <c r="BQ43">
        <v>4</v>
      </c>
      <c r="BR43" s="107">
        <f t="shared" si="35"/>
        <v>2.9731357454225698E-5</v>
      </c>
    </row>
    <row r="44" spans="1:70" ht="15" customHeight="1" thickBot="1" x14ac:dyDescent="0.3">
      <c r="G44" s="91">
        <v>5</v>
      </c>
      <c r="H44" s="132">
        <f>J44*L39+J43*L40+J42*L41+J41*L42</f>
        <v>9.3164949667489186E-2</v>
      </c>
      <c r="I44" s="93">
        <v>5</v>
      </c>
      <c r="J44" s="86">
        <f t="shared" si="33"/>
        <v>4.2126425594233338E-2</v>
      </c>
      <c r="K44" s="95">
        <v>5</v>
      </c>
      <c r="L44" s="86"/>
      <c r="M44" s="85">
        <v>5</v>
      </c>
      <c r="N44" s="71">
        <f>(($C$24)^M30)*((1-($C$24))^($B$21-M30))*HLOOKUP($B$21,$AV$24:$BF$34,M30+1)</f>
        <v>0</v>
      </c>
      <c r="O44" s="72">
        <v>5</v>
      </c>
      <c r="P44" s="71">
        <f t="shared" si="36"/>
        <v>0</v>
      </c>
      <c r="Q44" s="28">
        <v>5</v>
      </c>
      <c r="R44" s="37">
        <f>P44*N39+P43*N40+P42*N41+P41*N42+P40*N43+P39*N44</f>
        <v>0.19018229491317049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0.19057756778301826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1.765916995557457E-2</v>
      </c>
      <c r="AJ44" s="28">
        <v>5</v>
      </c>
      <c r="AK44" s="79">
        <f>((($W$39)^M44)*((1-($W$39))^($U$31-M44))*HLOOKUP($U$31,$AV$24:$BF$34,M44+1))*V45</f>
        <v>1.7784456234901901E-2</v>
      </c>
      <c r="AL44" s="28">
        <v>5</v>
      </c>
      <c r="AM44" s="79">
        <f>((($W$39)^Q44)*((1-($W$39))^($U$32-Q44))*HLOOKUP($U$32,$AV$24:$BF$34,Q44+1))*V46</f>
        <v>5.9951940939346159E-3</v>
      </c>
      <c r="AN44" s="28">
        <v>5</v>
      </c>
      <c r="AO44" s="79">
        <f>((($W$39)^Q44)*((1-($W$39))^($U$33-Q44))*HLOOKUP($U$33,$AV$24:$BF$34,Q44+1))*V47</f>
        <v>6.8480165363974852E-4</v>
      </c>
      <c r="AP44" s="28">
        <v>5</v>
      </c>
      <c r="AQ44" s="79">
        <f>((($W$39)^Q44)*((1-($W$39))^($U$34-Q44))*HLOOKUP($U$34,$AV$24:$BF$34,Q44+1))*V48</f>
        <v>2.8036561824999455E-6</v>
      </c>
      <c r="AR44" s="28">
        <v>5</v>
      </c>
      <c r="AS44" s="79">
        <f>((($W$39)^Q44)*((1-($W$39))^($U$35-Q44))*HLOOKUP($U$35,$AV$24:$BF$34,Q44+1))*V49</f>
        <v>0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3.3248804248912282E-3</v>
      </c>
      <c r="BP44">
        <f t="shared" si="34"/>
        <v>9</v>
      </c>
      <c r="BQ44">
        <v>5</v>
      </c>
      <c r="BR44" s="107">
        <f t="shared" si="35"/>
        <v>1.4874919403792914E-5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3.3495544349820321E-2</v>
      </c>
      <c r="I45" s="93">
        <v>6</v>
      </c>
      <c r="J45" s="86">
        <f t="shared" si="33"/>
        <v>8.7104602371939118E-3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8.396255648542568E-2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8.4493655177564408E-2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4.8652180079178931E-3</v>
      </c>
      <c r="AL45" s="28">
        <v>6</v>
      </c>
      <c r="AM45" s="79">
        <f>((($W$39)^Q45)*((1-($W$39))^($U$32-Q45))*HLOOKUP($U$32,$AV$24:$BF$34,Q45+1))*V46</f>
        <v>3.2801594697657154E-3</v>
      </c>
      <c r="AN45" s="28">
        <v>6</v>
      </c>
      <c r="AO45" s="79">
        <f>((($W$39)^Q45)*((1-($W$39))^($U$33-Q45))*HLOOKUP($U$33,$AV$24:$BF$34,Q45+1))*V47</f>
        <v>5.6201482234833711E-4</v>
      </c>
      <c r="AP45" s="28">
        <v>6</v>
      </c>
      <c r="AQ45" s="79">
        <f>((($W$39)^Q45)*((1-($W$39))^($U$34-Q45))*HLOOKUP($U$34,$AV$24:$BF$34,Q45+1))*V48</f>
        <v>3.0679371619672823E-6</v>
      </c>
      <c r="AR45" s="28">
        <v>6</v>
      </c>
      <c r="AS45" s="79">
        <f>((($W$39)^Q45)*((1-($W$39))^($U$35-Q45))*HLOOKUP($U$35,$AV$24:$BF$34,Q45+1))*V49</f>
        <v>0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8.632544683174891E-4</v>
      </c>
      <c r="BP45">
        <f t="shared" si="34"/>
        <v>9</v>
      </c>
      <c r="BQ45">
        <v>6</v>
      </c>
      <c r="BR45" s="107">
        <f t="shared" si="35"/>
        <v>5.3479717894766952E-6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8.6966069853940571E-3</v>
      </c>
      <c r="I46" s="93">
        <v>7</v>
      </c>
      <c r="J46" s="86">
        <f t="shared" si="33"/>
        <v>1.0348741036585879E-3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2.1181815192589406E-2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2.1495718899053589E-2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7.6914794311037839E-4</v>
      </c>
      <c r="AN46" s="28">
        <v>7</v>
      </c>
      <c r="AO46" s="79">
        <f>((($W$39)^Q46)*((1-($W$39))^($U$33-Q46))*HLOOKUP($U$33,$AV$24:$BF$34,Q46+1))*V47</f>
        <v>2.6356800551385581E-4</v>
      </c>
      <c r="AP46" s="28">
        <v>7</v>
      </c>
      <c r="AQ46" s="79">
        <f>((($W$39)^Q46)*((1-($W$39))^($U$34-Q46))*HLOOKUP($U$34,$AV$24:$BF$34,Q46+1))*V48</f>
        <v>2.1581550343534682E-6</v>
      </c>
      <c r="AR46" s="28">
        <v>7</v>
      </c>
      <c r="AS46" s="79">
        <f>((($W$39)^Q46)*((1-($W$39))^($U$35-Q46))*HLOOKUP($U$35,$AV$24:$BF$34,Q46+1))*V49</f>
        <v>0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1.5961139775745947E-4</v>
      </c>
      <c r="BP46">
        <f t="shared" si="34"/>
        <v>9</v>
      </c>
      <c r="BQ46">
        <v>7</v>
      </c>
      <c r="BR46" s="107">
        <f t="shared" si="35"/>
        <v>1.3885192709908258E-6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1.6079587741855996E-3</v>
      </c>
      <c r="I47" s="93">
        <v>8</v>
      </c>
      <c r="J47" s="86">
        <f t="shared" si="33"/>
        <v>5.4962979145798729E-5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2.3378613600488121E-3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2.4320811292115148E-3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5.4077383213176751E-5</v>
      </c>
      <c r="AP47" s="28">
        <v>8</v>
      </c>
      <c r="AQ47" s="79">
        <f>((($W$39)^Q47)*((1-($W$39))^($U$34-Q47))*HLOOKUP($U$34,$AV$24:$BF$34,Q47+1))*V48</f>
        <v>8.855959326219799E-7</v>
      </c>
      <c r="AR47" s="28">
        <v>8</v>
      </c>
      <c r="AS47" s="79">
        <f>((($W$39)^Q47)*((1-($W$39))^($U$35-Q47))*HLOOKUP($U$35,$AV$24:$BF$34,Q47+1))*V49</f>
        <v>0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2.0167683063218433E-5</v>
      </c>
      <c r="BP47">
        <f>BL12+1</f>
        <v>9</v>
      </c>
      <c r="BQ47">
        <v>8</v>
      </c>
      <c r="BR47" s="107">
        <f t="shared" si="35"/>
        <v>2.5673021083570607E-7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2.0317347878736201E-4</v>
      </c>
      <c r="I48" s="93">
        <v>9</v>
      </c>
      <c r="J48" s="86">
        <f t="shared" si="33"/>
        <v>1.6151247367258677E-7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0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1.168930680024406E-5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1.6151247367258677E-7</v>
      </c>
      <c r="AR48" s="28">
        <v>9</v>
      </c>
      <c r="AS48" s="79">
        <f>((($W$39)^Q48)*((1-($W$39))^($U$35-Q48))*HLOOKUP($U$35,$AV$24:$BF$34,Q48+1))*V49</f>
        <v>0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1.5830746253675008E-6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1.594822656661616E-5</v>
      </c>
      <c r="I49" s="94">
        <v>10</v>
      </c>
      <c r="J49" s="89">
        <f t="shared" si="33"/>
        <v>0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0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0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0</v>
      </c>
      <c r="BH49">
        <f>BP14+1</f>
        <v>6</v>
      </c>
      <c r="BI49">
        <v>0</v>
      </c>
      <c r="BJ49" s="107">
        <f>$H$31*H39</f>
        <v>1.2197668052493626E-3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3.0602361788572446E-4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5.6582223655019548E-5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7.1494415168308003E-6</v>
      </c>
    </row>
    <row r="53" spans="1:62" x14ac:dyDescent="0.25">
      <c r="BH53">
        <f>BH48+1</f>
        <v>6</v>
      </c>
      <c r="BI53">
        <v>10</v>
      </c>
      <c r="BJ53" s="107">
        <f>$H$31*H49</f>
        <v>5.6119978756933086E-7</v>
      </c>
    </row>
    <row r="54" spans="1:62" x14ac:dyDescent="0.25">
      <c r="BH54">
        <f>BH51+1</f>
        <v>7</v>
      </c>
      <c r="BI54">
        <v>8</v>
      </c>
      <c r="BJ54" s="107">
        <f>$H$32*H47</f>
        <v>1.3991096185939381E-5</v>
      </c>
    </row>
    <row r="55" spans="1:62" x14ac:dyDescent="0.25">
      <c r="BH55">
        <f>BH52+1</f>
        <v>7</v>
      </c>
      <c r="BI55">
        <v>9</v>
      </c>
      <c r="BJ55" s="107">
        <f>$H$32*H48</f>
        <v>1.767843634912611E-6</v>
      </c>
    </row>
    <row r="56" spans="1:62" x14ac:dyDescent="0.25">
      <c r="BH56">
        <f>BH53+1</f>
        <v>7</v>
      </c>
      <c r="BI56">
        <v>10</v>
      </c>
      <c r="BJ56" s="107">
        <f>$H$32*H49</f>
        <v>1.3876796810396658E-7</v>
      </c>
    </row>
    <row r="57" spans="1:62" x14ac:dyDescent="0.25">
      <c r="BH57">
        <f>BH55+1</f>
        <v>8</v>
      </c>
      <c r="BI57">
        <v>9</v>
      </c>
      <c r="BJ57" s="107">
        <f>$H$33*H48</f>
        <v>2.9771859201071451E-7</v>
      </c>
    </row>
    <row r="58" spans="1:62" x14ac:dyDescent="0.25">
      <c r="BH58">
        <f>BH56+1</f>
        <v>8</v>
      </c>
      <c r="BI58">
        <v>10</v>
      </c>
      <c r="BJ58" s="107">
        <f>$H$33*H49</f>
        <v>2.3369603093965331E-8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2.5463286961301027E-9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Y5" sqref="Y5:Y19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8" t="s">
        <v>135</v>
      </c>
      <c r="Q1" s="198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9" t="s">
        <v>23</v>
      </c>
      <c r="C3" s="19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0</v>
      </c>
      <c r="Z10" s="146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</v>
      </c>
      <c r="Z17" s="146" t="str">
        <f>Z3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AH13" sqref="AH13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8" t="s">
        <v>135</v>
      </c>
      <c r="Q1" s="198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3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9" t="s">
        <v>23</v>
      </c>
      <c r="C3" s="19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2.7875104828975823E-2</v>
      </c>
      <c r="BL4">
        <v>0</v>
      </c>
      <c r="BM4">
        <v>0</v>
      </c>
      <c r="BN4" s="107">
        <f>H25*H39</f>
        <v>8.7694361109492951E-3</v>
      </c>
      <c r="BP4">
        <v>1</v>
      </c>
      <c r="BQ4">
        <v>0</v>
      </c>
      <c r="BR4" s="107">
        <f>$H$26*H39</f>
        <v>1.8212022839668579E-2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147</v>
      </c>
      <c r="G5" s="167">
        <v>12</v>
      </c>
      <c r="H5" s="10"/>
      <c r="I5" s="10"/>
      <c r="J5" s="166" t="s">
        <v>147</v>
      </c>
      <c r="K5" s="166">
        <v>12</v>
      </c>
      <c r="L5" s="10"/>
      <c r="M5" s="10"/>
      <c r="O5" s="67">
        <f>COUNTIF(F5:F10,"IMP")/(COUNTIF(J5:J10,"IMP")+COUNTIF(F5:F10,"IMP"))*AI5</f>
        <v>8.5000000000000006E-3</v>
      </c>
      <c r="P5" s="16" t="str">
        <f>P3</f>
        <v>0,6</v>
      </c>
      <c r="Q5" s="16">
        <f>P5*O5</f>
        <v>5.1000000000000004E-3</v>
      </c>
      <c r="R5" s="157">
        <f>IF($M$2="SI",Q5*$B$22/0.5*$S$1,Q5*$B$22/0.5*$S$2)</f>
        <v>5.1889213093234384E-3</v>
      </c>
      <c r="S5" s="176">
        <f>(1-R5)</f>
        <v>0.99481107869067653</v>
      </c>
      <c r="T5" s="177">
        <f>R5*PRODUCT(S6:S19)</f>
        <v>4.3557113599224902E-3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7.7788081849321851E-4</v>
      </c>
      <c r="V5" s="18"/>
      <c r="W5" s="186" t="s">
        <v>36</v>
      </c>
      <c r="X5" s="15" t="s">
        <v>37</v>
      </c>
      <c r="Y5" s="69">
        <f>COUNTIF(J5:J10,"IMP")/(COUNTIF(J5:J10,"IMP")+COUNTIF(F5:F10,"IMP"))*AI5</f>
        <v>8.5000000000000006E-3</v>
      </c>
      <c r="Z5" s="146" t="str">
        <f>Z3</f>
        <v>0,6</v>
      </c>
      <c r="AA5" s="19">
        <f>Z5*Y5</f>
        <v>5.1000000000000004E-3</v>
      </c>
      <c r="AB5" s="157">
        <f>IF($M$2="SI",AA5*$C$22/0.5*$S$1,AA5*$C$22/0.5*$S$2)</f>
        <v>5.7654681214704892E-3</v>
      </c>
      <c r="AC5" s="176">
        <f>(1-AB5)</f>
        <v>0.9942345318785295</v>
      </c>
      <c r="AD5" s="177">
        <f>AB5*PRODUCT(AC6:AC19)</f>
        <v>4.3341402357483516E-3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1.2758487309103717E-3</v>
      </c>
      <c r="AF5" s="18"/>
      <c r="AI5" s="194">
        <v>1.7000000000000001E-2</v>
      </c>
      <c r="BH5">
        <v>0</v>
      </c>
      <c r="BI5">
        <v>2</v>
      </c>
      <c r="BJ5" s="107">
        <f t="shared" si="0"/>
        <v>4.0595710445274158E-2</v>
      </c>
      <c r="BL5">
        <v>1</v>
      </c>
      <c r="BM5">
        <v>1</v>
      </c>
      <c r="BN5" s="107">
        <f>$H$26*H40</f>
        <v>5.7889930365033357E-2</v>
      </c>
      <c r="BP5">
        <f>BP4+1</f>
        <v>2</v>
      </c>
      <c r="BQ5">
        <v>0</v>
      </c>
      <c r="BR5" s="107">
        <f>$H$27*H39</f>
        <v>1.73168669618609E-2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144</v>
      </c>
      <c r="K6" s="166"/>
      <c r="L6" s="10"/>
      <c r="M6" s="10"/>
      <c r="O6" s="67">
        <f>COUNTIF(F11:F18,"IMP")/(COUNTIF(J11:J18,"IMP")+COUNTIF(F11:F18,"IMP"))*AI6</f>
        <v>5.6666666666666671E-3</v>
      </c>
      <c r="P6" s="16" t="str">
        <f>P3</f>
        <v>0,6</v>
      </c>
      <c r="Q6" s="16">
        <f t="shared" ref="Q6:Q19" si="1">P6*O6</f>
        <v>3.4000000000000002E-3</v>
      </c>
      <c r="R6" s="157">
        <f>IF($M$2="SI",Q6*$B$22/0.5*$S$1,Q6*$B$22/0.5*$S$2)</f>
        <v>3.4592808728822924E-3</v>
      </c>
      <c r="S6" s="176">
        <f t="shared" ref="S6:S19" si="2">(1-R6)</f>
        <v>0.99654071912711772</v>
      </c>
      <c r="T6" s="177">
        <f>R6*S5*PRODUCT(S7:S19)</f>
        <v>2.8987675955848215E-3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5.0762466910210719E-4</v>
      </c>
      <c r="V6" s="18"/>
      <c r="W6" s="186" t="s">
        <v>38</v>
      </c>
      <c r="X6" s="15" t="s">
        <v>39</v>
      </c>
      <c r="Y6" s="69">
        <f>COUNTIF(J11:J18,"IMP")/(COUNTIF(J11:J18,"IMP")+COUNTIF(F11:F18,"IMP"))*AI6</f>
        <v>1.1333333333333334E-2</v>
      </c>
      <c r="Z6" s="146" t="str">
        <f>Z3</f>
        <v>0,6</v>
      </c>
      <c r="AA6" s="19">
        <f t="shared" ref="AA6:AA19" si="3">Z6*Y6</f>
        <v>6.8000000000000005E-3</v>
      </c>
      <c r="AB6" s="157">
        <f t="shared" ref="AB6:AB19" si="4">IF($M$2="SI",AA6*$C$22/0.5*$S$1,AA6*$C$22/0.5*$S$2)</f>
        <v>7.6872908286273181E-3</v>
      </c>
      <c r="AC6" s="176">
        <f t="shared" ref="AC6:AC19" si="5">(1-AB6)</f>
        <v>0.99231270917137271</v>
      </c>
      <c r="AD6" s="177">
        <f>AB6*AC5*PRODUCT(AC7:AC19)</f>
        <v>5.7900456157394236E-3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1.6595716664577894E-3</v>
      </c>
      <c r="AF6" s="18"/>
      <c r="AI6" s="194">
        <v>1.7000000000000001E-2</v>
      </c>
      <c r="BH6">
        <v>0</v>
      </c>
      <c r="BI6">
        <v>3</v>
      </c>
      <c r="BJ6" s="107">
        <f t="shared" si="0"/>
        <v>3.5857782353040449E-2</v>
      </c>
      <c r="BL6">
        <f>BH14+1</f>
        <v>2</v>
      </c>
      <c r="BM6">
        <v>2</v>
      </c>
      <c r="BN6" s="107">
        <f>$H$27*H41</f>
        <v>8.0163708145989401E-2</v>
      </c>
      <c r="BP6">
        <f>BL5+1</f>
        <v>2</v>
      </c>
      <c r="BQ6">
        <v>1</v>
      </c>
      <c r="BR6" s="107">
        <f>$H$27*H40</f>
        <v>5.5044529176579766E-2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2.1432561757742281E-2</v>
      </c>
      <c r="BL7">
        <f>BH23+1</f>
        <v>3</v>
      </c>
      <c r="BM7">
        <v>3</v>
      </c>
      <c r="BN7" s="107">
        <f>$H$28*H42</f>
        <v>4.0800099536000126E-2</v>
      </c>
      <c r="BP7">
        <f>BP5+1</f>
        <v>3</v>
      </c>
      <c r="BQ7">
        <v>0</v>
      </c>
      <c r="BR7" s="107">
        <f>$H$28*H39</f>
        <v>9.9781370381090244E-3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144</v>
      </c>
      <c r="K8" s="166"/>
      <c r="L8" s="10"/>
      <c r="M8" s="10"/>
      <c r="O8" s="67">
        <f>COUNTIF(F6:F18,"IMP")/(COUNTIF(F6:F18,"IMP")+COUNTIF(J6:J18,"IMP"))*AI8</f>
        <v>5.6666666666666671E-3</v>
      </c>
      <c r="P8" s="16" t="str">
        <f>P3</f>
        <v>0,6</v>
      </c>
      <c r="Q8" s="16">
        <f t="shared" si="1"/>
        <v>3.4000000000000002E-3</v>
      </c>
      <c r="R8" s="157">
        <f t="shared" si="6"/>
        <v>3.4592808728822924E-3</v>
      </c>
      <c r="S8" s="176">
        <f t="shared" si="2"/>
        <v>0.99654071912711772</v>
      </c>
      <c r="T8" s="177">
        <f>R8*PRODUCT(S5:S7)*PRODUCT(S9:S19)</f>
        <v>2.8987675955848219E-3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4.9756220892775444E-4</v>
      </c>
      <c r="W8" s="186" t="s">
        <v>42</v>
      </c>
      <c r="X8" s="15" t="s">
        <v>43</v>
      </c>
      <c r="Y8" s="69">
        <f>COUNTIF(J6:J18,"IMP")/(COUNTIF(F6:F18,"IMP")+COUNTIF(J6:J18,"IMP"))*AI8</f>
        <v>1.1333333333333334E-2</v>
      </c>
      <c r="Z8" s="146" t="str">
        <f>Z3</f>
        <v>0,6</v>
      </c>
      <c r="AA8" s="19">
        <f t="shared" si="3"/>
        <v>6.8000000000000005E-3</v>
      </c>
      <c r="AB8" s="157">
        <f t="shared" si="4"/>
        <v>7.6872908286273181E-3</v>
      </c>
      <c r="AC8" s="176">
        <f t="shared" si="5"/>
        <v>0.99231270917137271</v>
      </c>
      <c r="AD8" s="177">
        <f>AB8*PRODUCT(AC5:AC7)*PRODUCT(AC9:AC19)</f>
        <v>5.7900456157394236E-3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1.6147170917377143E-3</v>
      </c>
      <c r="AI8" s="194">
        <v>1.7000000000000001E-2</v>
      </c>
      <c r="BH8">
        <v>0</v>
      </c>
      <c r="BI8">
        <v>5</v>
      </c>
      <c r="BJ8" s="107">
        <f t="shared" si="0"/>
        <v>9.1573791367313365E-3</v>
      </c>
      <c r="BL8">
        <f>BH31+1</f>
        <v>4</v>
      </c>
      <c r="BM8">
        <v>4</v>
      </c>
      <c r="BN8" s="107">
        <f>$H$29*H43</f>
        <v>9.498333455123702E-3</v>
      </c>
      <c r="BP8">
        <f>BP6+1</f>
        <v>3</v>
      </c>
      <c r="BQ8">
        <v>1</v>
      </c>
      <c r="BR8" s="107">
        <f>$H$28*H40</f>
        <v>3.1717160877413185E-2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COUNTIF(J6:J13,"IMP")/(COUNTIF(J6:J13,"IMP")+COUNTIF(F6:F13,"IMP"))*AI9</f>
        <v>1.2500000000000001E-2</v>
      </c>
      <c r="P9" s="144">
        <v>0.5</v>
      </c>
      <c r="Q9" s="16">
        <f t="shared" si="1"/>
        <v>6.2500000000000003E-3</v>
      </c>
      <c r="R9" s="157">
        <f t="shared" si="6"/>
        <v>6.358972192798332E-3</v>
      </c>
      <c r="S9" s="176">
        <f t="shared" si="2"/>
        <v>0.99364102780720165</v>
      </c>
      <c r="T9" s="177">
        <f>R9*PRODUCT(S5:S8)*PRODUCT(S10:S19)</f>
        <v>5.3441671312964411E-3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8.8310465699495877E-4</v>
      </c>
      <c r="W9" s="187" t="s">
        <v>44</v>
      </c>
      <c r="X9" s="15" t="s">
        <v>45</v>
      </c>
      <c r="Y9" s="69">
        <f>COUNTIF(F6:F13,"IMP")/(COUNTIF(J6:J13,"IMP")+COUNTIF(F6:F13,"IMP"))*AI9</f>
        <v>1.2500000000000001E-2</v>
      </c>
      <c r="Z9" s="146">
        <v>0.5</v>
      </c>
      <c r="AA9" s="19">
        <f t="shared" si="3"/>
        <v>6.2500000000000003E-3</v>
      </c>
      <c r="AB9" s="157">
        <f t="shared" si="4"/>
        <v>7.0655246586648138E-3</v>
      </c>
      <c r="AC9" s="176">
        <f t="shared" si="5"/>
        <v>0.99293447534133517</v>
      </c>
      <c r="AD9" s="177">
        <f>AB9*PRODUCT(AC5:AC8)*PRODUCT(AC10:AC19)</f>
        <v>5.3184006838049589E-3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1.4453409515524825E-3</v>
      </c>
      <c r="AI9" s="194">
        <v>2.5000000000000001E-2</v>
      </c>
      <c r="BH9">
        <v>0</v>
      </c>
      <c r="BI9">
        <v>6</v>
      </c>
      <c r="BJ9" s="107">
        <f t="shared" si="0"/>
        <v>2.8801751262564207E-3</v>
      </c>
      <c r="BL9">
        <f>BH38+1</f>
        <v>5</v>
      </c>
      <c r="BM9">
        <v>5</v>
      </c>
      <c r="BN9" s="107">
        <f>$H$30*H44</f>
        <v>1.1283449718393884E-3</v>
      </c>
      <c r="BP9">
        <f>BL6+1</f>
        <v>3</v>
      </c>
      <c r="BQ9">
        <v>2</v>
      </c>
      <c r="BR9" s="107">
        <f>$H$28*H41</f>
        <v>4.6191061415748268E-2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16</v>
      </c>
      <c r="K10" s="166"/>
      <c r="L10" s="10"/>
      <c r="M10" s="10"/>
      <c r="O10" s="67">
        <f>COUNTIF(F11:F18,"RAP")/(COUNTIF(F11:F18,"RAP")+COUNTIF(J11:J18,"RAP"))*AI10</f>
        <v>5.6666666666666671E-2</v>
      </c>
      <c r="P10" s="16" t="str">
        <f>R3</f>
        <v>0,72</v>
      </c>
      <c r="Q10" s="16">
        <f t="shared" si="1"/>
        <v>4.0800000000000003E-2</v>
      </c>
      <c r="R10" s="157">
        <f t="shared" si="6"/>
        <v>4.1511370474587507E-2</v>
      </c>
      <c r="S10" s="176">
        <f t="shared" si="2"/>
        <v>0.95848862952541247</v>
      </c>
      <c r="T10" s="177">
        <f>R10*PRODUCT(S5:S9)*PRODUCT(S11:S19)</f>
        <v>3.6166187332448405E-2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4.4100056954886075E-3</v>
      </c>
      <c r="W10" s="186" t="s">
        <v>46</v>
      </c>
      <c r="X10" s="15" t="s">
        <v>47</v>
      </c>
      <c r="Y10" s="69">
        <f>COUNTIF(J11:J18,"RAP")/(COUNTIF(F11:F18,"RAP")+COUNTIF(J11:J18,"RAP"))*AI10</f>
        <v>2.8333333333333335E-2</v>
      </c>
      <c r="Z10" s="146" t="str">
        <f>AB3</f>
        <v>0,72</v>
      </c>
      <c r="AA10" s="19">
        <f t="shared" si="3"/>
        <v>2.0400000000000001E-2</v>
      </c>
      <c r="AB10" s="157">
        <f t="shared" si="4"/>
        <v>2.3061872485881957E-2</v>
      </c>
      <c r="AC10" s="176">
        <f t="shared" si="5"/>
        <v>0.97693812751411802</v>
      </c>
      <c r="AD10" s="177">
        <f>AB10*PRODUCT(AC5:AC9)*PRODUCT(AC11:AC19)</f>
        <v>1.7643499693681019E-2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4.3783412035393139E-3</v>
      </c>
      <c r="AI10" s="194">
        <v>8.5000000000000006E-2</v>
      </c>
      <c r="BH10">
        <v>0</v>
      </c>
      <c r="BI10">
        <v>7</v>
      </c>
      <c r="BJ10" s="107">
        <f t="shared" si="0"/>
        <v>6.764301732067301E-4</v>
      </c>
      <c r="BL10">
        <f>BH44+1</f>
        <v>6</v>
      </c>
      <c r="BM10">
        <v>6</v>
      </c>
      <c r="BN10" s="107">
        <f>$H$31*H45</f>
        <v>7.2504427151036204E-5</v>
      </c>
      <c r="BP10">
        <f>BP7+1</f>
        <v>4</v>
      </c>
      <c r="BQ10">
        <v>0</v>
      </c>
      <c r="BR10" s="107">
        <f>$H$29*H39</f>
        <v>3.8863776218962783E-3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147</v>
      </c>
      <c r="G11" s="167"/>
      <c r="H11" s="10"/>
      <c r="I11" s="10"/>
      <c r="J11" s="166" t="s">
        <v>147</v>
      </c>
      <c r="K11" s="166"/>
      <c r="L11" s="10"/>
      <c r="M11" s="10"/>
      <c r="O11" s="67">
        <f>COUNTIF(F11:F18,"RAP")/(COUNTIF(F11:F18,"RAP")+COUNTIF(J11:J18,"RAP"))*AI11</f>
        <v>5.6666666666666671E-2</v>
      </c>
      <c r="P11" s="16" t="str">
        <f>R3</f>
        <v>0,72</v>
      </c>
      <c r="Q11" s="16">
        <f t="shared" si="1"/>
        <v>4.0800000000000003E-2</v>
      </c>
      <c r="R11" s="157">
        <f t="shared" si="6"/>
        <v>4.1511370474587507E-2</v>
      </c>
      <c r="S11" s="176">
        <f t="shared" si="2"/>
        <v>0.95848862952541247</v>
      </c>
      <c r="T11" s="177">
        <f>R11*PRODUCT(S5:S10)*PRODUCT(S12:S19)</f>
        <v>3.6166187332448405E-2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2.8436772542696862E-3</v>
      </c>
      <c r="W11" s="186" t="s">
        <v>48</v>
      </c>
      <c r="X11" s="15" t="s">
        <v>49</v>
      </c>
      <c r="Y11" s="69">
        <f>COUNTIF(J11:J18,"RAP")/(COUNTIF(F11:F18,"RAP")+COUNTIF(J11:J18,"RAP"))*AI11</f>
        <v>2.8333333333333335E-2</v>
      </c>
      <c r="Z11" s="146" t="str">
        <f>AB3</f>
        <v>0,72</v>
      </c>
      <c r="AA11" s="19">
        <f t="shared" si="3"/>
        <v>2.0400000000000001E-2</v>
      </c>
      <c r="AB11" s="157">
        <f t="shared" si="4"/>
        <v>2.3061872485881957E-2</v>
      </c>
      <c r="AC11" s="176">
        <f t="shared" si="5"/>
        <v>0.97693812751411802</v>
      </c>
      <c r="AD11" s="177">
        <f>AB11*PRODUCT(AC5:AC10)*PRODUCT(AC12:AC19)</f>
        <v>1.7643499693681019E-2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3.961843854648108E-3</v>
      </c>
      <c r="AI11" s="194">
        <v>8.5000000000000006E-2</v>
      </c>
      <c r="BH11">
        <v>0</v>
      </c>
      <c r="BI11">
        <v>8</v>
      </c>
      <c r="BJ11" s="107">
        <f t="shared" si="0"/>
        <v>1.1901206582912899E-4</v>
      </c>
      <c r="BL11">
        <f>BH50+1</f>
        <v>7</v>
      </c>
      <c r="BM11">
        <v>7</v>
      </c>
      <c r="BN11" s="107">
        <f>$H$32*H46</f>
        <v>2.5919366992506315E-6</v>
      </c>
      <c r="BP11">
        <f>BP8+1</f>
        <v>4</v>
      </c>
      <c r="BQ11">
        <v>1</v>
      </c>
      <c r="BR11" s="107">
        <f>$H$29*H40</f>
        <v>1.2353494825064346E-2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1.5572741090141039E-5</v>
      </c>
      <c r="BL12">
        <f>BH54+1</f>
        <v>8</v>
      </c>
      <c r="BM12">
        <v>8</v>
      </c>
      <c r="BN12" s="107">
        <f>$H$33*H47</f>
        <v>5.1857756378439711E-8</v>
      </c>
      <c r="BP12">
        <f>BP9+1</f>
        <v>4</v>
      </c>
      <c r="BQ12">
        <v>2</v>
      </c>
      <c r="BR12" s="107">
        <f>$H$29*H41</f>
        <v>1.799092423086435E-2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16</v>
      </c>
      <c r="K13" s="166"/>
      <c r="L13" s="10"/>
      <c r="M13" s="10"/>
      <c r="O13" s="67">
        <f>AI13</f>
        <v>0.125</v>
      </c>
      <c r="P13" s="16" t="str">
        <f>P2</f>
        <v>0,4</v>
      </c>
      <c r="Q13" s="16">
        <f t="shared" si="1"/>
        <v>0.05</v>
      </c>
      <c r="R13" s="157">
        <f t="shared" si="6"/>
        <v>5.0871777542386656E-2</v>
      </c>
      <c r="S13" s="176">
        <f t="shared" si="2"/>
        <v>0.9491282224576133</v>
      </c>
      <c r="T13" s="177">
        <f>R13*PRODUCT(S5:S12)*PRODUCT(S14:S19)</f>
        <v>4.4758409626593998E-2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1.1202868025658767E-3</v>
      </c>
      <c r="W13" s="186" t="s">
        <v>52</v>
      </c>
      <c r="X13" s="15" t="s">
        <v>53</v>
      </c>
      <c r="Y13" s="69">
        <f>AI13</f>
        <v>0.125</v>
      </c>
      <c r="Z13" s="19" t="str">
        <f>Z2</f>
        <v>0,4</v>
      </c>
      <c r="AA13" s="19">
        <f t="shared" si="3"/>
        <v>0.05</v>
      </c>
      <c r="AB13" s="157">
        <f t="shared" si="4"/>
        <v>5.652419726931851E-2</v>
      </c>
      <c r="AC13" s="176">
        <f t="shared" si="5"/>
        <v>0.94347580273068155</v>
      </c>
      <c r="AD13" s="177">
        <f>AB13*PRODUCT(AC5:AC12)*PRODUCT(AC14:AC19)</f>
        <v>4.4777605338427985E-2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7.3721481180665438E-3</v>
      </c>
      <c r="AI13" s="194">
        <v>0.125</v>
      </c>
      <c r="BH13">
        <v>0</v>
      </c>
      <c r="BI13">
        <v>10</v>
      </c>
      <c r="BJ13" s="107">
        <f t="shared" si="0"/>
        <v>1.4841842985286412E-6</v>
      </c>
      <c r="BL13">
        <f>BH57+1</f>
        <v>9</v>
      </c>
      <c r="BM13">
        <v>9</v>
      </c>
      <c r="BN13" s="107">
        <f>$H$34*H48</f>
        <v>5.7200612492715432E-10</v>
      </c>
      <c r="BP13">
        <f>BL7+1</f>
        <v>4</v>
      </c>
      <c r="BQ13">
        <v>3</v>
      </c>
      <c r="BR13" s="107">
        <f>$H$29*H42</f>
        <v>1.5891202255717014E-2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144</v>
      </c>
      <c r="K14" s="166"/>
      <c r="L14" s="10"/>
      <c r="M14" s="10"/>
      <c r="O14" s="67">
        <f>IF(COUNTIF(F6:F18,"CAB")&gt;0,AI14,0)</f>
        <v>0</v>
      </c>
      <c r="P14" s="144">
        <v>0.95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9.5000000000000001E-2</v>
      </c>
      <c r="Z14" s="146">
        <v>0.95</v>
      </c>
      <c r="AA14" s="19">
        <f t="shared" si="3"/>
        <v>9.0249999999999997E-2</v>
      </c>
      <c r="AB14" s="157">
        <f t="shared" si="4"/>
        <v>0.10202617607111991</v>
      </c>
      <c r="AC14" s="176">
        <f t="shared" si="5"/>
        <v>0.89797382392888014</v>
      </c>
      <c r="AD14" s="177">
        <f>AB14*PRODUCT(AC5:AC13)*PRODUCT(AC15:AC19)</f>
        <v>8.4919056388441425E-2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4.3326526549414546E-3</v>
      </c>
      <c r="AI14" s="194">
        <v>9.5000000000000001E-2</v>
      </c>
      <c r="BH14">
        <v>1</v>
      </c>
      <c r="BI14">
        <v>2</v>
      </c>
      <c r="BJ14" s="107">
        <f t="shared" ref="BJ14:BJ22" si="7">$H$26*H41</f>
        <v>8.4307587907368031E-2</v>
      </c>
      <c r="BL14">
        <f>BP39+1</f>
        <v>10</v>
      </c>
      <c r="BM14">
        <v>10</v>
      </c>
      <c r="BN14" s="107">
        <f>$H$35*H49</f>
        <v>3.3350589403888591E-12</v>
      </c>
      <c r="BP14">
        <f>BP10+1</f>
        <v>5</v>
      </c>
      <c r="BQ14">
        <v>0</v>
      </c>
      <c r="BR14" s="107">
        <f>$H$30*H39</f>
        <v>1.0805437881201817E-3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123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7.4468043661104391E-2</v>
      </c>
      <c r="BP15">
        <f>BP11+1</f>
        <v>5</v>
      </c>
      <c r="BQ15">
        <v>1</v>
      </c>
      <c r="BR15" s="107">
        <f>$H$30*H40</f>
        <v>3.434687360176021E-3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21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4.4510308223496074E-2</v>
      </c>
      <c r="BP16">
        <f>BP12+1</f>
        <v>5</v>
      </c>
      <c r="BQ16">
        <v>2</v>
      </c>
      <c r="BR16" s="107">
        <f>$H$30*H41</f>
        <v>5.0020824818140007E-3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2.4418453220345592E-2</v>
      </c>
      <c r="S17" s="176">
        <f t="shared" si="2"/>
        <v>0.97558154677965436</v>
      </c>
      <c r="T17" s="177">
        <f>R17*PRODUCT(S5:S16)*PRODUCT(S18:S19)</f>
        <v>2.0901487483430861E-2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2.7131614689272884E-2</v>
      </c>
      <c r="AC17" s="176">
        <f t="shared" si="5"/>
        <v>0.97286838531072717</v>
      </c>
      <c r="AD17" s="177">
        <f>AB17*PRODUCT(AC5:AC16)*PRODUCT(AC18:AC19)</f>
        <v>2.084389022593032E-2</v>
      </c>
      <c r="AE17" s="177">
        <f>AB17*AB18*PRODUCT(AC5:AC16)*AC19+AB17*AB19*PRODUCT(AC5:AC16)*AC18</f>
        <v>4.8217549839201906E-4</v>
      </c>
      <c r="AI17" s="194">
        <v>0.02</v>
      </c>
      <c r="BH17">
        <v>1</v>
      </c>
      <c r="BI17">
        <v>5</v>
      </c>
      <c r="BJ17" s="107">
        <f t="shared" si="7"/>
        <v>1.9017687782846765E-2</v>
      </c>
      <c r="BP17">
        <f>BP13+1</f>
        <v>5</v>
      </c>
      <c r="BQ17">
        <v>3</v>
      </c>
      <c r="BR17" s="107">
        <f>$H$30*H42</f>
        <v>4.4182890994514659E-3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147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44">
        <f>P14</f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0.04</v>
      </c>
      <c r="Z18" s="146">
        <v>0.5</v>
      </c>
      <c r="AA18" s="19">
        <f t="shared" si="3"/>
        <v>0.02</v>
      </c>
      <c r="AB18" s="157">
        <f t="shared" si="4"/>
        <v>2.2609678907727405E-2</v>
      </c>
      <c r="AC18" s="176">
        <f t="shared" si="5"/>
        <v>0.97739032109227264</v>
      </c>
      <c r="AD18" s="177">
        <f>AB18*PRODUCT(AC5:AC17)*PRODUCT(AC19:AC19)</f>
        <v>1.7289545938543264E-2</v>
      </c>
      <c r="AE18" s="177">
        <f>AB18*AB19*PRODUCT(AC5:AC17)</f>
        <v>0</v>
      </c>
      <c r="AI18" s="194">
        <v>0.02</v>
      </c>
      <c r="BH18">
        <v>1</v>
      </c>
      <c r="BI18">
        <v>6</v>
      </c>
      <c r="BJ18" s="107">
        <f t="shared" si="7"/>
        <v>5.9814353531961731E-3</v>
      </c>
      <c r="BP18">
        <f>BL8+1</f>
        <v>5</v>
      </c>
      <c r="BQ18">
        <v>4</v>
      </c>
      <c r="BR18" s="107">
        <f>$H$30*H43</f>
        <v>2.6408563991834172E-3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46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1.4047837977290867E-3</v>
      </c>
      <c r="BP19">
        <f>BP15+1</f>
        <v>6</v>
      </c>
      <c r="BQ19">
        <v>1</v>
      </c>
      <c r="BR19" s="107">
        <f>$H$31*H40</f>
        <v>7.0171722857245461E-4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0.83506949867287583</v>
      </c>
      <c r="T20" s="181">
        <f>SUM(T5:T19)</f>
        <v>0.15348968545731023</v>
      </c>
      <c r="U20" s="181">
        <f>SUM(U5:U19)</f>
        <v>1.1040142105842209E-2</v>
      </c>
      <c r="V20" s="181">
        <f>1-S20-T20-U20</f>
        <v>4.0067376397172685E-4</v>
      </c>
      <c r="W20" s="21"/>
      <c r="X20" s="22"/>
      <c r="Y20" s="22"/>
      <c r="Z20" s="22"/>
      <c r="AA20" s="22"/>
      <c r="AB20" s="23"/>
      <c r="AC20" s="184">
        <f>PRODUCT(AC5:AC19)</f>
        <v>0.74740711380190727</v>
      </c>
      <c r="AD20" s="181">
        <f>SUM(AD5:AD19)</f>
        <v>0.22434972942973719</v>
      </c>
      <c r="AE20" s="181">
        <f>SUM(AE5:AE19)</f>
        <v>2.6522639770245798E-2</v>
      </c>
      <c r="AF20" s="181">
        <f>1-AC20-AD20-AE20</f>
        <v>1.720516998109739E-3</v>
      </c>
      <c r="BH20">
        <v>1</v>
      </c>
      <c r="BI20">
        <v>8</v>
      </c>
      <c r="BJ20" s="107">
        <f t="shared" si="7"/>
        <v>2.4715961592673149E-4</v>
      </c>
      <c r="BP20">
        <f>BP16+1</f>
        <v>6</v>
      </c>
      <c r="BQ20">
        <v>2</v>
      </c>
      <c r="BR20" s="107">
        <f>$H$31*H41</f>
        <v>1.0219408895630791E-3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0.83506949867287583</v>
      </c>
      <c r="T21" s="183">
        <f>T20*V1</f>
        <v>0.15348968545731023</v>
      </c>
      <c r="U21" s="183">
        <f>U20*V1</f>
        <v>1.1040142105842209E-2</v>
      </c>
      <c r="V21" s="183">
        <f>V20*V1</f>
        <v>4.0067376397172685E-4</v>
      </c>
      <c r="W21" s="21"/>
      <c r="X21" s="22"/>
      <c r="Y21" s="22"/>
      <c r="Z21" s="22"/>
      <c r="AA21" s="22"/>
      <c r="AB21" s="23"/>
      <c r="AC21" s="185">
        <f>1-AD21-AE21-AF21</f>
        <v>0.74740711380190727</v>
      </c>
      <c r="AD21" s="183">
        <f>AD20*V1</f>
        <v>0.22434972942973719</v>
      </c>
      <c r="AE21" s="183">
        <f>AE20*V1</f>
        <v>2.6522639770245798E-2</v>
      </c>
      <c r="AF21" s="183">
        <f>AF20*V1</f>
        <v>1.720516998109739E-3</v>
      </c>
      <c r="BH21" s="18">
        <v>1</v>
      </c>
      <c r="BI21">
        <v>9</v>
      </c>
      <c r="BJ21" s="107">
        <f t="shared" si="7"/>
        <v>3.2340861239160444E-5</v>
      </c>
      <c r="BP21">
        <f>BP17+1</f>
        <v>6</v>
      </c>
      <c r="BQ21">
        <v>3</v>
      </c>
      <c r="BR21" s="107">
        <f>$H$31*H42</f>
        <v>9.0267009971471755E-4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3.0822960565653854E-6</v>
      </c>
      <c r="BP22">
        <f>BP18+1</f>
        <v>6</v>
      </c>
      <c r="BQ22">
        <v>4</v>
      </c>
      <c r="BR22" s="107">
        <f>$H$31*H43</f>
        <v>5.3953511314574207E-4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0.99999998555225222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7.0807796384954491E-2</v>
      </c>
      <c r="BP23">
        <f>BL9+1</f>
        <v>6</v>
      </c>
      <c r="BQ23">
        <v>5</v>
      </c>
      <c r="BR23" s="107">
        <f>$H$31*H44</f>
        <v>2.3052436029351528E-4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4.2322541143470872E-2</v>
      </c>
      <c r="BP24">
        <f>BH49+1</f>
        <v>7</v>
      </c>
      <c r="BQ24">
        <v>0</v>
      </c>
      <c r="BR24" s="107">
        <f t="shared" ref="BR24:BR30" si="10">$H$32*H39</f>
        <v>3.3602615891524603E-5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0.14738075169875151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0.83506949867287583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1.8082931926729225E-2</v>
      </c>
      <c r="BP25">
        <f>BP19+1</f>
        <v>7</v>
      </c>
      <c r="BQ25">
        <v>1</v>
      </c>
      <c r="BR25" s="107">
        <f t="shared" si="10"/>
        <v>1.0681147894270499E-4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0.30607459614351773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0.15348968545731023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5.6874363251212855E-3</v>
      </c>
      <c r="BP26">
        <f>BP20+1</f>
        <v>7</v>
      </c>
      <c r="BQ26">
        <v>2</v>
      </c>
      <c r="BR26" s="107">
        <f t="shared" si="10"/>
        <v>1.555541368541237E-4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0.29103044227892333</v>
      </c>
      <c r="I27" s="93">
        <v>2</v>
      </c>
      <c r="J27" s="86">
        <f t="shared" si="11"/>
        <v>0.2847705100733125</v>
      </c>
      <c r="K27" s="93">
        <v>2</v>
      </c>
      <c r="L27" s="86">
        <f>U21</f>
        <v>1.1040142105842209E-2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1.3357359777995423E-3</v>
      </c>
      <c r="BP27">
        <f>BP21+1</f>
        <v>7</v>
      </c>
      <c r="BQ27">
        <v>3</v>
      </c>
      <c r="BR27" s="107">
        <f t="shared" si="10"/>
        <v>1.3739940309579095E-4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0.16769440117062107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4.0067376397172685E-4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2.3501124641823332E-4</v>
      </c>
      <c r="BP28">
        <f>BP22+1</f>
        <v>7</v>
      </c>
      <c r="BQ28">
        <v>4</v>
      </c>
      <c r="BR28" s="107">
        <f t="shared" si="10"/>
        <v>8.212502277285335E-5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6.531517512113745E-2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3.0751245835838019E-5</v>
      </c>
      <c r="BP29">
        <f>BP23+1</f>
        <v>7</v>
      </c>
      <c r="BQ29">
        <v>5</v>
      </c>
      <c r="BR29" s="107">
        <f t="shared" si="10"/>
        <v>3.5089131138140463E-5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1.8159817087638242E-2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2.9307952893816262E-6</v>
      </c>
      <c r="BP30">
        <f>BL10+1</f>
        <v>7</v>
      </c>
      <c r="BQ30">
        <v>6</v>
      </c>
      <c r="BR30" s="107">
        <f t="shared" si="10"/>
        <v>1.1036219118704688E-5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3.7101066798310152E-3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2.438663508015879E-2</v>
      </c>
      <c r="BP31">
        <f t="shared" ref="BP31:BP37" si="17">BP24+1</f>
        <v>8</v>
      </c>
      <c r="BQ31">
        <v>0</v>
      </c>
      <c r="BR31" s="107">
        <f t="shared" ref="BR31:BR38" si="18">$H$33*H39</f>
        <v>3.8211527398476095E-6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5.6473172578951742E-4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1.0419550673519256E-2</v>
      </c>
      <c r="BP32">
        <f t="shared" si="17"/>
        <v>8</v>
      </c>
      <c r="BQ32">
        <v>1</v>
      </c>
      <c r="BR32" s="107">
        <f t="shared" si="18"/>
        <v>1.214616673674016E-5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6.4218993790413949E-5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3.2771527997857261E-3</v>
      </c>
      <c r="BP33">
        <f t="shared" si="17"/>
        <v>8</v>
      </c>
      <c r="BQ33">
        <v>2</v>
      </c>
      <c r="BR33" s="107">
        <f t="shared" si="18"/>
        <v>1.7688983445621743E-5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5.4134780884159974E-6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7.696632804635303E-4</v>
      </c>
      <c r="BP34">
        <f t="shared" si="17"/>
        <v>8</v>
      </c>
      <c r="BQ34">
        <v>3</v>
      </c>
      <c r="BR34" s="107">
        <f t="shared" si="18"/>
        <v>1.5624500999796612E-5</v>
      </c>
    </row>
    <row r="35" spans="1:70" ht="15.75" thickBot="1" x14ac:dyDescent="0.3">
      <c r="G35" s="88">
        <v>10</v>
      </c>
      <c r="H35" s="129">
        <f>J35*L25+J34*L26+J33*L27+J32*L28</f>
        <v>3.3117416353307858E-7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1.3541562844032764E-4</v>
      </c>
      <c r="BP35">
        <f t="shared" si="17"/>
        <v>8</v>
      </c>
      <c r="BQ35">
        <v>4</v>
      </c>
      <c r="BR35" s="107">
        <f t="shared" si="18"/>
        <v>9.338923397856267E-6</v>
      </c>
    </row>
    <row r="36" spans="1:70" x14ac:dyDescent="0.25">
      <c r="A36" s="1"/>
      <c r="B36" s="108">
        <f>SUM(B37:B39)</f>
        <v>0.99999895703580399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1.7719148949885894E-5</v>
      </c>
      <c r="BP36">
        <f t="shared" si="17"/>
        <v>8</v>
      </c>
      <c r="BQ36">
        <v>5</v>
      </c>
      <c r="BR36" s="107">
        <f t="shared" si="18"/>
        <v>3.9901932046069057E-6</v>
      </c>
    </row>
    <row r="37" spans="1:70" ht="15.75" thickBot="1" x14ac:dyDescent="0.3">
      <c r="A37" s="109" t="s">
        <v>104</v>
      </c>
      <c r="B37" s="107">
        <f>SUM(BN4:BN14)</f>
        <v>0.19832500138188314</v>
      </c>
      <c r="G37" s="13"/>
      <c r="H37" s="59">
        <f>SUM(H39:H49)</f>
        <v>0.99999930265413906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1.6887510363451836E-6</v>
      </c>
      <c r="BP37">
        <f t="shared" si="17"/>
        <v>8</v>
      </c>
      <c r="BQ37">
        <v>6</v>
      </c>
      <c r="BR37" s="107">
        <f t="shared" si="18"/>
        <v>1.2549939284231011E-6</v>
      </c>
    </row>
    <row r="38" spans="1:70" ht="15.75" thickBot="1" x14ac:dyDescent="0.3">
      <c r="A38" s="110" t="s">
        <v>105</v>
      </c>
      <c r="B38" s="107">
        <f>SUM(BJ4:BJ59)</f>
        <v>0.55248814107641242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4.0583035102766717E-3</v>
      </c>
      <c r="BP38">
        <f>BL11+1</f>
        <v>8</v>
      </c>
      <c r="BQ38">
        <v>7</v>
      </c>
      <c r="BR38" s="107">
        <f t="shared" si="18"/>
        <v>2.947444940544405E-7</v>
      </c>
    </row>
    <row r="39" spans="1:70" x14ac:dyDescent="0.25">
      <c r="A39" s="111" t="s">
        <v>0</v>
      </c>
      <c r="B39" s="107">
        <f>SUM(BR4:BR47)</f>
        <v>0.24918581457750841</v>
      </c>
      <c r="G39" s="130">
        <v>0</v>
      </c>
      <c r="H39" s="131">
        <f>L39*J39</f>
        <v>5.9501909237606246E-2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0.74740711380190727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1.276415953797689E-3</v>
      </c>
      <c r="BP39">
        <f t="shared" ref="BP39:BP46" si="34">BP31+1</f>
        <v>9</v>
      </c>
      <c r="BQ39">
        <v>0</v>
      </c>
      <c r="BR39" s="107">
        <f t="shared" ref="BR39:BR47" si="35">$H$34*H39</f>
        <v>3.2211228187669883E-7</v>
      </c>
    </row>
    <row r="40" spans="1:70" x14ac:dyDescent="0.25">
      <c r="G40" s="91">
        <v>1</v>
      </c>
      <c r="H40" s="132">
        <f>L39*J40+L40*J39</f>
        <v>0.18913667156449956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0.22434972942973719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2.9977561323968457E-4</v>
      </c>
      <c r="BP40">
        <f t="shared" si="34"/>
        <v>9</v>
      </c>
      <c r="BQ40">
        <v>1</v>
      </c>
      <c r="BR40" s="107">
        <f t="shared" si="35"/>
        <v>1.0238872272303514E-6</v>
      </c>
    </row>
    <row r="41" spans="1:70" x14ac:dyDescent="0.25">
      <c r="G41" s="91">
        <v>2</v>
      </c>
      <c r="H41" s="132">
        <f>L39*J41+J40*L40+J39*L41</f>
        <v>0.27544784496860492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2.6522639770245798E-2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5.2742938487969098E-5</v>
      </c>
      <c r="BP41">
        <f t="shared" si="34"/>
        <v>9</v>
      </c>
      <c r="BQ41">
        <v>2</v>
      </c>
      <c r="BR41" s="107">
        <f t="shared" si="35"/>
        <v>1.4911308732389493E-6</v>
      </c>
    </row>
    <row r="42" spans="1:70" ht="15" customHeight="1" x14ac:dyDescent="0.25">
      <c r="G42" s="91">
        <v>3</v>
      </c>
      <c r="H42" s="132">
        <f>J42*L39+J41*L40+L42*J39+L41*J40</f>
        <v>0.24330030848488476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1.720516998109739E-3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6.9014189417199946E-6</v>
      </c>
      <c r="BP42">
        <f t="shared" si="34"/>
        <v>9</v>
      </c>
      <c r="BQ42">
        <v>3</v>
      </c>
      <c r="BR42" s="107">
        <f t="shared" si="35"/>
        <v>1.3171008888877764E-6</v>
      </c>
    </row>
    <row r="43" spans="1:70" ht="15" customHeight="1" x14ac:dyDescent="0.25">
      <c r="G43" s="91">
        <v>4</v>
      </c>
      <c r="H43" s="132">
        <f>J43*L39+J42*L40+J41*L41+J40*L42</f>
        <v>0.1454230726245091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6.577504609868396E-7</v>
      </c>
      <c r="BP43">
        <f t="shared" si="34"/>
        <v>9</v>
      </c>
      <c r="BQ43">
        <v>4</v>
      </c>
      <c r="BR43" s="107">
        <f t="shared" si="35"/>
        <v>7.8724461720290824E-7</v>
      </c>
    </row>
    <row r="44" spans="1:70" ht="15" customHeight="1" thickBot="1" x14ac:dyDescent="0.3">
      <c r="G44" s="91">
        <v>5</v>
      </c>
      <c r="H44" s="132">
        <f>J44*L39+J43*L40+J42*L41+J41*L42</f>
        <v>6.2134159523416999E-2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3.5488659726808173E-4</v>
      </c>
      <c r="BP44">
        <f t="shared" si="34"/>
        <v>9</v>
      </c>
      <c r="BQ44">
        <v>5</v>
      </c>
      <c r="BR44" s="107">
        <f t="shared" si="35"/>
        <v>3.3636191112216208E-7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1.9542410342318937E-2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8.3347710446626347E-5</v>
      </c>
      <c r="BP45">
        <f t="shared" si="34"/>
        <v>9</v>
      </c>
      <c r="BQ45">
        <v>6</v>
      </c>
      <c r="BR45" s="107">
        <f t="shared" si="35"/>
        <v>1.0579241018297774E-7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4.5896778609825772E-3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1.4664312142311134E-5</v>
      </c>
      <c r="BP46">
        <f t="shared" si="34"/>
        <v>9</v>
      </c>
      <c r="BQ46">
        <v>7</v>
      </c>
      <c r="BR46" s="107">
        <f t="shared" si="35"/>
        <v>2.4846120533317187E-8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8.0751430873681157E-4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1.9188267564827806E-6</v>
      </c>
      <c r="BP47">
        <f>BL12+1</f>
        <v>9</v>
      </c>
      <c r="BQ47">
        <v>8</v>
      </c>
      <c r="BR47" s="107">
        <f t="shared" si="35"/>
        <v>4.3714610164291201E-9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1.0566333059538167E-4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1.8287676697915169E-7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1.0070407983549551E-5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2.2075843092514172E-4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1.7028194490303986E-5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2.9959642309035693E-6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3.9202222865511844E-7</v>
      </c>
    </row>
    <row r="53" spans="1:62" x14ac:dyDescent="0.25">
      <c r="BH53">
        <f>BH48+1</f>
        <v>6</v>
      </c>
      <c r="BI53">
        <v>10</v>
      </c>
      <c r="BJ53" s="107">
        <f>$H$31*H49</f>
        <v>3.7362287928390769E-8</v>
      </c>
    </row>
    <row r="54" spans="1:62" x14ac:dyDescent="0.25">
      <c r="BH54">
        <f>BH51+1</f>
        <v>7</v>
      </c>
      <c r="BI54">
        <v>8</v>
      </c>
      <c r="BJ54" s="107">
        <f>$H$32*H47</f>
        <v>4.5602894917266877E-7</v>
      </c>
    </row>
    <row r="55" spans="1:62" x14ac:dyDescent="0.25">
      <c r="BH55">
        <f>BH52+1</f>
        <v>7</v>
      </c>
      <c r="BI55">
        <v>9</v>
      </c>
      <c r="BJ55" s="107">
        <f>$H$32*H48</f>
        <v>5.9671435039798209E-8</v>
      </c>
    </row>
    <row r="56" spans="1:62" x14ac:dyDescent="0.25">
      <c r="BH56">
        <f>BH53+1</f>
        <v>7</v>
      </c>
      <c r="BI56">
        <v>10</v>
      </c>
      <c r="BJ56" s="107">
        <f>$H$32*H49</f>
        <v>5.6870788799544717E-9</v>
      </c>
    </row>
    <row r="57" spans="1:62" x14ac:dyDescent="0.25">
      <c r="BH57">
        <f>BH55+1</f>
        <v>8</v>
      </c>
      <c r="BI57">
        <v>9</v>
      </c>
      <c r="BJ57" s="107">
        <f>$H$33*H48</f>
        <v>6.7855927713792716E-9</v>
      </c>
    </row>
    <row r="58" spans="1:62" x14ac:dyDescent="0.25">
      <c r="BH58">
        <f>BH56+1</f>
        <v>8</v>
      </c>
      <c r="BI58">
        <v>10</v>
      </c>
      <c r="BJ58" s="107">
        <f>$H$33*H49</f>
        <v>6.467114677625036E-10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5.4515932960355024E-11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8" t="s">
        <v>135</v>
      </c>
      <c r="Q1" s="198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00" t="s">
        <v>130</v>
      </c>
      <c r="C3" s="20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VADER-SanBlas</vt:lpstr>
      <vt:lpstr>Badge-OBIWAN</vt:lpstr>
      <vt:lpstr>Belfordiz-VADER</vt:lpstr>
      <vt:lpstr>SIMULADOR</vt:lpstr>
      <vt:lpstr>SIMULADOR&gt;22-12-17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2017-12-05T15:19:26Z</dcterms:modified>
</cp:coreProperties>
</file>